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8DTA\AFR18_New Emails\Emails 5-10-2019\"/>
    </mc:Choice>
  </mc:AlternateContent>
  <xr:revisionPtr revIDLastSave="0" documentId="8_{B6BC8B18-2614-4889-9B3C-1BB357BE574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 sheetId="183" r:id="rId29"/>
    <sheet name=" SEFA (2)" sheetId="184" r:id="rId30"/>
    <sheet name=" SEFA (3)" sheetId="185" r:id="rId31"/>
    <sheet name=" SEFA (4)" sheetId="186" r:id="rId32"/>
    <sheet name="SF&amp;QC Sec-1" sheetId="174" r:id="rId33"/>
    <sheet name="SF&amp;QC Sec-2 " sheetId="187" r:id="rId34"/>
    <sheet name="SF&amp;QC Sec-3" sheetId="176" r:id="rId35"/>
    <sheet name="SSPAF" sheetId="177" r:id="rId36"/>
  </sheets>
  <definedNames>
    <definedName name="_xlnm.Print_Area" localSheetId="28">' SEFA '!$B$1:$M$46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B4" i="187"/>
  <c r="L26" i="186"/>
  <c r="L25" i="186"/>
  <c r="L24" i="186"/>
  <c r="L23" i="186"/>
  <c r="L22" i="186"/>
  <c r="L21" i="186"/>
  <c r="L20" i="186"/>
  <c r="L19" i="186"/>
  <c r="L18" i="186"/>
  <c r="K17" i="186"/>
  <c r="J17" i="186"/>
  <c r="I17" i="186"/>
  <c r="H17" i="186"/>
  <c r="G17" i="186"/>
  <c r="F17" i="186"/>
  <c r="E17" i="186"/>
  <c r="L16" i="186"/>
  <c r="L15" i="186"/>
  <c r="L14" i="186"/>
  <c r="L13" i="186"/>
  <c r="L12" i="186"/>
  <c r="L11" i="186"/>
  <c r="B4" i="186"/>
  <c r="L26" i="185"/>
  <c r="L25" i="185"/>
  <c r="L24" i="185"/>
  <c r="L23" i="185"/>
  <c r="L21" i="185"/>
  <c r="K20" i="185"/>
  <c r="J20" i="185"/>
  <c r="I20" i="185"/>
  <c r="H20" i="185"/>
  <c r="G20" i="185"/>
  <c r="L20" i="185" s="1"/>
  <c r="F20" i="185"/>
  <c r="E20" i="185"/>
  <c r="L19" i="185"/>
  <c r="L18" i="185"/>
  <c r="L17" i="185"/>
  <c r="K16" i="185"/>
  <c r="J16" i="185"/>
  <c r="I16" i="185"/>
  <c r="I22" i="185" s="1"/>
  <c r="I27" i="185" s="1"/>
  <c r="H16" i="185"/>
  <c r="H22" i="185" s="1"/>
  <c r="H27" i="185" s="1"/>
  <c r="G16" i="185"/>
  <c r="L16" i="185" s="1"/>
  <c r="F16" i="185"/>
  <c r="E16" i="185"/>
  <c r="E22" i="185" s="1"/>
  <c r="E27" i="185" s="1"/>
  <c r="L15" i="185"/>
  <c r="L14" i="185"/>
  <c r="L13" i="185"/>
  <c r="L12" i="185"/>
  <c r="L11" i="185"/>
  <c r="B4" i="185"/>
  <c r="L26" i="184"/>
  <c r="L25" i="184"/>
  <c r="L24" i="184"/>
  <c r="K23" i="184"/>
  <c r="J23" i="184"/>
  <c r="I23" i="184"/>
  <c r="H23" i="184"/>
  <c r="H27" i="184" s="1"/>
  <c r="G23" i="184"/>
  <c r="F23" i="184"/>
  <c r="E23" i="184"/>
  <c r="L22" i="184"/>
  <c r="L21" i="184"/>
  <c r="L20" i="184"/>
  <c r="L19" i="184"/>
  <c r="L18" i="184"/>
  <c r="L17" i="184"/>
  <c r="K16" i="184"/>
  <c r="J16" i="184"/>
  <c r="I16" i="184"/>
  <c r="H16" i="184"/>
  <c r="G16" i="184"/>
  <c r="F16" i="184"/>
  <c r="E16" i="184"/>
  <c r="L15" i="184"/>
  <c r="L14" i="184"/>
  <c r="L13" i="184"/>
  <c r="L12" i="184"/>
  <c r="L11" i="184"/>
  <c r="B4" i="184"/>
  <c r="K27" i="183"/>
  <c r="J27" i="183"/>
  <c r="I27" i="183"/>
  <c r="H27" i="183"/>
  <c r="G27" i="183"/>
  <c r="L27" i="183" s="1"/>
  <c r="F27" i="183"/>
  <c r="E27" i="183"/>
  <c r="L26" i="183"/>
  <c r="L25" i="183"/>
  <c r="L24" i="183"/>
  <c r="L22" i="183"/>
  <c r="K21" i="183"/>
  <c r="J21" i="183"/>
  <c r="I21" i="183"/>
  <c r="H21" i="183"/>
  <c r="H23" i="183" s="1"/>
  <c r="G21" i="183"/>
  <c r="F21" i="183"/>
  <c r="E21" i="183"/>
  <c r="L20" i="183"/>
  <c r="L19" i="183"/>
  <c r="L18" i="183"/>
  <c r="L17" i="183"/>
  <c r="K16" i="183"/>
  <c r="K23" i="183" s="1"/>
  <c r="J16" i="183"/>
  <c r="I16" i="183"/>
  <c r="I23" i="183" s="1"/>
  <c r="H16" i="183"/>
  <c r="G16" i="183"/>
  <c r="G23" i="183" s="1"/>
  <c r="F16" i="183"/>
  <c r="E16" i="183"/>
  <c r="L15" i="183"/>
  <c r="L14" i="183"/>
  <c r="L13" i="183"/>
  <c r="L12" i="183"/>
  <c r="L11" i="183"/>
  <c r="B4" i="183"/>
  <c r="E11" i="108"/>
  <c r="D182" i="34"/>
  <c r="F23" i="183" l="1"/>
  <c r="J23" i="183"/>
  <c r="E23" i="183"/>
  <c r="F27" i="184"/>
  <c r="J27" i="184"/>
  <c r="G27" i="184"/>
  <c r="L27" i="184" s="1"/>
  <c r="K27" i="184"/>
  <c r="H27" i="186"/>
  <c r="E27" i="184"/>
  <c r="E27" i="186" s="1"/>
  <c r="I27" i="184"/>
  <c r="I27" i="186" s="1"/>
  <c r="F22" i="185"/>
  <c r="F27" i="185" s="1"/>
  <c r="J22" i="185"/>
  <c r="J27" i="185" s="1"/>
  <c r="J27" i="186" s="1"/>
  <c r="L16" i="184"/>
  <c r="G22" i="185"/>
  <c r="L22" i="185" s="1"/>
  <c r="K22" i="185"/>
  <c r="K27" i="185" s="1"/>
  <c r="K27" i="186" s="1"/>
  <c r="L21" i="183"/>
  <c r="L23" i="183"/>
  <c r="L17" i="186"/>
  <c r="G27" i="185"/>
  <c r="G27" i="186" s="1"/>
  <c r="L23" i="184"/>
  <c r="L16" i="183"/>
  <c r="F27" i="186" l="1"/>
  <c r="D35" i="171" s="1"/>
  <c r="L27" i="186"/>
  <c r="L27" i="185"/>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9" i="181"/>
  <c r="G29" i="181" s="1"/>
  <c r="E29" i="181"/>
  <c r="F28" i="181"/>
  <c r="G28" i="181" s="1"/>
  <c r="E28" i="181"/>
  <c r="F27" i="181"/>
  <c r="G27" i="181" s="1"/>
  <c r="E27" i="181"/>
  <c r="F30" i="181"/>
  <c r="G30" i="181" s="1"/>
  <c r="E30" i="18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D17" i="171" l="1"/>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85" l="1"/>
  <c r="B2" i="184"/>
  <c r="B2" i="186"/>
  <c r="B2" i="187"/>
  <c r="B2" i="183"/>
  <c r="B1" i="187"/>
  <c r="B1" i="183"/>
  <c r="B1" i="186"/>
  <c r="B1" i="185"/>
  <c r="B1" i="184"/>
  <c r="A2" i="173"/>
  <c r="B2" i="174"/>
  <c r="B2" i="177"/>
  <c r="A1" i="171"/>
  <c r="B2" i="176"/>
  <c r="B1" i="177"/>
  <c r="A1" i="170"/>
  <c r="A2" i="171"/>
  <c r="A1" i="173"/>
  <c r="B1" i="174"/>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B7718" i="106" s="1"/>
  <c r="D7718" i="106" s="1"/>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L5" i="11"/>
  <c r="B2056" i="106" s="1"/>
  <c r="D2056" i="106" s="1"/>
  <c r="F136" i="34"/>
  <c r="F130" i="34"/>
  <c r="F127" i="34"/>
  <c r="B5847" i="106"/>
  <c r="D5847" i="106" s="1"/>
  <c r="B5599" i="106"/>
  <c r="D5599" i="106" s="1"/>
  <c r="H173" i="5"/>
  <c r="B5906" i="106" s="1"/>
  <c r="D5906" i="106" s="1"/>
  <c r="H109" i="5"/>
  <c r="B6025" i="106" s="1"/>
  <c r="D6025" i="106" s="1"/>
  <c r="D7" i="7"/>
  <c r="B1763" i="106" s="1"/>
  <c r="D1763" i="106" s="1"/>
  <c r="B1746" i="106"/>
  <c r="D1746" i="106" s="1"/>
  <c r="D11" i="7"/>
  <c r="B1768" i="106" s="1"/>
  <c r="D1768" i="106" s="1"/>
  <c r="D15" i="7"/>
  <c r="B1772" i="106" s="1"/>
  <c r="D1772" i="106" s="1"/>
  <c r="G172" i="5" l="1"/>
  <c r="D12" i="7"/>
  <c r="B1769" i="106" s="1"/>
  <c r="D1769" i="106" s="1"/>
  <c r="H6" i="4"/>
  <c r="B2656" i="106" s="1"/>
  <c r="D2656" i="106" s="1"/>
  <c r="D109" i="5"/>
  <c r="B5356" i="106" s="1"/>
  <c r="D5356" i="106" s="1"/>
  <c r="C172" i="5"/>
  <c r="B5214" i="106" s="1"/>
  <c r="D5214" i="106" s="1"/>
  <c r="K274" i="5"/>
  <c r="K7" i="4" s="1"/>
  <c r="B3718" i="106" s="1"/>
  <c r="D3718" i="106" s="1"/>
  <c r="B5752" i="106"/>
  <c r="D5752" i="106" s="1"/>
  <c r="F111" i="34"/>
  <c r="F131" i="34"/>
  <c r="D4" i="7"/>
  <c r="B1760" i="106" s="1"/>
  <c r="D1760" i="106" s="1"/>
  <c r="D24" i="37"/>
  <c r="B4270" i="106" s="1"/>
  <c r="D4270" i="106" s="1"/>
  <c r="D5" i="4"/>
  <c r="B3406" i="106" s="1"/>
  <c r="D3406" i="106" s="1"/>
  <c r="E109" i="5"/>
  <c r="E4" i="4" s="1"/>
  <c r="B2630" i="106" s="1"/>
  <c r="D2630" i="106" s="1"/>
  <c r="F19" i="7"/>
  <c r="B1807" i="106" s="1"/>
  <c r="D1807" i="106" s="1"/>
  <c r="F50" i="34"/>
  <c r="F46" i="34"/>
  <c r="F44" i="34"/>
  <c r="F41" i="34"/>
  <c r="F35" i="34"/>
  <c r="B6261" i="106"/>
  <c r="D6261" i="106" s="1"/>
  <c r="J41" i="3"/>
  <c r="K76" i="4"/>
  <c r="B3586" i="106" s="1"/>
  <c r="D3586" i="106" s="1"/>
  <c r="F21" i="8"/>
  <c r="G173" i="5"/>
  <c r="B5778" i="106" s="1"/>
  <c r="D5778" i="106" s="1"/>
  <c r="B5770" i="106"/>
  <c r="D5770" i="106" s="1"/>
  <c r="D6103" i="106"/>
  <c r="G352" i="29"/>
  <c r="B7041" i="106"/>
  <c r="D7041" i="106" s="1"/>
  <c r="C109" i="5"/>
  <c r="B5121" i="106" s="1"/>
  <c r="D5121" i="106" s="1"/>
  <c r="D7245" i="106"/>
  <c r="I342" i="29"/>
  <c r="B7222" i="106" s="1"/>
  <c r="D7222" i="106" s="1"/>
  <c r="F77" i="4"/>
  <c r="B3255" i="106" s="1"/>
  <c r="D3255" i="106" s="1"/>
  <c r="K285" i="29"/>
  <c r="K173" i="5"/>
  <c r="K6" i="4" s="1"/>
  <c r="B3570" i="106" s="1"/>
  <c r="D3570" i="106" s="1"/>
  <c r="B3621" i="106"/>
  <c r="D3621" i="106" s="1"/>
  <c r="C367" i="29"/>
  <c r="L15" i="11"/>
  <c r="B3459" i="106" s="1"/>
  <c r="D3459" i="106" s="1"/>
  <c r="I24" i="12"/>
  <c r="H29" i="118"/>
  <c r="K28" i="118" s="1"/>
  <c r="O27" i="118" s="1"/>
  <c r="O29" i="118" s="1"/>
  <c r="D11" i="37"/>
  <c r="K24" i="12"/>
  <c r="F106" i="34"/>
  <c r="C173" i="5"/>
  <c r="B5223" i="106" s="1"/>
  <c r="D5223" i="106" s="1"/>
  <c r="H4" i="4"/>
  <c r="B2655" i="106" s="1"/>
  <c r="D2655" i="106" s="1"/>
  <c r="G4" i="4"/>
  <c r="B2603" i="106" s="1"/>
  <c r="D2603" i="106" s="1"/>
  <c r="D4" i="4"/>
  <c r="B2564" i="106" s="1"/>
  <c r="D2564" i="106" s="1"/>
  <c r="L367" i="29"/>
  <c r="K350" i="29"/>
  <c r="L342" i="29"/>
  <c r="L312" i="29"/>
  <c r="B1410" i="106"/>
  <c r="D1410" i="106" s="1"/>
  <c r="G210" i="29"/>
  <c r="K184" i="29"/>
  <c r="F13" i="4" s="1"/>
  <c r="B2596" i="106" s="1"/>
  <c r="D2596" i="106" s="1"/>
  <c r="B1329" i="106"/>
  <c r="D1329" i="106" s="1"/>
  <c r="F61" i="34"/>
  <c r="C129" i="29"/>
  <c r="B1225" i="106" s="1"/>
  <c r="D1225" i="106" s="1"/>
  <c r="D13" i="7"/>
  <c r="B3726" i="106" s="1"/>
  <c r="D3726" i="106" s="1"/>
  <c r="D9" i="7"/>
  <c r="B1767" i="106" s="1"/>
  <c r="D1767" i="106" s="1"/>
  <c r="D5" i="7"/>
  <c r="B1761" i="106" s="1"/>
  <c r="D1761" i="106"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F275" i="5"/>
  <c r="J7" i="4"/>
  <c r="H8" i="4"/>
  <c r="B3447" i="106"/>
  <c r="D3447" i="106" s="1"/>
  <c r="B7270" i="106"/>
  <c r="D274" i="5" l="1"/>
  <c r="B5914" i="106"/>
  <c r="D5914" i="106" s="1"/>
  <c r="K77" i="4"/>
  <c r="B3587" i="106" s="1"/>
  <c r="D3587" i="106" s="1"/>
  <c r="K365" i="29"/>
  <c r="K16" i="4" s="1"/>
  <c r="J16" i="4"/>
  <c r="B6226" i="106" s="1"/>
  <c r="D6226" i="106" s="1"/>
  <c r="G6" i="4"/>
  <c r="B2604" i="106" s="1"/>
  <c r="D2604" i="106" s="1"/>
  <c r="B6014" i="106"/>
  <c r="D6014" i="106" s="1"/>
  <c r="B1879" i="106"/>
  <c r="D1879" i="106" s="1"/>
  <c r="H22" i="37"/>
  <c r="D7256" i="106"/>
  <c r="D7251" i="106"/>
  <c r="H367" i="29"/>
  <c r="B3660" i="106" s="1"/>
  <c r="D3660" i="106" s="1"/>
  <c r="B3649" i="106"/>
  <c r="D3649" i="106" s="1"/>
  <c r="G367" i="29"/>
  <c r="B3650" i="106" s="1"/>
  <c r="D3650" i="106" s="1"/>
  <c r="D7253" i="106"/>
  <c r="B1996" i="106"/>
  <c r="D1996" i="106" s="1"/>
  <c r="I26" i="12"/>
  <c r="B7741" i="106" s="1"/>
  <c r="D7741" i="106" s="1"/>
  <c r="D7254" i="106"/>
  <c r="D7250" i="106"/>
  <c r="F73" i="34"/>
  <c r="G15" i="4"/>
  <c r="B6032" i="106" s="1"/>
  <c r="D6032" i="106" s="1"/>
  <c r="L16" i="11"/>
  <c r="B2061" i="106" s="1"/>
  <c r="D2061" i="106" s="1"/>
  <c r="B7733" i="106"/>
  <c r="D7733" i="106" s="1"/>
  <c r="K26" i="12"/>
  <c r="B7743" i="106" s="1"/>
  <c r="D7743" i="106" s="1"/>
  <c r="D44" i="36"/>
  <c r="C6" i="4"/>
  <c r="B2553" i="106" s="1"/>
  <c r="D2553" i="106" s="1"/>
  <c r="B3670" i="106"/>
  <c r="D3670" i="106" s="1"/>
  <c r="K352" i="29"/>
  <c r="B1365" i="106"/>
  <c r="D1365" i="106" s="1"/>
  <c r="F65" i="34"/>
  <c r="B1317" i="106"/>
  <c r="D1317" i="106" s="1"/>
  <c r="L114" i="29"/>
  <c r="C114" i="29"/>
  <c r="B757" i="106" s="1"/>
  <c r="D757"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G41" i="108"/>
  <c r="G44" i="108" s="1"/>
  <c r="G45" i="108" s="1"/>
  <c r="J8" i="4"/>
  <c r="J10" i="4" s="1"/>
  <c r="B6225" i="106" s="1"/>
  <c r="D6225" i="106" s="1"/>
  <c r="F8" i="4"/>
  <c r="F10" i="4" s="1"/>
  <c r="B4125" i="106" s="1"/>
  <c r="D41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6227" i="106" l="1"/>
  <c r="D6227" i="106" s="1"/>
  <c r="J20" i="4"/>
  <c r="J78" i="4" s="1"/>
  <c r="B2595" i="106"/>
  <c r="D2595" i="106" s="1"/>
  <c r="D8" i="146"/>
  <c r="F76" i="34"/>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B6230" i="106" l="1"/>
  <c r="D6230" i="106" s="1"/>
  <c r="B2568" i="106"/>
  <c r="D2568" i="106" s="1"/>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<sst xmlns="http://schemas.openxmlformats.org/spreadsheetml/2006/main" count="5338" uniqueCount="2197">
  <si>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</si>
  <si>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</si>
  <si>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</si>
  <si>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</si>
  <si>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</si>
  <si>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</si>
  <si>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</si>
  <si>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</si>
  <si>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</si>
  <si>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</si>
  <si>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</si>
  <si>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</si>
  <si>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</si>
  <si>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</si>
  <si>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</si>
  <si>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</si>
  <si>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</si>
  <si>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</si>
  <si>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</si>
  <si>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</si>
  <si>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</si>
  <si>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</si>
  <si>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</si>
  <si>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</si>
  <si>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</si>
  <si>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</si>
  <si>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</si>
  <si>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</si>
  <si>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</si>
  <si>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</si>
  <si>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</si>
  <si>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</si>
  <si>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</si>
  <si>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</si>
  <si>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</si>
  <si>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</si>
  <si>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</si>
  <si>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</si>
  <si>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</si>
  <si>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</si>
  <si>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</si>
  <si>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</si>
  <si>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</si>
  <si>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</si>
  <si>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</si>
  <si>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</si>
  <si>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</si>
  <si>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</si>
  <si>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</si>
  <si>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</si>
  <si>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</si>
  <si>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</si>
  <si>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</si>
  <si>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</si>
  <si>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</si>
  <si>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</si>
  <si>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</si>
  <si>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</si>
  <si>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</si>
  <si>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</si>
  <si>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</si>
  <si>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</si>
  <si>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</si>
  <si>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</si>
  <si>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</si>
  <si>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</si>
  <si>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</si>
  <si>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</si>
  <si>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</si>
  <si>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</si>
  <si>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</si>
  <si>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</si>
  <si>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</si>
  <si>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</si>
  <si>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</si>
  <si>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</si>
  <si>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</si>
  <si>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</si>
  <si>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</si>
  <si>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</si>
  <si>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</si>
  <si>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</si>
  <si>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</si>
  <si>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</si>
  <si>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</si>
  <si>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</si>
  <si>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</si>
  <si>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</si>
  <si>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</si>
  <si>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</si>
  <si>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</si>
  <si>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</si>
  <si>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</si>
  <si>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</si>
  <si>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</si>
  <si>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</si>
  <si>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</si>
  <si>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</si>
  <si>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</si>
  <si>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</si>
  <si>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</si>
  <si>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</si>
  <si>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</si>
  <si>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</si>
  <si>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</si>
  <si>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</si>
  <si>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</si>
  <si>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</si>
  <si>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</si>
  <si>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</si>
  <si>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</si>
  <si>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</si>
  <si>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</si>
  <si>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</si>
  <si>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</si>
  <si>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</si>
  <si>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</si>
  <si>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</si>
  <si>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</si>
  <si>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</si>
  <si>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</si>
  <si>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</si>
  <si>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</si>
  <si>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</si>
  <si>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</si>
  <si>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</si>
  <si>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</si>
  <si>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</si>
  <si>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</si>
  <si>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</si>
  <si>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</si>
  <si>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</si>
  <si>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</si>
  <si>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</si>
  <si>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</si>
  <si>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</si>
  <si>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</si>
  <si>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</si>
  <si>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</si>
  <si>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</si>
  <si>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</si>
  <si>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</si>
  <si>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</si>
  <si>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</si>
  <si>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</si>
  <si>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</si>
  <si>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</si>
  <si>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</si>
  <si>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</si>
  <si>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</si>
  <si>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</si>
  <si>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</si>
  <si>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</si>
  <si>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</si>
  <si>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</si>
  <si>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</si>
  <si>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</si>
  <si>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</si>
  <si>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</si>
  <si>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</si>
  <si>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</si>
  <si>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</si>
  <si>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</si>
  <si>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</si>
  <si>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</si>
  <si>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</si>
  <si>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</si>
  <si>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</si>
  <si>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</si>
  <si>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</si>
  <si>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</si>
  <si>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</si>
  <si>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</si>
  <si>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</si>
  <si>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</si>
  <si>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</si>
  <si>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</si>
  <si>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</si>
  <si>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</si>
  <si>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</si>
  <si>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</si>
  <si>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</si>
  <si>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</si>
  <si>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</si>
  <si>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</si>
  <si>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</si>
  <si>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</si>
  <si>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</si>
  <si>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</si>
  <si>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</si>
  <si>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</si>
  <si>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</si>
  <si>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</si>
  <si>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</si>
  <si>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</si>
  <si>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</si>
  <si>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</si>
  <si>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</si>
  <si>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</si>
  <si>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</si>
  <si>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</si>
  <si>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</si>
  <si>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</si>
  <si>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</si>
  <si>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</si>
  <si>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</si>
  <si>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</si>
  <si>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</si>
  <si>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</si>
  <si>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</si>
  <si>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</si>
  <si>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</si>
  <si>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</si>
  <si>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</si>
  <si>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</si>
  <si>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</si>
  <si>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</si>
  <si>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</si>
  <si>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</si>
  <si>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</si>
  <si>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</si>
  <si>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</si>
  <si>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</si>
  <si>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</si>
  <si>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</si>
  <si>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</si>
  <si>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</si>
  <si>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</si>
  <si>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</si>
  <si>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</si>
  <si>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</si>
  <si>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</si>
  <si>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</si>
  <si>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</si>
  <si>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</si>
  <si>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</si>
  <si>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</si>
  <si>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</si>
  <si>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</si>
  <si>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</si>
  <si>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</si>
  <si>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</si>
  <si>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</si>
  <si>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</si>
  <si>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</si>
  <si>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</si>
  <si>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</si>
  <si>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</si>
  <si>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</si>
  <si>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</si>
  <si>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</si>
  <si>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</si>
  <si>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</si>
  <si>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</si>
  <si>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</si>
  <si>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</si>
  <si>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</si>
  <si>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</si>
  <si>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</si>
  <si>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</si>
  <si>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</si>
  <si>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</si>
  <si>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</si>
  <si>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</si>
  <si>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</si>
  <si>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</si>
  <si>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</si>
  <si>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</si>
  <si>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</si>
  <si>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</si>
  <si>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</si>
  <si>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</si>
  <si>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</si>
  <si>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</si>
  <si>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</si>
  <si>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</si>
  <si>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</si>
  <si>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</si>
  <si>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</si>
  <si>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</si>
  <si>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</si>
  <si>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</si>
  <si>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</si>
  <si>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</si>
  <si>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</si>
  <si>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</si>
  <si>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</si>
  <si>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</si>
  <si>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</si>
  <si>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</si>
  <si>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</si>
  <si>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</si>
  <si>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</si>
  <si>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</si>
  <si>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</si>
  <si>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</si>
  <si>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</si>
  <si>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</si>
  <si>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</si>
  <si>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</si>
  <si>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</si>
  <si>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</si>
  <si>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</si>
  <si>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</si>
  <si>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</si>
  <si>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</si>
  <si>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</si>
  <si>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</si>
  <si>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</si>
  <si>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</si>
  <si>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</si>
  <si>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</si>
  <si>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</si>
  <si>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</si>
  <si>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</si>
  <si>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</si>
  <si>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</si>
  <si>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</si>
  <si>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</si>
  <si>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</si>
  <si>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</si>
  <si>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</si>
  <si>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</si>
  <si>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</si>
  <si>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</si>
  <si>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</si>
  <si>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</si>
  <si>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</si>
  <si>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</si>
  <si>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</si>
  <si>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</si>
  <si>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</si>
  <si>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</si>
  <si>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</si>
  <si>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</si>
  <si>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</si>
  <si>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</si>
  <si>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</si>
  <si>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</si>
  <si>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</si>
  <si>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</si>
  <si>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</si>
  <si>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</si>
  <si>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</si>
  <si>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</si>
  <si>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</si>
  <si>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</si>
  <si>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</si>
  <si>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</si>
  <si>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</si>
  <si>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</si>
  <si>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</si>
  <si>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</si>
  <si>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</si>
  <si>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</si>
  <si>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</si>
  <si>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</si>
  <si>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</si>
  <si>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</si>
  <si>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</si>
  <si>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</si>
  <si>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</si>
  <si>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</si>
  <si>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</si>
  <si>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</si>
  <si>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</si>
  <si>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</si>
  <si>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</si>
  <si>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</si>
  <si>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</si>
  <si>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</si>
  <si>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</si>
  <si>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</si>
  <si>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</si>
  <si>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</si>
  <si>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</si>
  <si>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</si>
  <si>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</si>
  <si>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</si>
  <si>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</si>
  <si>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</si>
  <si>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</si>
  <si>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</si>
  <si>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</si>
  <si>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</si>
  <si>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</si>
  <si>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</si>
  <si>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</si>
  <si>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</si>
  <si>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</si>
  <si>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</si>
  <si>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</si>
  <si>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</si>
  <si>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</si>
  <si>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</si>
  <si>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</si>
  <si>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</si>
  <si>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</si>
  <si>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</si>
  <si>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</si>
  <si>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</si>
  <si>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</si>
  <si>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</si>
  <si>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</si>
  <si>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</si>
  <si>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</si>
  <si>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</si>
  <si>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</si>
  <si>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</si>
  <si>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</si>
  <si>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</si>
  <si>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</si>
  <si>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</si>
  <si>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</si>
  <si>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</si>
  <si>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</si>
  <si>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</si>
  <si>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</si>
  <si>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</si>
  <si>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</si>
  <si>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</si>
  <si>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</si>
  <si>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</si>
  <si>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</si>
  <si>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</si>
  <si>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</si>
  <si>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</si>
  <si>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</si>
  <si>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</si>
  <si>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</si>
  <si>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</si>
  <si>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</si>
  <si>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</si>
  <si>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</si>
  <si>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</si>
  <si>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</si>
  <si>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</si>
  <si>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</si>
  <si>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</si>
  <si>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</si>
  <si>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</si>
  <si>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</si>
  <si>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</si>
  <si>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</si>
  <si>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</si>
  <si>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</si>
  <si>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</si>
  <si>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</si>
  <si>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</si>
  <si>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</si>
  <si>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</si>
  <si>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</si>
  <si>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</si>
  <si>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</si>
  <si>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</si>
  <si>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</si>
  <si>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</si>
  <si>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</si>
  <si>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</si>
  <si>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</si>
  <si>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</si>
  <si>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</si>
  <si>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</si>
  <si>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</si>
  <si>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</si>
  <si>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</si>
  <si>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</si>
  <si>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</si>
  <si>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</si>
  <si>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</si>
  <si>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</si>
  <si>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</si>
  <si>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</si>
  <si>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</si>
  <si>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</si>
  <si>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</si>
  <si>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</si>
  <si>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</si>
  <si>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</si>
  <si>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</si>
  <si>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</si>
  <si>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</si>
  <si>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</si>
  <si>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</si>
  <si>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</si>
  <si>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</si>
  <si>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</si>
  <si>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</si>
  <si>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</si>
  <si>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</si>
  <si>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</si>
  <si>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</si>
  <si>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</si>
  <si>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</si>
  <si>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</si>
  <si>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</si>
  <si>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</si>
  <si>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</si>
  <si>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</si>
  <si>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</si>
  <si>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</si>
  <si>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</si>
  <si>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</si>
  <si>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</si>
  <si>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</si>
  <si>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</si>
  <si>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</si>
  <si>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</si>
  <si>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</si>
  <si>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</si>
  <si>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</si>
  <si>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</si>
  <si>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</si>
  <si>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</si>
  <si>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</si>
  <si>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</si>
  <si>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</si>
  <si>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</si>
  <si>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</si>
  <si>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</si>
  <si>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</si>
  <si>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</si>
  <si>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</si>
  <si>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</si>
  <si>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</si>
  <si>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</si>
  <si>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</si>
  <si>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</si>
  <si>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</si>
  <si>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</si>
  <si>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</si>
  <si>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</si>
  <si>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</si>
  <si>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</si>
  <si>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</si>
  <si>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</si>
  <si>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</si>
  <si>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</si>
  <si>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</si>
  <si>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</si>
  <si>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</si>
  <si>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</si>
  <si>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</si>
  <si>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</si>
  <si>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</si>
  <si>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</si>
  <si>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</si>
  <si>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</si>
  <si>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</si>
  <si>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</si>
  <si>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</si>
  <si>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</si>
  <si>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</si>
  <si>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</si>
  <si>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</si>
  <si>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</si>
  <si>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</si>
  <si>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</si>
  <si>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</si>
  <si>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</si>
  <si>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</si>
  <si>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</si>
  <si>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</si>
  <si>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</si>
  <si>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</si>
  <si>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</si>
  <si>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</si>
  <si>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</si>
  <si>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</si>
  <si>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</si>
  <si>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</si>
  <si>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</si>
  <si>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</si>
  <si>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</si>
  <si>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</si>
  <si>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</si>
  <si>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</si>
  <si>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</si>
  <si>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</si>
  <si>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</si>
  <si>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</si>
  <si>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</si>
  <si>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</si>
  <si>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</si>
  <si>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</si>
  <si>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</si>
  <si>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</si>
  <si>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</si>
  <si>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</si>
  <si>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</si>
  <si>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</si>
  <si>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</si>
  <si>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</si>
  <si>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</si>
  <si>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</si>
  <si>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</si>
  <si>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</si>
  <si>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</si>
  <si>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</si>
  <si>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</si>
  <si>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</si>
  <si>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</si>
  <si>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</si>
  <si>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</si>
  <si>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</si>
  <si>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</si>
  <si>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</si>
  <si>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</si>
  <si>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</si>
  <si>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</si>
  <si>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</si>
  <si>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</si>
  <si>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</si>
  <si>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</si>
  <si>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</si>
  <si>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</si>
  <si>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</si>
  <si>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</si>
  <si>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</si>
  <si>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</si>
  <si>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</si>
  <si>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</si>
  <si>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</si>
  <si>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</si>
  <si>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</si>
  <si>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</si>
  <si>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</si>
  <si>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</si>
  <si>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</si>
  <si>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</si>
  <si>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</si>
  <si>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</si>
  <si>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</si>
  <si>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</si>
  <si>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</si>
  <si>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</si>
  <si>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</si>
  <si>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</si>
  <si>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</si>
  <si>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</si>
  <si>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</si>
  <si>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</si>
  <si>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</si>
  <si>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</si>
  <si>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</si>
  <si>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</si>
  <si>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</si>
  <si>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</si>
  <si>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</si>
  <si>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</si>
  <si>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</si>
  <si>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</si>
  <si>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</si>
  <si>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</si>
  <si>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</si>
  <si>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</si>
  <si>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</si>
  <si>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</si>
  <si>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</si>
  <si>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</si>
  <si>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</si>
  <si>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</si>
  <si>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</si>
  <si>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</si>
  <si>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</si>
  <si>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</si>
  <si>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</si>
  <si>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</si>
  <si>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</si>
  <si>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</si>
  <si>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</si>
  <si>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</si>
  <si>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</si>
  <si>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</si>
  <si>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</si>
  <si>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</si>
  <si>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</si>
  <si>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</si>
  <si>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</si>
  <si>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</si>
  <si>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</si>
  <si>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</si>
  <si>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</si>
  <si>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</si>
  <si>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</si>
  <si>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</si>
  <si>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</si>
  <si>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</si>
  <si>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</si>
  <si>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</si>
  <si>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</si>
  <si>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</si>
  <si>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</si>
  <si>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</si>
  <si>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</si>
  <si>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</si>
  <si>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</si>
  <si>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</si>
  <si>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</si>
  <si>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</si>
  <si>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</si>
  <si>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</si>
  <si>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</si>
  <si>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</si>
  <si>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</si>
  <si>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</si>
  <si>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</si>
  <si>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</si>
  <si>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</si>
  <si>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</si>
  <si>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</si>
  <si>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</si>
  <si>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</si>
  <si>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</si>
  <si>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</si>
  <si>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</si>
  <si>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</si>
  <si>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</si>
  <si>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</si>
  <si>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</si>
  <si>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</si>
  <si>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</si>
  <si>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</si>
  <si>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</si>
  <si>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</si>
  <si>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</si>
  <si>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</si>
  <si>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</si>
  <si>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</si>
  <si>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</si>
  <si>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</si>
  <si>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</si>
  <si>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</si>
  <si>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</si>
  <si>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</si>
  <si>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</si>
  <si>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</si>
  <si>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</si>
  <si>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</si>
  <si>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</si>
  <si>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</si>
  <si>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</si>
  <si>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</si>
  <si>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</si>
  <si>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</si>
  <si>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</si>
  <si>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</si>
  <si>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</si>
  <si>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</si>
  <si>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</si>
  <si>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</si>
  <si>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</si>
  <si>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</si>
  <si>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</si>
  <si>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</si>
  <si>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</si>
  <si>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</si>
  <si>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</si>
  <si>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</si>
  <si>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</si>
  <si>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</si>
  <si>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</si>
  <si>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</si>
  <si>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</si>
  <si>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</si>
  <si>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</si>
  <si>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</si>
  <si>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</si>
  <si>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</si>
  <si>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</si>
  <si>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</si>
  <si>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</si>
  <si>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</si>
  <si>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</si>
  <si>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</si>
  <si>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</si>
  <si>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</si>
  <si>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</si>
  <si>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</si>
  <si>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</si>
  <si>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</si>
  <si>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</si>
  <si>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</si>
  <si>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</si>
  <si>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</si>
  <si>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</si>
  <si>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</si>
  <si>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</si>
  <si>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</si>
  <si>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</si>
  <si>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</si>
  <si>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</si>
  <si>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</si>
  <si>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</si>
  <si>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</si>
  <si>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</si>
  <si>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</si>
  <si>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</si>
  <si>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</si>
  <si>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</si>
  <si>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</si>
  <si>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</si>
  <si>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</si>
  <si>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</si>
  <si>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</si>
  <si>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</si>
  <si>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</si>
  <si>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</si>
  <si>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</si>
  <si>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</si>
  <si>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</si>
  <si>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</si>
  <si>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</si>
  <si>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</si>
  <si>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</si>
  <si>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</si>
  <si>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</si>
  <si>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</si>
  <si>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</si>
  <si>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</si>
  <si>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</si>
  <si>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</si>
  <si>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</si>
  <si>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</si>
  <si>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</si>
  <si>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</si>
  <si>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</si>
  <si>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</si>
  <si>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</si>
  <si>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</si>
  <si>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</si>
  <si>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</si>
  <si>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</si>
  <si>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</si>
  <si>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</si>
  <si>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</si>
  <si>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</si>
  <si>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</si>
  <si>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</si>
  <si>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</si>
  <si>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</si>
  <si>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</si>
  <si>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</si>
  <si>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</si>
  <si>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</si>
  <si>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</si>
  <si>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</si>
  <si>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</si>
  <si>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</si>
  <si>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</si>
  <si>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</si>
  <si>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</si>
  <si>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</si>
  <si>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</si>
  <si>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</si>
  <si>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</si>
  <si>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</si>
  <si>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</si>
  <si>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</si>
  <si>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</si>
  <si>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</si>
  <si>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</si>
  <si>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</si>
  <si>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</si>
  <si>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</si>
  <si>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</si>
  <si>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</si>
  <si>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</si>
  <si>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</si>
  <si>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</si>
  <si>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</si>
  <si>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</si>
  <si>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</si>
  <si>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</si>
  <si>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</si>
  <si>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</si>
  <si>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</si>
  <si>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</si>
  <si>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</si>
  <si>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</si>
  <si>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</si>
  <si>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</si>
  <si>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</si>
  <si>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</si>
  <si>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</si>
  <si>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</si>
  <si>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</si>
  <si>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</si>
  <si>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</si>
  <si>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</si>
  <si>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</si>
  <si>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</si>
  <si>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</si>
  <si>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</si>
  <si>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</si>
  <si>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</si>
  <si>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</si>
  <si>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</si>
  <si>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</si>
  <si>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</si>
  <si>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</si>
  <si>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</si>
  <si>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</si>
  <si>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</si>
  <si>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</si>
  <si>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</si>
  <si>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</si>
  <si>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</si>
  <si>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</si>
  <si>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</si>
  <si>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</si>
  <si>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</si>
  <si>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</si>
  <si>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</si>
  <si>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</si>
  <si>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</si>
  <si>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</si>
  <si>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</si>
  <si>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</si>
  <si>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</si>
  <si>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</si>
  <si>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</si>
  <si>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</si>
  <si>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</si>
  <si>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</si>
  <si>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</si>
  <si>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</si>
  <si>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</si>
  <si>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</si>
  <si>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</si>
  <si>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</si>
  <si>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</si>
  <si>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</si>
  <si>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</si>
  <si>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</si>
  <si>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</si>
  <si>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</si>
  <si>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</si>
  <si>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</si>
  <si>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</si>
  <si>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</si>
  <si>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</si>
  <si>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</si>
  <si>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</si>
  <si>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</si>
  <si>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</si>
  <si>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</si>
  <si>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</si>
  <si>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</si>
  <si>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</si>
  <si>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</si>
  <si>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</si>
  <si>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</si>
  <si>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</si>
  <si>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</si>
  <si>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</si>
  <si>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</si>
  <si>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</si>
  <si>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</si>
  <si>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</si>
  <si>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</si>
  <si>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</si>
  <si>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</si>
  <si>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</si>
  <si>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</si>
  <si>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</si>
  <si>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</si>
  <si>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</si>
  <si>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</si>
  <si>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</si>
  <si>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</si>
  <si>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</si>
  <si>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</si>
  <si>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</si>
  <si>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</si>
  <si>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</si>
  <si>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</si>
  <si>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</si>
  <si>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</si>
  <si>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</si>
  <si>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</si>
  <si>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</si>
  <si>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</si>
  <si>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</si>
  <si>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</si>
  <si>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</si>
  <si>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</si>
  <si>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</si>
  <si>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</si>
  <si>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</si>
  <si>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</si>
  <si>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</si>
  <si>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</si>
  <si>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</si>
  <si>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</si>
  <si>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</si>
  <si>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</si>
  <si>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</si>
  <si>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</si>
  <si>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</si>
  <si>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</si>
  <si>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</si>
  <si>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</si>
  <si>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</si>
  <si>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</si>
  <si>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</si>
  <si>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</si>
  <si>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</si>
  <si>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</si>
  <si>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</si>
  <si>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</si>
  <si>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</si>
  <si>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</si>
  <si>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</si>
  <si>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</si>
  <si>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</si>
  <si>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</si>
  <si>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</si>
  <si>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</si>
  <si>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</si>
  <si>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</si>
  <si>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</si>
  <si>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</si>
  <si>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</si>
  <si>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</si>
  <si>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</si>
  <si>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</si>
  <si>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</si>
  <si>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</si>
  <si>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</si>
  <si>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</si>
  <si>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</si>
  <si>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</si>
  <si>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</si>
  <si>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</si>
  <si>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</si>
  <si>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</si>
  <si>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</si>
  <si>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</si>
  <si>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</si>
  <si>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</si>
  <si>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</si>
  <si>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</si>
  <si>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</si>
  <si>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</si>
  <si>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</si>
  <si>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</si>
  <si>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</si>
  <si>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</si>
  <si>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</si>
  <si>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</si>
  <si>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</si>
  <si>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</si>
  <si>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</si>
  <si>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</si>
  <si>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</si>
  <si>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</si>
  <si>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</si>
  <si>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</si>
  <si>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</si>
  <si>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</si>
  <si>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</si>
  <si>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</si>
  <si>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</si>
  <si>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</si>
  <si>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</si>
  <si>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</si>
  <si>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</si>
  <si>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</si>
  <si>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</si>
  <si>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</si>
  <si>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</si>
  <si>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</si>
  <si>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</si>
  <si>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</si>
  <si>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</si>
  <si>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</si>
  <si>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</si>
  <si>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</si>
  <si>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</si>
  <si>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</si>
  <si>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</si>
  <si>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</si>
  <si>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</si>
  <si>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</si>
  <si>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</si>
  <si>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</si>
  <si>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</si>
  <si>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</si>
  <si>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</si>
  <si>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</si>
  <si>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</si>
  <si>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</si>
  <si>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</si>
  <si>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</si>
  <si>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</si>
  <si>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</si>
  <si>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</si>
  <si>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</si>
  <si>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</si>
  <si>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</si>
  <si>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</si>
  <si>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</si>
  <si>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</si>
  <si>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</si>
  <si>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</si>
  <si>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</si>
  <si>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</si>
  <si>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</si>
  <si>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</si>
  <si>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</si>
  <si>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</si>
  <si>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</si>
  <si>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</si>
  <si>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</si>
  <si>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</si>
  <si>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</si>
  <si>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</si>
  <si>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</si>
  <si>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</si>
  <si>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</si>
  <si>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</si>
  <si>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</si>
  <si>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</si>
  <si>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</si>
  <si>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</si>
  <si>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</si>
  <si>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</si>
  <si>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</si>
  <si>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</si>
  <si>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</si>
  <si>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</si>
  <si>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</si>
  <si>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</si>
  <si>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</si>
  <si>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</si>
  <si>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</si>
  <si>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</si>
  <si>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</si>
  <si>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</si>
  <si>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</si>
  <si>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</si>
  <si>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</si>
  <si>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</si>
  <si>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</si>
  <si>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</si>
  <si>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</si>
  <si>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</si>
  <si>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</si>
  <si>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</si>
  <si>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</si>
  <si>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</si>
  <si>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</si>
  <si>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</si>
  <si>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</si>
  <si>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</si>
  <si>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</si>
  <si>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</si>
  <si>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</si>
  <si>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</si>
  <si>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</si>
  <si>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</si>
  <si>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</si>
  <si>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</si>
  <si>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</si>
  <si>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</si>
  <si>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</si>
  <si>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</si>
  <si>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</si>
  <si>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</si>
  <si>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</si>
  <si>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</si>
  <si>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</si>
  <si>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</si>
  <si>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</si>
  <si>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</si>
  <si>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</si>
  <si>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</si>
  <si>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</si>
  <si>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</si>
  <si>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</si>
  <si>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</si>
  <si>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</si>
  <si>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</si>
  <si>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</si>
  <si>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</si>
  <si>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</si>
  <si>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</si>
  <si>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</si>
  <si>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</si>
  <si>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</si>
  <si>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</si>
  <si>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</si>
  <si>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</si>
  <si>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</si>
  <si>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</si>
  <si>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</si>
  <si>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</si>
  <si>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</si>
  <si>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</si>
  <si>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</si>
  <si>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</si>
  <si>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</si>
  <si>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</si>
  <si>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</si>
  <si>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</si>
  <si>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</si>
  <si>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</si>
  <si>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</si>
  <si>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</si>
  <si>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</si>
  <si>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</si>
  <si>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</si>
  <si>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</si>
  <si>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</si>
  <si>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</si>
  <si>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</si>
  <si>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</si>
  <si>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</si>
  <si>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</si>
  <si>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</si>
  <si>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</si>
  <si>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</si>
  <si>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</si>
  <si>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</si>
  <si>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</si>
  <si>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</si>
  <si>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</si>
  <si>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</si>
  <si>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</si>
  <si>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</si>
  <si>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</si>
  <si>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</si>
  <si>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</si>
  <si>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</si>
  <si>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</si>
  <si>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</si>
  <si>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</si>
  <si>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</si>
  <si>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</si>
  <si>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</si>
  <si>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</si>
  <si>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</si>
  <si>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</si>
  <si>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</si>
  <si>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</si>
  <si>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</si>
  <si>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</si>
  <si>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</si>
  <si>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</si>
  <si>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</si>
  <si>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</si>
  <si>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</si>
  <si>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</si>
  <si>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</si>
  <si>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</si>
  <si>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</si>
  <si>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</si>
  <si>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</si>
  <si>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</si>
  <si>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</si>
  <si>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</si>
  <si>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</si>
  <si>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</si>
  <si>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</si>
  <si>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</si>
  <si>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</si>
  <si>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</si>
  <si>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</si>
  <si>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</si>
  <si>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</si>
  <si>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</si>
  <si>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</si>
  <si>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</si>
  <si>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</si>
  <si>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</si>
  <si>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</si>
  <si>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</si>
  <si>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</si>
  <si>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</si>
  <si>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</si>
  <si>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</si>
  <si>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</si>
  <si>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</si>
  <si>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</si>
  <si>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</si>
  <si>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</si>
  <si>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</si>
  <si>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</si>
  <si>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</si>
  <si>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</si>
  <si>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</si>
  <si>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</si>
  <si>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</si>
  <si>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</si>
  <si>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</si>
  <si>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</si>
  <si>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</si>
  <si>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</si>
  <si>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</si>
  <si>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</si>
  <si>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</si>
  <si>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</si>
  <si>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</si>
  <si>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</si>
  <si>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</si>
  <si>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</si>
  <si>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</si>
  <si>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</si>
  <si>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</si>
  <si>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</si>
  <si>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</si>
  <si>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</si>
  <si>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</si>
  <si>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</si>
  <si>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</si>
  <si>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</si>
  <si>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</si>
  <si>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</si>
  <si>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</si>
  <si>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</si>
  <si>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</si>
  <si>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</si>
  <si>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</si>
  <si>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</si>
  <si>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</si>
  <si>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</si>
  <si>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</si>
  <si>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</si>
  <si>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</si>
  <si>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</si>
  <si>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</si>
  <si>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</si>
  <si>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</si>
  <si>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</si>
  <si>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</si>
  <si>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</si>
  <si>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</si>
  <si>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</si>
  <si>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</si>
  <si>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</si>
  <si>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</si>
  <si>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</si>
  <si>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</si>
  <si>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</si>
  <si>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</si>
  <si>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</si>
  <si>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</si>
  <si>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</si>
  <si>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</si>
  <si>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</si>
  <si>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</si>
  <si>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</si>
  <si>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</si>
  <si>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</si>
  <si>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</si>
  <si>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</si>
  <si>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</si>
  <si>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</si>
  <si>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</si>
  <si>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</si>
  <si>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</si>
  <si>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</si>
  <si>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</si>
  <si>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</si>
  <si>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</si>
  <si>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</si>
  <si>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</si>
  <si>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</si>
  <si>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</si>
  <si>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</si>
  <si>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</si>
  <si>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</si>
  <si>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</si>
  <si>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</si>
  <si>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</si>
  <si>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</si>
  <si>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</si>
  <si>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</si>
  <si>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</si>
  <si>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</si>
  <si>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</si>
  <si>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</si>
  <si>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</si>
  <si>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</si>
  <si>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</si>
  <si>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</si>
  <si>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</si>
  <si>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</si>
  <si>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</si>
  <si>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</si>
  <si>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</si>
  <si>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</si>
  <si>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</si>
  <si>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</si>
  <si>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</si>
  <si>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</si>
  <si>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</si>
  <si>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</si>
  <si>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</si>
  <si>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</si>
  <si>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</si>
  <si>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</si>
  <si>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</si>
  <si>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</si>
  <si>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</si>
  <si>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</si>
  <si>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</si>
  <si>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</si>
  <si>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</si>
  <si>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</si>
  <si>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</si>
  <si>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</si>
  <si>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</si>
  <si>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</si>
  <si>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</si>
  <si>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</si>
  <si>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</si>
  <si>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</si>
  <si>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</si>
  <si>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</si>
  <si>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</si>
  <si>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</si>
  <si>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</si>
  <si>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</si>
  <si>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</si>
  <si>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</si>
  <si>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</si>
  <si>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</si>
  <si>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</si>
  <si>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</si>
  <si>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</si>
  <si>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</si>
  <si>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</si>
  <si>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</si>
  <si>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</si>
  <si>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</si>
  <si>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</si>
  <si>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</si>
  <si>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</si>
  <si>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</si>
  <si>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</si>
  <si>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</si>
  <si>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</si>
  <si>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</si>
  <si>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</si>
  <si>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</si>
  <si>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</si>
  <si>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</si>
  <si>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</si>
  <si>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</si>
  <si>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</si>
  <si>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</si>
  <si>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</si>
  <si>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</si>
  <si>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</si>
  <si>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</si>
  <si>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</si>
  <si>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</si>
  <si>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</si>
  <si>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</si>
  <si>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</si>
  <si>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</si>
  <si>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</si>
  <si>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</si>
  <si>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</si>
  <si>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</si>
  <si>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</si>
  <si>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</si>
  <si>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</si>
  <si>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</si>
  <si>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</si>
  <si>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</si>
  <si>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</si>
  <si>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</si>
  <si>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</si>
  <si>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</si>
  <si>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</si>
  <si>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</si>
  <si>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</si>
  <si>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</si>
  <si>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</si>
  <si>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</si>
  <si>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</si>
  <si>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</si>
  <si>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</si>
  <si>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</si>
  <si>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</si>
  <si>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</si>
  <si>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</si>
  <si>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</si>
  <si>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</si>
  <si>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</si>
  <si>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</si>
  <si>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</si>
  <si>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</si>
  <si>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</si>
  <si>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</si>
  <si>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</si>
  <si>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</si>
  <si>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</si>
  <si>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</si>
  <si>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</si>
  <si>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</si>
  <si>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</si>
  <si>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</si>
  <si>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</si>
  <si>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</si>
  <si>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</si>
  <si>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</si>
  <si>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</si>
  <si>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</si>
  <si>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</si>
  <si>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</si>
  <si>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</si>
  <si>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</si>
  <si>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</si>
  <si>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</si>
  <si>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</si>
  <si>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</si>
  <si>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</si>
  <si>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</si>
  <si>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</si>
  <si>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</si>
  <si>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</si>
  <si>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</si>
  <si>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</si>
  <si>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</si>
  <si>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</si>
  <si>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</si>
  <si>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</si>
  <si>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</si>
  <si>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</si>
  <si>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</si>
  <si>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</si>
  <si>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</si>
  <si>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</si>
  <si>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</si>
  <si>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</si>
  <si>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</si>
  <si>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</si>
  <si>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</si>
  <si>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</si>
  <si>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</si>
  <si>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</si>
  <si>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</si>
  <si>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</si>
  <si>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</si>
  <si>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</si>
  <si>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</si>
  <si>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</si>
  <si>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</si>
  <si>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</si>
  <si>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</si>
  <si>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</si>
  <si>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</si>
  <si>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</si>
  <si>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</si>
  <si>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</si>
  <si>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</si>
  <si>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</si>
  <si>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</si>
  <si>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</si>
  <si>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</si>
  <si>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</si>
  <si>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</si>
  <si>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</si>
  <si>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</si>
  <si>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</si>
  <si>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</si>
  <si>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</si>
  <si>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</si>
  <si>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</si>
  <si>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</si>
  <si>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</si>
  <si>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</si>
  <si>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</si>
  <si>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</si>
  <si>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</si>
  <si>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</si>
  <si>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</si>
  <si>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</si>
  <si>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</si>
  <si>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</si>
  <si>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</si>
  <si>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</si>
  <si>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</si>
  <si>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</si>
  <si>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</si>
  <si>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</si>
  <si>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</si>
  <si>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</si>
  <si>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</si>
  <si>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</si>
  <si>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</si>
  <si>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</si>
  <si>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</si>
  <si>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</si>
  <si>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</si>
  <si>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</si>
  <si>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</si>
  <si>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</si>
  <si>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</si>
  <si>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</si>
  <si>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</si>
  <si>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</si>
  <si>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</si>
  <si>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</si>
  <si>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</si>
  <si>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</si>
  <si>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</si>
  <si>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</si>
  <si>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</si>
  <si>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</si>
  <si>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</si>
  <si>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</si>
  <si>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</si>
  <si>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</si>
  <si>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</si>
  <si>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</si>
  <si>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</si>
  <si>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</si>
  <si>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</si>
  <si>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</si>
  <si>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</si>
  <si>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</si>
  <si>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</si>
  <si>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</si>
  <si>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</si>
  <si>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</si>
  <si>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</si>
  <si>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</si>
  <si>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</si>
  <si>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</si>
  <si>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</si>
  <si>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</si>
  <si>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</si>
  <si>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</si>
  <si>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</si>
  <si>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</si>
  <si>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</si>
  <si>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</si>
  <si>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</si>
  <si>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</si>
  <si>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</si>
  <si>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</si>
  <si>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</si>
  <si>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</si>
  <si>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</si>
  <si>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</si>
  <si>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</si>
  <si>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</si>
  <si>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</si>
  <si>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</si>
  <si>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</si>
  <si>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</si>
  <si>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</si>
  <si>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</si>
  <si>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</si>
  <si>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</si>
  <si>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</si>
  <si>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</si>
  <si>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</si>
  <si>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</si>
  <si>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</si>
  <si>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</si>
  <si>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</si>
  <si>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</si>
  <si>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</si>
  <si>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</si>
  <si>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</si>
  <si>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</si>
  <si>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</si>
  <si>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</si>
  <si>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</si>
  <si>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</si>
  <si>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</si>
  <si>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</si>
  <si>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</si>
  <si>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</si>
  <si>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</si>
  <si>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</si>
  <si>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</si>
  <si>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</si>
  <si>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</si>
  <si>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</si>
  <si>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</si>
  <si>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</si>
  <si>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</si>
  <si>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</si>
  <si>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</si>
  <si>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</si>
  <si>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</si>
  <si>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</si>
  <si>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</si>
  <si>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</si>
  <si>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</si>
  <si>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</si>
  <si>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</si>
  <si>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</si>
  <si>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</si>
  <si>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</si>
  <si>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</si>
  <si>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</si>
  <si>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</si>
  <si>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</si>
  <si>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</si>
  <si>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</si>
  <si>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</si>
  <si>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</si>
  <si>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</si>
  <si>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</si>
  <si>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</si>
  <si>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</si>
  <si>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</si>
  <si>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</si>
  <si>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</si>
  <si>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</si>
  <si>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</si>
  <si>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</si>
  <si>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</si>
  <si>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</si>
  <si>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</si>
  <si>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</si>
  <si>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</si>
  <si>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</si>
  <si>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</si>
  <si>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</si>
  <si>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</si>
  <si>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</si>
  <si>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</si>
  <si>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</si>
  <si>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</si>
  <si>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</si>
  <si>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</si>
  <si>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</si>
  <si>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</si>
  <si>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</si>
  <si>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</si>
  <si>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</si>
  <si>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</si>
  <si>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</si>
  <si>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</si>
  <si>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</si>
  <si>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</si>
  <si>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</si>
  <si>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</si>
  <si>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</si>
  <si>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</si>
  <si>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</si>
  <si>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</si>
  <si>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</si>
  <si>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</si>
  <si>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</si>
  <si>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</si>
  <si>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</si>
  <si>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</si>
  <si>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</si>
  <si>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</si>
  <si>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</si>
  <si>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</si>
  <si>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</si>
  <si>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</si>
  <si>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</si>
  <si>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</si>
  <si>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</si>
  <si>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</si>
  <si>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</si>
  <si>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</si>
  <si>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</si>
  <si>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</si>
  <si>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</si>
  <si>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</si>
  <si>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</si>
  <si>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</si>
  <si>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</si>
  <si>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</si>
  <si>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</si>
  <si>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</si>
  <si>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</si>
  <si>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</si>
  <si>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</si>
  <si>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</si>
  <si>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</si>
  <si>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</si>
  <si>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</si>
  <si>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</si>
  <si>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</si>
  <si>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</si>
  <si>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</si>
  <si>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</si>
  <si>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</si>
  <si>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</si>
  <si>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</si>
  <si>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</si>
  <si>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</si>
  <si>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</si>
  <si>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</si>
  <si>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</si>
  <si>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</si>
  <si>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</si>
  <si>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</si>
  <si>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</si>
  <si>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</si>
  <si>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</si>
  <si>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</si>
  <si>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</si>
  <si>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</si>
  <si>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</si>
  <si>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</si>
  <si>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</si>
  <si>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</si>
  <si>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</si>
  <si>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</si>
  <si>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</si>
  <si>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</si>
  <si>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</si>
  <si>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</si>
  <si>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</si>
  <si>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</si>
  <si>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</si>
  <si>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</si>
  <si>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</si>
  <si>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</si>
  <si>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</si>
  <si>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</si>
  <si>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</si>
  <si>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</si>
  <si>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</si>
  <si>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</si>
  <si>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</si>
  <si>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</si>
  <si>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</si>
  <si>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</si>
  <si>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</si>
  <si>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</si>
  <si>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</si>
  <si>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</si>
  <si>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</si>
  <si>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</si>
  <si>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</si>
  <si>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</si>
  <si>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</si>
  <si>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</si>
  <si>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</si>
  <si>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</si>
  <si>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</si>
  <si>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</si>
  <si>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</si>
  <si>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</si>
  <si>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</si>
  <si>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</si>
  <si>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</si>
  <si>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</si>
  <si>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</si>
  <si>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</si>
  <si>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</si>
  <si>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</si>
  <si>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</si>
  <si>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</si>
  <si>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</si>
  <si>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</si>
  <si>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</si>
  <si>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</si>
  <si>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</si>
  <si>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</si>
  <si>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</si>
  <si>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</si>
  <si>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</si>
  <si>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</si>
  <si>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</si>
  <si>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</si>
  <si>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</si>
  <si>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</si>
  <si>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</si>
  <si>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</si>
  <si>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</si>
  <si>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</si>
  <si>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</si>
  <si>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</si>
  <si>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</si>
  <si>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</si>
  <si>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</si>
  <si>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</si>
  <si>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</si>
  <si>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</si>
  <si>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</si>
  <si>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</si>
  <si>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</si>
  <si>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</si>
  <si>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</si>
  <si>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</si>
  <si>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</si>
  <si>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</si>
  <si>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</si>
  <si>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</si>
  <si>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</si>
  <si>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</si>
  <si>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</si>
  <si>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</si>
  <si>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</si>
  <si>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</si>
  <si>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</si>
  <si>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</si>
  <si>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</si>
  <si>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</si>
  <si>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</si>
  <si>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</si>
  <si>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</si>
  <si>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</si>
  <si>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</si>
  <si>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</si>
  <si>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</si>
  <si>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</si>
  <si>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</si>
  <si>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</si>
  <si>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</si>
  <si>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</si>
  <si>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</si>
  <si>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</si>
  <si>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</si>
  <si>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</si>
  <si>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</si>
  <si>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</si>
  <si>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</si>
  <si>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</si>
  <si>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</si>
  <si>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</si>
  <si>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</si>
  <si>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</si>
  <si>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</si>
  <si>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</si>
  <si>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</si>
  <si>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</si>
  <si>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</si>
  <si>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</si>
  <si>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</si>
  <si>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</si>
  <si>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</si>
  <si>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</si>
  <si>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</si>
  <si>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</si>
  <si>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</si>
  <si>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</si>
  <si>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</si>
  <si>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</si>
  <si>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</si>
  <si>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</si>
  <si>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</si>
  <si>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</si>
  <si>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</si>
  <si>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</si>
  <si>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</si>
  <si>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</si>
  <si>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</si>
  <si>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</si>
  <si>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</si>
  <si>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</si>
  <si>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</si>
  <si>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</si>
  <si>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</si>
  <si>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</si>
  <si>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</si>
  <si>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</si>
  <si>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</si>
  <si>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</si>
  <si>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</si>
  <si>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</si>
  <si>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</si>
  <si>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</si>
  <si>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</si>
  <si>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</si>
  <si>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</si>
  <si>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</si>
  <si>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</si>
  <si>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</si>
  <si>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</si>
  <si>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</si>
  <si>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</si>
  <si>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</si>
  <si>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</si>
  <si>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</si>
  <si>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</si>
  <si>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</si>
  <si>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</si>
  <si>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</si>
  <si>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</si>
  <si>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</si>
  <si>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</si>
  <si>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</si>
  <si>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</si>
  <si>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</si>
  <si>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</si>
  <si>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</si>
  <si>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</si>
  <si>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</si>
  <si>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</si>
  <si>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</si>
  <si>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</si>
  <si>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</si>
  <si>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</si>
  <si>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</si>
  <si>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</si>
  <si>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</si>
  <si>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</si>
  <si>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</si>
  <si>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</si>
  <si>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</si>
  <si>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</si>
  <si>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</si>
  <si>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</si>
  <si>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</si>
  <si>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</si>
  <si>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</si>
  <si>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</si>
  <si>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</si>
  <si>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</si>
  <si>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</si>
  <si>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</si>
  <si>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</si>
  <si>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</si>
  <si>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</si>
  <si>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</si>
  <si>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</si>
  <si>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</si>
  <si>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</si>
  <si>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</si>
  <si>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</si>
  <si>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</si>
  <si>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</si>
  <si>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</si>
  <si>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</si>
  <si>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</si>
  <si>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</si>
  <si>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</si>
  <si>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</si>
  <si>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</si>
  <si>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</si>
  <si>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</si>
  <si>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</si>
  <si>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</si>
  <si>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</si>
  <si>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</si>
  <si>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</si>
  <si>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</si>
  <si>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</si>
  <si>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</si>
  <si>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</si>
  <si>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</si>
  <si>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</si>
  <si>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</si>
  <si>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</si>
  <si>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</si>
  <si>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</si>
  <si>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</si>
  <si>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</si>
  <si>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</si>
  <si>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</si>
  <si>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</si>
  <si>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</si>
  <si>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</si>
  <si>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</si>
  <si>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</si>
  <si>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</si>
  <si>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</si>
  <si>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</si>
  <si>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</si>
  <si>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</si>
  <si>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</si>
  <si>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</si>
  <si>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</si>
  <si>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</si>
  <si>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</si>
  <si>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2004A</t>
  </si>
  <si>
    <t>X</t>
  </si>
  <si>
    <t>30-039-1650-16</t>
  </si>
  <si>
    <t>Jackson</t>
  </si>
  <si>
    <t>Carbondale Community High School Dist #165</t>
  </si>
  <si>
    <t>330 South Giant City Road</t>
  </si>
  <si>
    <t xml:space="preserve">Carbondale </t>
  </si>
  <si>
    <t>steve.murphy@cchs165.com</t>
  </si>
  <si>
    <t>Steve Murphy</t>
  </si>
  <si>
    <t>618-457-4722</t>
  </si>
  <si>
    <t>618-457-3353</t>
  </si>
  <si>
    <t>Emling &amp; Hoffman, PC</t>
  </si>
  <si>
    <t>Sarah Kary</t>
  </si>
  <si>
    <t>1191 West Saint Louis Street</t>
  </si>
  <si>
    <t>Nashville</t>
  </si>
  <si>
    <t>IL</t>
  </si>
  <si>
    <t>618-327-4375</t>
  </si>
  <si>
    <t>618-327-4376</t>
  </si>
  <si>
    <t>060-004252</t>
  </si>
  <si>
    <t>sarahkary@emlingcpa.com</t>
  </si>
  <si>
    <t>Cheryl Graff</t>
  </si>
  <si>
    <t>cgraff@roe30.org</t>
  </si>
  <si>
    <t>618-687-7290</t>
  </si>
  <si>
    <t>618-687-7296</t>
  </si>
  <si>
    <t>Illinois Energy Consortium</t>
  </si>
  <si>
    <t>Tri-County Special Education Joint Agreement</t>
  </si>
  <si>
    <t>Jackson Perry Regional Delivery System</t>
  </si>
  <si>
    <t>Page 10:  Line   74:  Educational Fund:  CCHS Band Boosters Banquet, Misc Food Revenue</t>
  </si>
  <si>
    <t xml:space="preserve">Page 11:  Line 107:  Educational Fund:   Miscellaneous Receipts, E-Rate </t>
  </si>
  <si>
    <t>Page 11:  Line 107:  Debt Service:     City Sales Tax Receipts</t>
  </si>
  <si>
    <t>Page 11:  Line 130:  Educational Fund:  Tri-County Student Stipends</t>
  </si>
  <si>
    <t>Page 12:  Line 171:  Educational Fund:  State Orphanage Tuition $22,987,  Library Grant $750.</t>
  </si>
  <si>
    <t xml:space="preserve">Page 14:  Line 272:  Educational Fund:  ISTEM </t>
  </si>
  <si>
    <t>Page 15:  Line  41:   Educational Fund:  Support Services</t>
  </si>
  <si>
    <t>Page 16:  Line  56:   Educational Fund:  Administrative Secretaries</t>
  </si>
  <si>
    <t>Page 16:  Line  73:   Educational Fund:  Central/Community Services</t>
  </si>
  <si>
    <t>Page 16:  Line  83:   Educational Fund:  Other Payments to In-State Gov't Units  Medicaid Payments to Tri-County Sp Ed.</t>
  </si>
  <si>
    <t>Page 18:  Line 171:  Debt Service:  Sales Tax Remit - per agreement with City of Carbondale</t>
  </si>
  <si>
    <t>Page 20:  Line 237:  IMRF:  Support Services</t>
  </si>
  <si>
    <t>Page 20:  Line 260:  IMRF:  Administrative Secretaries</t>
  </si>
  <si>
    <t>Page 20:  Line 260:  IMRF:  Central/Community Services</t>
  </si>
  <si>
    <t>US DEPARTMENT OF EDUCATION</t>
  </si>
  <si>
    <t xml:space="preserve"> Flow Through Illinois State Board of Education</t>
  </si>
  <si>
    <t xml:space="preserve">     Title I (M)</t>
  </si>
  <si>
    <t xml:space="preserve">           FY 17</t>
  </si>
  <si>
    <t>84.010A</t>
  </si>
  <si>
    <t>17-4300</t>
  </si>
  <si>
    <t xml:space="preserve">           FY 18</t>
  </si>
  <si>
    <t>18-4300</t>
  </si>
  <si>
    <t xml:space="preserve">     Title II</t>
  </si>
  <si>
    <t>84.367A</t>
  </si>
  <si>
    <t>17-4932</t>
  </si>
  <si>
    <t>18-4932</t>
  </si>
  <si>
    <t>Total Illinois State Board of Education</t>
  </si>
  <si>
    <t xml:space="preserve"> Flow Through Regional Office of Education #30</t>
  </si>
  <si>
    <t xml:space="preserve">      ISTEM</t>
  </si>
  <si>
    <t>18-4999</t>
  </si>
  <si>
    <t>Total Regional Office of Education #30</t>
  </si>
  <si>
    <t xml:space="preserve"> Flow Through Tri-County Special Ed Joint Agreement</t>
  </si>
  <si>
    <t xml:space="preserve">      IDEA (M)</t>
  </si>
  <si>
    <t>84.027A</t>
  </si>
  <si>
    <t>17-4620</t>
  </si>
  <si>
    <t>18-4620</t>
  </si>
  <si>
    <t>Total Tri-County Special Ed Joint Agreement</t>
  </si>
  <si>
    <t xml:space="preserve"> Flow Through Illinois Community College Board</t>
  </si>
  <si>
    <t xml:space="preserve">     Adult Literacy </t>
  </si>
  <si>
    <t>84.002A</t>
  </si>
  <si>
    <t>17-4590</t>
  </si>
  <si>
    <t>18-4590</t>
  </si>
  <si>
    <t>Total Illinois Community College Board</t>
  </si>
  <si>
    <t>Total US Department of Education</t>
  </si>
  <si>
    <t>US DEPARTMENT OF AGRICULTURE</t>
  </si>
  <si>
    <t xml:space="preserve">     National School Lunch </t>
  </si>
  <si>
    <t>17-4210</t>
  </si>
  <si>
    <t>18-4210</t>
  </si>
  <si>
    <t xml:space="preserve">     National School Breakfast</t>
  </si>
  <si>
    <t>17-4220</t>
  </si>
  <si>
    <t>18-4220</t>
  </si>
  <si>
    <t>Commodities</t>
  </si>
  <si>
    <t>2018-4215</t>
  </si>
  <si>
    <t>Department of Defense</t>
  </si>
  <si>
    <t>Total US Department of Agriculture</t>
  </si>
  <si>
    <t>US DEPARTMENT OF HEALTH AND HUMAN SERVICES</t>
  </si>
  <si>
    <t xml:space="preserve"> Flow Through IL Dept Health &amp; Family Services</t>
  </si>
  <si>
    <t xml:space="preserve">     Administrative Outreach </t>
  </si>
  <si>
    <t>17-4900</t>
  </si>
  <si>
    <t>18-4900</t>
  </si>
  <si>
    <t>Total US Department of Health and Human Services</t>
  </si>
  <si>
    <t>TOTAL FEDERAL AWARDS</t>
  </si>
  <si>
    <t>Unmodified</t>
  </si>
  <si>
    <t>US Dept of Education/Title I</t>
  </si>
  <si>
    <t>US Dept of Education/IDEA</t>
  </si>
  <si>
    <r>
      <t xml:space="preserve">Current </t>
    </r>
    <r>
      <rPr>
        <i/>
        <sz val="9"/>
        <rFont val="Calibri"/>
        <family val="2"/>
        <scheme val="minor"/>
      </rPr>
      <t xml:space="preserve">Government Auditing Standards, </t>
    </r>
    <r>
      <rPr>
        <sz val="9"/>
        <rFont val="Calibri"/>
        <family val="2"/>
        <scheme val="minor"/>
      </rPr>
      <t>require the School District to designate a qualified management level individual to be responsible and accountable for overseeing the drafting of the School District's finanical statements and footnotes in accordance with the cash basis of accounting, which is a basis of accounting other than accounting principles generally accepted in the Untied States of America.</t>
    </r>
  </si>
  <si>
    <t>The District prepares interim finanical reports using software specifically desinged for school district reporting.  For year end reporting purposes, the District relies on the auditor to preapre drafts of full disclosure financial statements (including footnotes) in a format acceptable by ISBE.  The District currently lacks sufficient expertise to prepare year end, full disclosure finanical statements without significant assistance from the auditor, but does possess sufficient skill, knowledge or experience to approve the journal entries and the draft financial statements.</t>
  </si>
  <si>
    <t>Although the auditor can propose adjustment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</si>
  <si>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</si>
  <si>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the Certified Public Accountants as they relate to full disclosure finanical reporting.  Preparation of full disclosure year end finanical statements is not an assigned function for the District accounting staff.</t>
  </si>
  <si>
    <t>The District should review the additional costs it would incur to prepare the finanical statements internally with the corresponding reduction of risk associated with material misstatement of the District's financial statements.</t>
  </si>
  <si>
    <t>Management is currently confident with the abilities of the accounting staff to prepare interim finanical statements.  The District has also accepted the additional risk associated with the auditor drafting the year end financial statements including the notes to the financial statements.  Management will review, approve and take responsibility for the audit adjustments,financial statements, and the notes to the finanical statements.</t>
  </si>
  <si>
    <t>NA</t>
  </si>
  <si>
    <t>Lack of Certified Staff on Hand</t>
  </si>
  <si>
    <t>Not implemented due to financial restraints.</t>
  </si>
  <si>
    <t>2017-01</t>
  </si>
  <si>
    <t>Rounding</t>
  </si>
  <si>
    <t>Of the federal expenditures presented in the schedule, Carbondale Community High School District #165 provided federal awards to subrecipients as follows:</t>
  </si>
  <si>
    <t>None</t>
  </si>
  <si>
    <r>
      <t xml:space="preserve">The following amounts were expended in the form of non-cash assistance by Carbondale Community High School District #165 and </t>
    </r>
    <r>
      <rPr>
        <b/>
        <sz val="9"/>
        <rFont val="Calibri"/>
        <family val="2"/>
        <scheme val="minor"/>
      </rPr>
      <t>should be</t>
    </r>
    <r>
      <rPr>
        <sz val="9"/>
        <rFont val="Calibri"/>
        <family val="2"/>
        <scheme val="minor"/>
      </rPr>
      <t xml:space="preserve"> included in the Schedule of Expenditures of Federal Awards:</t>
    </r>
  </si>
  <si>
    <t>#20 - See Finding 2018-001.</t>
  </si>
  <si>
    <r>
      <t>The accompanying Schedule of Expenditures of Federal Awards includes the federal grant activity of Carbondale Community High School District #165 and is presented on the cash basis of accounting</t>
    </r>
    <r>
      <rPr>
        <b/>
        <sz val="9"/>
        <rFont val="Calibri"/>
        <family val="2"/>
        <scheme val="minor"/>
      </rPr>
      <t>.</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</si>
  <si>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Fire Safety - Facilities Acq. And Constr. Serv - Purch Serv</t>
  </si>
  <si>
    <t>Heartland Mechanical</t>
  </si>
  <si>
    <t>MH Insurance</t>
  </si>
  <si>
    <t>Tort-Insurance Payments-Employee Benefits</t>
  </si>
  <si>
    <t>First Agency (part of MH Ins Contract)</t>
  </si>
  <si>
    <t>ED-O&amp;M- Purchased Service</t>
  </si>
  <si>
    <t>10-2540-300</t>
  </si>
  <si>
    <t>Quality Clean Janitorial Service</t>
  </si>
  <si>
    <t>O&amp;M- O&amp;M-Purchased Service</t>
  </si>
  <si>
    <t>20-2540-300</t>
  </si>
  <si>
    <t>Transportation-Student Transportation-Purchased Serv</t>
  </si>
  <si>
    <t>West Bus Service, Inc</t>
  </si>
  <si>
    <t>90-2530-300</t>
  </si>
  <si>
    <t>80-2300-200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</si>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</sst>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54" fillId="0" borderId="0" xfId="3" applyFont="1" applyAlignment="1" applyProtection="1">
      <alignment horizontal="center" vertical="center"/>
    </xf>
    <xf numFmtId="164" fontId="11" fillId="0" borderId="2" xfId="9" applyNumberFormat="1" applyFont="1" applyFill="1" applyBorder="1" applyAlignment="1" applyProtection="1">
      <alignment horizontal="left" vertical="center"/>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3" fontId="16" fillId="0" borderId="2" xfId="9" applyNumberFormat="1" applyFont="1" applyFill="1" applyBorder="1" applyAlignment="1" applyProtection="1">
      <alignment horizontal="right" vertical="center"/>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protection locked="0"/>
    </xf>
    <xf numFmtId="3" fontId="62" fillId="0" borderId="44"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2" fillId="0" borderId="167" xfId="3" applyNumberFormat="1" applyFont="1" applyBorder="1" applyAlignment="1" applyProtection="1">
      <alignment horizontal="center"/>
      <protection locked="0"/>
    </xf>
    <xf numFmtId="3" fontId="62" fillId="0" borderId="168" xfId="3" applyNumberFormat="1" applyFont="1" applyBorder="1" applyAlignment="1" applyProtection="1">
      <alignment horizontal="center"/>
      <protection locked="0"/>
    </xf>
    <xf numFmtId="3" fontId="64" fillId="0" borderId="167" xfId="3" applyNumberFormat="1" applyFont="1" applyBorder="1" applyAlignment="1" applyProtection="1">
      <alignment horizontal="center"/>
      <protection locked="0"/>
    </xf>
    <xf numFmtId="3" fontId="62" fillId="0" borderId="169" xfId="3" applyNumberFormat="1" applyFont="1" applyBorder="1" applyAlignment="1" applyProtection="1">
      <alignment horizontal="center"/>
      <protection locked="0"/>
    </xf>
    <xf numFmtId="3" fontId="64" fillId="0" borderId="170" xfId="3" applyNumberFormat="1" applyFont="1" applyBorder="1" applyAlignment="1" applyProtection="1">
      <alignment horizontal="center"/>
      <protection locked="0"/>
    </xf>
    <xf numFmtId="3" fontId="64" fillId="0" borderId="171" xfId="3" applyNumberFormat="1" applyFont="1" applyBorder="1" applyAlignment="1" applyProtection="1">
      <alignment horizontal="center"/>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top"/>
      <protection locked="0"/>
    </xf>
    <xf numFmtId="0" fontId="33" fillId="0" borderId="126" xfId="2" applyBorder="1" applyAlignment="1" applyProtection="1">
      <protection locked="0"/>
    </xf>
    <xf numFmtId="0" fontId="16" fillId="0" borderId="129" xfId="0" applyFont="1" applyBorder="1" applyProtection="1">
      <protection locked="0"/>
    </xf>
    <xf numFmtId="0" fontId="16" fillId="0" borderId="127"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0" fontId="13" fillId="0" borderId="126" xfId="0" applyFont="1" applyBorder="1" applyAlignment="1" applyProtection="1">
      <alignment horizontal="left" vertical="center"/>
      <protection locked="0"/>
    </xf>
    <xf numFmtId="0" fontId="13" fillId="0" borderId="129" xfId="0" applyFont="1" applyBorder="1" applyAlignment="1" applyProtection="1">
      <alignment horizontal="left" vertical="center"/>
      <protection locked="0"/>
    </xf>
    <xf numFmtId="0" fontId="13" fillId="0" borderId="127" xfId="0"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protection locked="0"/>
    </xf>
    <xf numFmtId="0" fontId="13" fillId="0" borderId="129" xfId="0" applyNumberFormat="1" applyFont="1" applyBorder="1" applyAlignment="1" applyProtection="1">
      <alignment horizontal="left" vertical="center"/>
      <protection locked="0"/>
    </xf>
    <xf numFmtId="0" fontId="44" fillId="0" borderId="126" xfId="2" applyNumberFormat="1" applyFont="1" applyBorder="1" applyAlignment="1" applyProtection="1">
      <alignment horizontal="left" vertical="center"/>
      <protection locked="0"/>
    </xf>
    <xf numFmtId="0" fontId="44" fillId="0" borderId="129" xfId="2" applyNumberFormat="1" applyFont="1" applyBorder="1" applyAlignment="1" applyProtection="1">
      <alignment horizontal="left" vertical="center"/>
      <protection locked="0"/>
    </xf>
    <xf numFmtId="0" fontId="44" fillId="0" borderId="129" xfId="2" applyFont="1" applyBorder="1" applyAlignment="1" applyProtection="1">
      <alignment horizontal="left" vertical="center"/>
      <protection locked="0"/>
    </xf>
    <xf numFmtId="0" fontId="44" fillId="0" borderId="127"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9" xfId="0" applyNumberFormat="1"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3" fillId="0" borderId="126" xfId="2" applyNumberFormat="1" applyFill="1" applyBorder="1" applyAlignment="1" applyProtection="1">
      <alignment horizontal="left" vertical="center" indent="1"/>
      <protection locked="0"/>
    </xf>
    <xf numFmtId="49" fontId="37" fillId="0" borderId="129" xfId="0" applyNumberFormat="1" applyFont="1" applyBorder="1" applyAlignment="1" applyProtection="1">
      <alignment horizontal="left" vertical="center" indent="1"/>
      <protection locked="0"/>
    </xf>
    <xf numFmtId="49" fontId="37" fillId="0" borderId="127"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3" fillId="0" borderId="0" xfId="12" applyFont="1" applyBorder="1" applyAlignment="1" applyProtection="1">
      <alignmen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0" fontId="13" fillId="0" borderId="126" xfId="12" applyNumberFormat="1" applyFont="1" applyFill="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13" fillId="0" borderId="126" xfId="0"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10"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57" fillId="0" borderId="135" xfId="3" applyNumberFormat="1" applyFont="1" applyBorder="1" applyAlignment="1" applyProtection="1">
      <alignment horizont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1695450</xdr:colOff>
          <xdr:row>7</xdr:row>
          <xdr:rowOff>66675</xdr:rowOff>
        </xdr:from>
        <xdr:to>
          <xdr:col>1</xdr:col>
          <xdr:colOff>2609850</xdr:colOff>
          <xdr:row>11</xdr:row>
          <xdr:rowOff>104775</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sqref="A1:S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9" t="s">
        <v>425</v>
      </c>
      <c r="J1" s="2050"/>
      <c r="K1" s="2050"/>
      <c r="L1" s="2050"/>
      <c r="M1" s="2050"/>
      <c r="N1" s="2050"/>
      <c r="O1" s="2050"/>
      <c r="P1" s="2050"/>
      <c r="Q1" s="2050"/>
      <c r="R1" s="2050"/>
      <c r="S1" s="2050"/>
    </row>
    <row r="2" spans="1:28" ht="12" customHeight="1" x14ac:dyDescent="0.2">
      <c r="A2" s="47" t="s">
        <v>1684</v>
      </c>
      <c r="D2" s="48"/>
      <c r="I2" s="2051" t="s">
        <v>1036</v>
      </c>
      <c r="J2" s="2050"/>
      <c r="K2" s="2050"/>
      <c r="L2" s="2050"/>
      <c r="M2" s="2050"/>
      <c r="N2" s="2050"/>
      <c r="O2" s="2050"/>
      <c r="P2" s="2050"/>
      <c r="Q2" s="2050"/>
      <c r="R2" s="2050"/>
      <c r="S2" s="2050"/>
    </row>
    <row r="3" spans="1:28" ht="12" customHeight="1" x14ac:dyDescent="0.2">
      <c r="A3" s="155" t="s">
        <v>1685</v>
      </c>
      <c r="B3" s="156"/>
      <c r="C3" s="156"/>
      <c r="D3" s="157"/>
      <c r="I3" s="2051" t="s">
        <v>54</v>
      </c>
      <c r="J3" s="2050"/>
      <c r="K3" s="2050"/>
      <c r="L3" s="2050"/>
      <c r="M3" s="2050"/>
      <c r="N3" s="2050"/>
      <c r="O3" s="2050"/>
      <c r="P3" s="2050"/>
      <c r="Q3" s="2050"/>
      <c r="R3" s="2050"/>
      <c r="S3" s="2050"/>
    </row>
    <row r="4" spans="1:28" ht="12" customHeight="1" x14ac:dyDescent="0.2">
      <c r="A4" s="37"/>
      <c r="I4" s="2051" t="s">
        <v>545</v>
      </c>
      <c r="J4" s="2050"/>
      <c r="K4" s="2050"/>
      <c r="L4" s="2050"/>
      <c r="M4" s="2050"/>
      <c r="N4" s="2050"/>
      <c r="O4" s="2050"/>
      <c r="P4" s="2050"/>
      <c r="Q4" s="2050"/>
      <c r="R4" s="2050"/>
      <c r="S4" s="2050"/>
    </row>
    <row r="5" spans="1:28" ht="14.1" customHeight="1" x14ac:dyDescent="0.2">
      <c r="B5" s="104" t="s">
        <v>2074</v>
      </c>
      <c r="C5" s="26" t="s">
        <v>966</v>
      </c>
      <c r="D5" s="84"/>
      <c r="E5" s="84"/>
      <c r="H5" s="38"/>
      <c r="I5" s="2058" t="s">
        <v>701</v>
      </c>
      <c r="J5" s="2000"/>
      <c r="K5" s="2000"/>
      <c r="L5" s="2000"/>
      <c r="M5" s="2000"/>
      <c r="N5" s="2000"/>
      <c r="O5" s="2000"/>
      <c r="P5" s="2000"/>
      <c r="Q5" s="2000"/>
      <c r="R5" s="2000"/>
      <c r="S5" s="2000"/>
    </row>
    <row r="6" spans="1:28" ht="14.1" customHeight="1" x14ac:dyDescent="0.2">
      <c r="B6" s="104"/>
      <c r="C6" s="26" t="s">
        <v>967</v>
      </c>
      <c r="D6" s="84"/>
      <c r="E6" s="84"/>
      <c r="I6" s="2057" t="s">
        <v>938</v>
      </c>
      <c r="J6" s="2000"/>
      <c r="K6" s="2000"/>
      <c r="L6" s="2000"/>
      <c r="M6" s="2000"/>
      <c r="N6" s="2000"/>
      <c r="O6" s="2000"/>
      <c r="P6" s="2000"/>
      <c r="Q6" s="2000"/>
      <c r="R6" s="2000"/>
      <c r="S6" s="2000"/>
    </row>
    <row r="7" spans="1:28" ht="12.2" customHeight="1" x14ac:dyDescent="0.2">
      <c r="I7" s="2052">
        <v>43281</v>
      </c>
      <c r="J7" s="2053"/>
      <c r="K7" s="2053"/>
      <c r="L7" s="2053"/>
      <c r="M7" s="2053"/>
      <c r="N7" s="2053"/>
      <c r="O7" s="2053"/>
      <c r="P7" s="2053"/>
      <c r="Q7" s="2053"/>
      <c r="R7" s="2053"/>
      <c r="S7" s="20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4" t="s">
        <v>695</v>
      </c>
      <c r="J9" s="2055"/>
      <c r="K9" s="2055"/>
      <c r="L9" s="2055"/>
      <c r="M9" s="2055"/>
      <c r="N9" s="2055"/>
      <c r="O9" s="2055"/>
      <c r="P9" s="2055"/>
      <c r="Q9" s="2055"/>
      <c r="R9" s="2055"/>
      <c r="S9" s="2056"/>
      <c r="T9" s="1996" t="s">
        <v>554</v>
      </c>
      <c r="U9" s="1997"/>
      <c r="V9" s="1997"/>
      <c r="W9" s="1997"/>
      <c r="X9" s="1997"/>
      <c r="Y9" s="1997"/>
      <c r="Z9" s="1997"/>
      <c r="AA9" s="1998"/>
    </row>
    <row r="10" spans="1:28" ht="13.5" customHeight="1" x14ac:dyDescent="0.2">
      <c r="A10" s="2005" t="s">
        <v>696</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1012</v>
      </c>
      <c r="B11" s="2009"/>
      <c r="C11" s="2009"/>
      <c r="D11" s="2009"/>
      <c r="E11" s="2009"/>
      <c r="F11" s="2009"/>
      <c r="G11" s="2009"/>
      <c r="H11" s="2010"/>
      <c r="I11" s="27"/>
      <c r="J11" s="74"/>
      <c r="K11" s="27"/>
      <c r="O11" s="148" t="s">
        <v>2074</v>
      </c>
      <c r="P11" s="100" t="s">
        <v>210</v>
      </c>
      <c r="Q11" s="30"/>
      <c r="R11" s="28"/>
      <c r="S11" s="27"/>
      <c r="T11" s="2002"/>
      <c r="U11" s="2003"/>
      <c r="V11" s="2003"/>
      <c r="W11" s="2003"/>
      <c r="X11" s="2003"/>
      <c r="Y11" s="2003"/>
      <c r="Z11" s="2003"/>
      <c r="AA11" s="200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7" t="s">
        <v>2075</v>
      </c>
      <c r="B13" s="2018"/>
      <c r="C13" s="2018"/>
      <c r="D13" s="2018"/>
      <c r="E13" s="2018"/>
      <c r="F13" s="2018"/>
      <c r="G13" s="2018"/>
      <c r="H13" s="2019"/>
      <c r="I13" s="31"/>
      <c r="J13" s="30"/>
      <c r="K13" s="28"/>
      <c r="L13" s="30"/>
      <c r="M13" s="30"/>
      <c r="N13" s="30"/>
      <c r="O13" s="30"/>
      <c r="P13" s="30"/>
      <c r="Q13" s="30"/>
      <c r="R13" s="30"/>
      <c r="S13" s="30"/>
      <c r="T13" s="2023" t="s">
        <v>2084</v>
      </c>
      <c r="U13" s="2024"/>
      <c r="V13" s="2024"/>
      <c r="W13" s="2024"/>
      <c r="X13" s="2024"/>
      <c r="Y13" s="2025"/>
      <c r="Z13" s="2025"/>
      <c r="AA13" s="202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0" t="s">
        <v>2076</v>
      </c>
      <c r="B15" s="2021"/>
      <c r="C15" s="2021"/>
      <c r="D15" s="2021"/>
      <c r="E15" s="2021"/>
      <c r="F15" s="2021"/>
      <c r="G15" s="2021"/>
      <c r="H15" s="2022"/>
      <c r="T15" s="2027" t="s">
        <v>2085</v>
      </c>
      <c r="U15" s="2028"/>
      <c r="V15" s="2028"/>
      <c r="W15" s="2028"/>
      <c r="X15" s="2028"/>
      <c r="Y15" s="2029"/>
      <c r="Z15" s="2029"/>
      <c r="AA15" s="203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7" t="s">
        <v>2077</v>
      </c>
      <c r="B17" s="2047"/>
      <c r="C17" s="2047"/>
      <c r="D17" s="2047"/>
      <c r="E17" s="2047"/>
      <c r="F17" s="2047"/>
      <c r="G17" s="2047"/>
      <c r="H17" s="2048"/>
      <c r="T17" s="2034" t="s">
        <v>2086</v>
      </c>
      <c r="U17" s="2035"/>
      <c r="V17" s="2035"/>
      <c r="W17" s="2035"/>
      <c r="X17" s="2035"/>
      <c r="Y17" s="2035"/>
      <c r="Z17" s="2035"/>
      <c r="AA17" s="2036"/>
    </row>
    <row r="18" spans="1:27" ht="13.5" customHeight="1" x14ac:dyDescent="0.2">
      <c r="A18" s="85" t="s">
        <v>551</v>
      </c>
      <c r="B18" s="76"/>
      <c r="C18" s="72"/>
      <c r="D18" s="76"/>
      <c r="E18" s="76"/>
      <c r="F18" s="76"/>
      <c r="G18" s="76"/>
      <c r="H18" s="56"/>
      <c r="I18" s="2044" t="s">
        <v>697</v>
      </c>
      <c r="J18" s="2045"/>
      <c r="K18" s="2045"/>
      <c r="L18" s="2045"/>
      <c r="M18" s="2045"/>
      <c r="N18" s="2045"/>
      <c r="O18" s="2045"/>
      <c r="P18" s="2045"/>
      <c r="Q18" s="2045"/>
      <c r="R18" s="2045"/>
      <c r="S18" s="2046"/>
      <c r="T18" s="85" t="s">
        <v>735</v>
      </c>
      <c r="U18" s="51"/>
      <c r="V18" s="72"/>
      <c r="W18" s="50"/>
      <c r="X18" s="85" t="s">
        <v>284</v>
      </c>
      <c r="Y18" s="81"/>
      <c r="Z18" s="159" t="s">
        <v>698</v>
      </c>
      <c r="AA18" s="46"/>
    </row>
    <row r="19" spans="1:27" ht="13.5" customHeight="1" x14ac:dyDescent="0.2">
      <c r="A19" s="2014" t="s">
        <v>2078</v>
      </c>
      <c r="B19" s="2015"/>
      <c r="C19" s="2015"/>
      <c r="D19" s="2015"/>
      <c r="E19" s="2015"/>
      <c r="F19" s="2015"/>
      <c r="G19" s="2015"/>
      <c r="H19" s="2016"/>
      <c r="I19" s="30"/>
      <c r="J19" s="99"/>
      <c r="K19" s="40"/>
      <c r="L19" s="38"/>
      <c r="M19" s="112" t="s">
        <v>333</v>
      </c>
      <c r="P19" s="27"/>
      <c r="Q19" s="27"/>
      <c r="R19" s="27"/>
      <c r="S19" s="31"/>
      <c r="T19" s="2020" t="s">
        <v>2087</v>
      </c>
      <c r="U19" s="2012"/>
      <c r="V19" s="2012"/>
      <c r="W19" s="2013"/>
      <c r="X19" s="2032" t="s">
        <v>2088</v>
      </c>
      <c r="Y19" s="2033"/>
      <c r="Z19" s="2031">
        <v>62263</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1" t="s">
        <v>2079</v>
      </c>
      <c r="B21" s="2012"/>
      <c r="C21" s="2012"/>
      <c r="D21" s="2012"/>
      <c r="E21" s="2012"/>
      <c r="F21" s="2012"/>
      <c r="G21" s="2012"/>
      <c r="H21" s="2013"/>
      <c r="I21" s="2040" t="s">
        <v>699</v>
      </c>
      <c r="J21" s="2000"/>
      <c r="K21" s="2000"/>
      <c r="L21" s="2000"/>
      <c r="M21" s="2000"/>
      <c r="N21" s="2000"/>
      <c r="O21" s="2000"/>
      <c r="P21" s="2000"/>
      <c r="Q21" s="2000"/>
      <c r="R21" s="2000"/>
      <c r="S21" s="2001"/>
      <c r="T21" s="1982" t="s">
        <v>2089</v>
      </c>
      <c r="U21" s="1983"/>
      <c r="V21" s="1983"/>
      <c r="W21" s="1983"/>
      <c r="X21" s="1993" t="s">
        <v>2090</v>
      </c>
      <c r="Y21" s="1994"/>
      <c r="Z21" s="1994"/>
      <c r="AA21" s="1995"/>
    </row>
    <row r="22" spans="1:27" ht="13.5" customHeight="1" x14ac:dyDescent="0.2">
      <c r="A22" s="87" t="s">
        <v>552</v>
      </c>
      <c r="B22" s="59"/>
      <c r="C22" s="59"/>
      <c r="D22" s="59"/>
      <c r="E22" s="59"/>
      <c r="F22" s="59"/>
      <c r="G22" s="59"/>
      <c r="H22" s="60"/>
      <c r="I22" s="2041" t="s">
        <v>1504</v>
      </c>
      <c r="J22" s="2042"/>
      <c r="K22" s="2042"/>
      <c r="L22" s="2042"/>
      <c r="M22" s="2042"/>
      <c r="N22" s="2042"/>
      <c r="O22" s="2042"/>
      <c r="P22" s="2042"/>
      <c r="Q22" s="2042"/>
      <c r="R22" s="2042"/>
      <c r="S22" s="2043"/>
      <c r="T22" s="85" t="s">
        <v>1596</v>
      </c>
      <c r="U22" s="51"/>
      <c r="V22" s="72"/>
      <c r="W22" s="51"/>
      <c r="X22" s="160" t="s">
        <v>1385</v>
      </c>
      <c r="Z22" s="45"/>
      <c r="AA22" s="46"/>
    </row>
    <row r="23" spans="1:27" ht="13.5" customHeight="1" x14ac:dyDescent="0.2">
      <c r="A23" s="2037" t="s">
        <v>2080</v>
      </c>
      <c r="B23" s="2038"/>
      <c r="C23" s="2038"/>
      <c r="D23" s="2038"/>
      <c r="E23" s="2038"/>
      <c r="F23" s="2038"/>
      <c r="G23" s="2038"/>
      <c r="H23" s="2039"/>
      <c r="T23" s="1977" t="s">
        <v>2091</v>
      </c>
      <c r="U23" s="1978"/>
      <c r="V23" s="1978"/>
      <c r="W23" s="1978"/>
      <c r="X23" s="1990">
        <v>43466</v>
      </c>
      <c r="Y23" s="1991"/>
      <c r="Z23" s="1991"/>
      <c r="AA23" s="1992"/>
    </row>
    <row r="24" spans="1:27" ht="14.1" customHeight="1" x14ac:dyDescent="0.2">
      <c r="A24" s="88" t="s">
        <v>698</v>
      </c>
      <c r="B24" s="49"/>
      <c r="C24" s="49"/>
      <c r="D24" s="49"/>
      <c r="E24" s="49"/>
      <c r="F24" s="49"/>
      <c r="G24" s="49"/>
      <c r="H24" s="61"/>
      <c r="J24" s="2082">
        <f>IF(B5="x",IF(AUDITCHECK!D29="AFR form Incomplete.","",IF(AUDITCHECK!D29="Deficit reduction plan is required.","School District must complete a deficit reduction plan in the 2018-2019 Budget",)),"")</f>
        <v>0</v>
      </c>
      <c r="K24" s="2082"/>
      <c r="L24" s="2082"/>
      <c r="M24" s="2082"/>
      <c r="N24" s="2082"/>
      <c r="O24" s="2082"/>
      <c r="P24" s="2082"/>
      <c r="Q24" s="2082"/>
      <c r="R24" s="2082"/>
      <c r="S24" s="2083"/>
      <c r="T24" s="105" t="s">
        <v>552</v>
      </c>
      <c r="U24" s="106"/>
      <c r="V24" s="106"/>
      <c r="W24" s="106"/>
      <c r="X24" s="107"/>
      <c r="Y24" s="107"/>
      <c r="Z24" s="107"/>
      <c r="AA24" s="108"/>
    </row>
    <row r="25" spans="1:27" ht="14.1" customHeight="1" x14ac:dyDescent="0.2">
      <c r="A25" s="2075">
        <v>62902</v>
      </c>
      <c r="B25" s="2033"/>
      <c r="C25" s="2033"/>
      <c r="D25" s="2033"/>
      <c r="E25" s="2033"/>
      <c r="F25" s="2033"/>
      <c r="G25" s="2033"/>
      <c r="H25" s="2016"/>
      <c r="I25" s="113"/>
      <c r="J25" s="2084"/>
      <c r="K25" s="2084"/>
      <c r="L25" s="2084"/>
      <c r="M25" s="2084"/>
      <c r="N25" s="2084"/>
      <c r="O25" s="2084"/>
      <c r="P25" s="2084"/>
      <c r="Q25" s="2084"/>
      <c r="R25" s="2084"/>
      <c r="S25" s="2085"/>
      <c r="T25" s="1974" t="s">
        <v>2092</v>
      </c>
      <c r="U25" s="1975"/>
      <c r="V25" s="1975"/>
      <c r="W25" s="1975"/>
      <c r="X25" s="1975"/>
      <c r="Y25" s="1975"/>
      <c r="Z25" s="1975"/>
      <c r="AA25" s="19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9" t="s">
        <v>1591</v>
      </c>
      <c r="J27" s="2045"/>
      <c r="K27" s="2045"/>
      <c r="L27" s="2045"/>
      <c r="M27" s="2045"/>
      <c r="N27" s="2045"/>
      <c r="O27" s="2045"/>
      <c r="P27" s="2045"/>
      <c r="Q27" s="2045"/>
      <c r="R27" s="2045"/>
      <c r="S27" s="204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2074</v>
      </c>
      <c r="C34" s="32" t="s">
        <v>563</v>
      </c>
      <c r="D34" s="31"/>
      <c r="E34" s="31"/>
      <c r="F34" s="31"/>
      <c r="G34" s="31"/>
      <c r="H34" s="31"/>
      <c r="I34" s="54"/>
      <c r="J34" s="83"/>
      <c r="L34" s="101"/>
      <c r="M34" s="93" t="s">
        <v>731</v>
      </c>
      <c r="N34" s="30"/>
      <c r="O34" s="30"/>
      <c r="P34" s="30"/>
      <c r="Q34" s="30"/>
      <c r="R34" s="30"/>
      <c r="S34" s="55"/>
      <c r="T34" s="30"/>
      <c r="U34" s="102" t="s">
        <v>2074</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81"/>
      <c r="Q35" s="2012"/>
      <c r="R35" s="20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7" t="s">
        <v>2081</v>
      </c>
      <c r="B38" s="2047"/>
      <c r="C38" s="2047"/>
      <c r="D38" s="2047"/>
      <c r="E38" s="2047"/>
      <c r="F38" s="2033"/>
      <c r="G38" s="2033"/>
      <c r="H38" s="2016"/>
      <c r="I38" s="2063"/>
      <c r="J38" s="2028"/>
      <c r="K38" s="2028"/>
      <c r="L38" s="2028"/>
      <c r="M38" s="2028"/>
      <c r="N38" s="2028"/>
      <c r="O38" s="2028"/>
      <c r="P38" s="2064"/>
      <c r="Q38" s="2064"/>
      <c r="R38" s="2064"/>
      <c r="S38" s="2065"/>
      <c r="T38" s="1984" t="s">
        <v>2093</v>
      </c>
      <c r="U38" s="1985"/>
      <c r="V38" s="1985"/>
      <c r="W38" s="1985"/>
      <c r="X38" s="1980"/>
      <c r="Y38" s="1980"/>
      <c r="Z38" s="1980"/>
      <c r="AA38" s="1981"/>
    </row>
    <row r="39" spans="1:27" ht="12" customHeight="1" x14ac:dyDescent="0.2">
      <c r="A39" s="2077" t="s">
        <v>552</v>
      </c>
      <c r="B39" s="2078"/>
      <c r="C39" s="72"/>
      <c r="D39" s="69"/>
      <c r="E39" s="69"/>
      <c r="F39" s="79"/>
      <c r="G39" s="69"/>
      <c r="H39" s="56"/>
      <c r="I39" s="2077" t="s">
        <v>552</v>
      </c>
      <c r="J39" s="2078"/>
      <c r="K39" s="2078"/>
      <c r="L39" s="2078"/>
      <c r="M39" s="2078"/>
      <c r="N39" s="67"/>
      <c r="O39" s="72"/>
      <c r="P39" s="72"/>
      <c r="Q39" s="78"/>
      <c r="R39" s="72"/>
      <c r="S39" s="56"/>
      <c r="T39" s="72" t="s">
        <v>552</v>
      </c>
      <c r="U39" s="51"/>
      <c r="V39" s="72"/>
      <c r="W39" s="50"/>
      <c r="X39" s="78"/>
      <c r="Y39" s="45"/>
      <c r="Z39" s="45"/>
      <c r="AA39" s="46"/>
    </row>
    <row r="40" spans="1:27" ht="13.5" customHeight="1" x14ac:dyDescent="0.2">
      <c r="A40" s="2037" t="s">
        <v>2080</v>
      </c>
      <c r="B40" s="2038"/>
      <c r="C40" s="2038"/>
      <c r="D40" s="2038"/>
      <c r="E40" s="2038"/>
      <c r="F40" s="2038"/>
      <c r="G40" s="2038"/>
      <c r="H40" s="2039"/>
      <c r="I40" s="2072"/>
      <c r="J40" s="2073"/>
      <c r="K40" s="2073"/>
      <c r="L40" s="2073"/>
      <c r="M40" s="2073"/>
      <c r="N40" s="2073"/>
      <c r="O40" s="2073"/>
      <c r="P40" s="2073"/>
      <c r="Q40" s="2073"/>
      <c r="R40" s="2073"/>
      <c r="S40" s="2074"/>
      <c r="T40" s="1986" t="s">
        <v>2094</v>
      </c>
      <c r="U40" s="1987"/>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4" t="s">
        <v>2082</v>
      </c>
      <c r="B42" s="2033"/>
      <c r="C42" s="2016"/>
      <c r="D42" s="2080" t="s">
        <v>2083</v>
      </c>
      <c r="E42" s="2033"/>
      <c r="F42" s="2033"/>
      <c r="G42" s="2033"/>
      <c r="H42" s="2016"/>
      <c r="I42" s="2076"/>
      <c r="J42" s="2070"/>
      <c r="K42" s="2070"/>
      <c r="L42" s="2070"/>
      <c r="M42" s="2070"/>
      <c r="N42" s="2070"/>
      <c r="O42" s="2071"/>
      <c r="P42" s="2069"/>
      <c r="Q42" s="2070"/>
      <c r="R42" s="2070"/>
      <c r="S42" s="2071"/>
      <c r="T42" s="1984" t="s">
        <v>2095</v>
      </c>
      <c r="U42" s="1980"/>
      <c r="V42" s="1980"/>
      <c r="W42" s="1981"/>
      <c r="X42" s="1979" t="s">
        <v>2096</v>
      </c>
      <c r="Y42" s="1980"/>
      <c r="Z42" s="1980"/>
      <c r="AA42" s="198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6"/>
      <c r="B44" s="2067"/>
      <c r="C44" s="2067"/>
      <c r="D44" s="2067"/>
      <c r="E44" s="2067"/>
      <c r="F44" s="2067"/>
      <c r="G44" s="2067"/>
      <c r="H44" s="2068"/>
      <c r="I44" s="2059"/>
      <c r="J44" s="2061"/>
      <c r="K44" s="2061"/>
      <c r="L44" s="2061"/>
      <c r="M44" s="2061"/>
      <c r="N44" s="2061"/>
      <c r="O44" s="2061"/>
      <c r="P44" s="2061"/>
      <c r="Q44" s="2061"/>
      <c r="R44" s="2061"/>
      <c r="S44" s="2062"/>
      <c r="T44" s="2059"/>
      <c r="U44" s="2060"/>
      <c r="V44" s="2060"/>
      <c r="W44" s="2060"/>
      <c r="X44" s="2060"/>
      <c r="Y44" s="2060"/>
      <c r="Z44" s="2061"/>
      <c r="AA44" s="206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sqref="A1:S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9" t="s">
        <v>1901</v>
      </c>
      <c r="B2" s="1550" t="s">
        <v>2031</v>
      </c>
      <c r="C2" s="715" t="s">
        <v>1906</v>
      </c>
      <c r="D2" s="715" t="s">
        <v>1907</v>
      </c>
      <c r="E2" s="715" t="s">
        <v>1908</v>
      </c>
      <c r="F2" s="715" t="s">
        <v>1909</v>
      </c>
    </row>
    <row r="3" spans="1:6" ht="12" customHeight="1" x14ac:dyDescent="0.2">
      <c r="A3" s="2220"/>
      <c r="B3" s="1547"/>
      <c r="C3" s="1548"/>
      <c r="D3" s="1549" t="s">
        <v>274</v>
      </c>
      <c r="E3" s="1548"/>
      <c r="F3" s="1549" t="s">
        <v>275</v>
      </c>
    </row>
    <row r="4" spans="1:6" ht="13.7" customHeight="1" x14ac:dyDescent="0.2">
      <c r="A4" s="716" t="s">
        <v>1217</v>
      </c>
      <c r="B4" s="1770">
        <f>'Revenues 9-14'!C5</f>
        <v>7233263</v>
      </c>
      <c r="C4" s="1546"/>
      <c r="D4" s="1773">
        <f>B4-C4</f>
        <v>7233263</v>
      </c>
      <c r="E4" s="1546">
        <v>7499689</v>
      </c>
      <c r="F4" s="1773">
        <f>E4-C4</f>
        <v>7499689</v>
      </c>
    </row>
    <row r="5" spans="1:6" ht="13.7" customHeight="1" x14ac:dyDescent="0.2">
      <c r="A5" s="716" t="s">
        <v>925</v>
      </c>
      <c r="B5" s="1771">
        <f>'Revenues 9-14'!D5</f>
        <v>1443787</v>
      </c>
      <c r="C5" s="585"/>
      <c r="D5" s="1774">
        <f t="shared" ref="D5:D18" si="0">B5-C5</f>
        <v>1443787</v>
      </c>
      <c r="E5" s="585">
        <v>1487594</v>
      </c>
      <c r="F5" s="1774">
        <f>E5-C5</f>
        <v>1487594</v>
      </c>
    </row>
    <row r="6" spans="1:6" ht="13.7" customHeight="1" x14ac:dyDescent="0.2">
      <c r="A6" s="716" t="s">
        <v>431</v>
      </c>
      <c r="B6" s="1771">
        <f>'Revenues 9-14'!E5</f>
        <v>1123395</v>
      </c>
      <c r="C6" s="585"/>
      <c r="D6" s="1774">
        <f t="shared" si="0"/>
        <v>1123395</v>
      </c>
      <c r="E6" s="585">
        <f>968398.55+180008.32</f>
        <v>1148406.8700000001</v>
      </c>
      <c r="F6" s="1774">
        <f t="shared" ref="F6:F18" si="1">E6-C6</f>
        <v>1148406.8700000001</v>
      </c>
    </row>
    <row r="7" spans="1:6" ht="13.7" customHeight="1" x14ac:dyDescent="0.2">
      <c r="A7" s="716" t="s">
        <v>157</v>
      </c>
      <c r="B7" s="1771">
        <f>'Revenues 9-14'!F5</f>
        <v>520800</v>
      </c>
      <c r="C7" s="585"/>
      <c r="D7" s="1774">
        <f t="shared" si="0"/>
        <v>520800</v>
      </c>
      <c r="E7" s="585">
        <v>572496</v>
      </c>
      <c r="F7" s="1774">
        <f t="shared" si="1"/>
        <v>572496</v>
      </c>
    </row>
    <row r="8" spans="1:6" ht="13.7" customHeight="1" x14ac:dyDescent="0.2">
      <c r="A8" s="716" t="s">
        <v>1241</v>
      </c>
      <c r="B8" s="1771">
        <f>'Revenues 9-14'!G5</f>
        <v>242335</v>
      </c>
      <c r="C8" s="585"/>
      <c r="D8" s="1774">
        <f t="shared" si="0"/>
        <v>242335</v>
      </c>
      <c r="E8" s="585">
        <v>247932</v>
      </c>
      <c r="F8" s="1774">
        <f t="shared" si="1"/>
        <v>247932</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220010</v>
      </c>
      <c r="C10" s="585"/>
      <c r="D10" s="1774">
        <f t="shared" si="0"/>
        <v>220010</v>
      </c>
      <c r="E10" s="585">
        <v>218252</v>
      </c>
      <c r="F10" s="1774">
        <f t="shared" si="1"/>
        <v>218252</v>
      </c>
    </row>
    <row r="11" spans="1:6" x14ac:dyDescent="0.2">
      <c r="A11" s="716" t="s">
        <v>429</v>
      </c>
      <c r="B11" s="1771">
        <f>'Revenues 9-14'!J5</f>
        <v>340702</v>
      </c>
      <c r="C11" s="585"/>
      <c r="D11" s="1774">
        <f t="shared" si="0"/>
        <v>340702</v>
      </c>
      <c r="E11" s="585">
        <v>347125</v>
      </c>
      <c r="F11" s="1774">
        <f t="shared" si="1"/>
        <v>347125</v>
      </c>
    </row>
    <row r="12" spans="1:6" ht="13.7" customHeight="1" x14ac:dyDescent="0.2">
      <c r="A12" s="716" t="s">
        <v>159</v>
      </c>
      <c r="B12" s="1771">
        <f>'Revenues 9-14'!K5</f>
        <v>155821</v>
      </c>
      <c r="C12" s="585"/>
      <c r="D12" s="1774">
        <f t="shared" si="0"/>
        <v>155821</v>
      </c>
      <c r="E12" s="585">
        <v>184482</v>
      </c>
      <c r="F12" s="1774">
        <f t="shared" si="1"/>
        <v>184482</v>
      </c>
    </row>
    <row r="13" spans="1:6" ht="13.7" customHeight="1" x14ac:dyDescent="0.2">
      <c r="A13" s="716" t="s">
        <v>993</v>
      </c>
      <c r="B13" s="1771">
        <f>SUM('Revenues 9-14'!C6:D6)</f>
        <v>0</v>
      </c>
      <c r="C13" s="585"/>
      <c r="D13" s="1774">
        <f t="shared" si="0"/>
        <v>0</v>
      </c>
      <c r="E13" s="585">
        <v>0</v>
      </c>
      <c r="F13" s="1774">
        <f t="shared" si="1"/>
        <v>0</v>
      </c>
    </row>
    <row r="14" spans="1:6" ht="13.7" customHeight="1" x14ac:dyDescent="0.2">
      <c r="A14" s="716" t="s">
        <v>430</v>
      </c>
      <c r="B14" s="1771">
        <f>SUM('Revenues 9-14'!C7:D7,'Revenues 9-14'!F7:H7)</f>
        <v>97368</v>
      </c>
      <c r="C14" s="585"/>
      <c r="D14" s="1774">
        <f t="shared" si="0"/>
        <v>97368</v>
      </c>
      <c r="E14" s="585">
        <v>99192</v>
      </c>
      <c r="F14" s="1774">
        <f t="shared" si="1"/>
        <v>99192</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232804</v>
      </c>
      <c r="C16" s="585"/>
      <c r="D16" s="1774">
        <f t="shared" si="0"/>
        <v>232804</v>
      </c>
      <c r="E16" s="585">
        <v>233116</v>
      </c>
      <c r="F16" s="1774">
        <f t="shared" si="1"/>
        <v>233116</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11610285</v>
      </c>
      <c r="C19" s="1772">
        <f>SUM(C4:C18)</f>
        <v>0</v>
      </c>
      <c r="D19" s="1772">
        <f>SUM(D4:D18)</f>
        <v>11610285</v>
      </c>
      <c r="E19" s="1772">
        <f>SUM(E4:E18)</f>
        <v>12038284.870000001</v>
      </c>
      <c r="F19" s="1772">
        <f>SUM(F4:F18)</f>
        <v>12038284.870000001</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sqref="A1:S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6"/>
      <c r="C1" s="722"/>
    </row>
    <row r="2" spans="1:7" ht="33.75" x14ac:dyDescent="0.2">
      <c r="A2" s="2234" t="s">
        <v>1901</v>
      </c>
      <c r="B2" s="2235"/>
      <c r="C2" s="1907" t="s">
        <v>2032</v>
      </c>
      <c r="D2" s="724" t="s">
        <v>2039</v>
      </c>
      <c r="E2" s="724" t="s">
        <v>2040</v>
      </c>
      <c r="F2" s="1907" t="s">
        <v>2033</v>
      </c>
    </row>
    <row r="3" spans="1:7" ht="15.75" customHeight="1" x14ac:dyDescent="0.2">
      <c r="A3" s="2238" t="s">
        <v>1176</v>
      </c>
      <c r="B3" s="2239"/>
      <c r="C3" s="2227"/>
      <c r="D3" s="2228"/>
      <c r="E3" s="2228"/>
      <c r="F3" s="2229"/>
    </row>
    <row r="4" spans="1:7" ht="12.75" customHeight="1" thickBot="1" x14ac:dyDescent="0.25">
      <c r="A4" s="2236" t="s">
        <v>651</v>
      </c>
      <c r="B4" s="2237"/>
      <c r="C4" s="581"/>
      <c r="D4" s="581"/>
      <c r="E4" s="581"/>
      <c r="F4" s="1776">
        <f>SUM(C4+D4)-E4</f>
        <v>0</v>
      </c>
    </row>
    <row r="5" spans="1:7" ht="15.75" customHeight="1" thickTop="1" x14ac:dyDescent="0.2">
      <c r="A5" s="2221" t="s">
        <v>1172</v>
      </c>
      <c r="B5" s="2222"/>
      <c r="C5" s="2230"/>
      <c r="D5" s="2231"/>
      <c r="E5" s="2231"/>
      <c r="F5" s="223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3" t="s">
        <v>652</v>
      </c>
      <c r="B15" s="2224"/>
      <c r="C15" s="1776">
        <f>SUM(C6:C14)</f>
        <v>0</v>
      </c>
      <c r="D15" s="1776">
        <f>SUM(D6:D14)</f>
        <v>0</v>
      </c>
      <c r="E15" s="1776">
        <f>SUM(E6:E14)</f>
        <v>0</v>
      </c>
      <c r="F15" s="1776">
        <f>SUM(F6:F14)</f>
        <v>0</v>
      </c>
      <c r="G15" s="552"/>
    </row>
    <row r="16" spans="1:7" s="202" customFormat="1" ht="15.75" customHeight="1" thickTop="1" x14ac:dyDescent="0.2">
      <c r="A16" s="2233" t="s">
        <v>1173</v>
      </c>
      <c r="B16" s="2222"/>
      <c r="C16" s="2230"/>
      <c r="D16" s="2231"/>
      <c r="E16" s="2231"/>
      <c r="F16" s="2232"/>
    </row>
    <row r="17" spans="1:11" ht="12.75" customHeight="1" thickBot="1" x14ac:dyDescent="0.25">
      <c r="A17" s="2246" t="s">
        <v>66</v>
      </c>
      <c r="B17" s="2247"/>
      <c r="C17" s="727"/>
      <c r="D17" s="585"/>
      <c r="E17" s="727"/>
      <c r="F17" s="1776">
        <f>SUM(C17+D17)-E17</f>
        <v>0</v>
      </c>
    </row>
    <row r="18" spans="1:11" ht="12.75" customHeight="1" thickTop="1" thickBot="1" x14ac:dyDescent="0.25">
      <c r="A18" s="2246" t="s">
        <v>6</v>
      </c>
      <c r="B18" s="2247"/>
      <c r="C18" s="727"/>
      <c r="D18" s="585"/>
      <c r="E18" s="727"/>
      <c r="F18" s="1776">
        <f>SUM(C18+D18)-E18</f>
        <v>0</v>
      </c>
    </row>
    <row r="19" spans="1:11" ht="12.75" customHeight="1" thickTop="1" thickBot="1" x14ac:dyDescent="0.25">
      <c r="A19" s="2246" t="s">
        <v>406</v>
      </c>
      <c r="B19" s="2247"/>
      <c r="C19" s="727"/>
      <c r="D19" s="585"/>
      <c r="E19" s="727"/>
      <c r="F19" s="1776">
        <f>SUM(C19+D19)-E19</f>
        <v>0</v>
      </c>
    </row>
    <row r="20" spans="1:11" ht="12.75" customHeight="1" thickTop="1" thickBot="1" x14ac:dyDescent="0.25">
      <c r="A20" s="2246" t="s">
        <v>468</v>
      </c>
      <c r="B20" s="2247"/>
      <c r="C20" s="727"/>
      <c r="D20" s="585"/>
      <c r="E20" s="727"/>
      <c r="F20" s="1776">
        <f>SUM(C20+D20)-E20</f>
        <v>0</v>
      </c>
    </row>
    <row r="21" spans="1:11" ht="14.25" thickTop="1" thickBot="1" x14ac:dyDescent="0.25">
      <c r="A21" s="2223" t="s">
        <v>653</v>
      </c>
      <c r="B21" s="2224"/>
      <c r="C21" s="1776">
        <f>SUM(C17:C20)</f>
        <v>0</v>
      </c>
      <c r="D21" s="1776">
        <f>SUM(D17:D20)</f>
        <v>0</v>
      </c>
      <c r="E21" s="1776">
        <f>SUM(E17:E20)</f>
        <v>0</v>
      </c>
      <c r="F21" s="1776">
        <f>SUM(F17:F20)</f>
        <v>0</v>
      </c>
      <c r="G21" s="552"/>
    </row>
    <row r="22" spans="1:11" ht="15.75" customHeight="1" thickTop="1" x14ac:dyDescent="0.2">
      <c r="A22" s="2248" t="s">
        <v>1174</v>
      </c>
      <c r="B22" s="2222"/>
      <c r="C22" s="2230"/>
      <c r="D22" s="2231"/>
      <c r="E22" s="2231"/>
      <c r="F22" s="2232"/>
    </row>
    <row r="23" spans="1:11" ht="13.5" thickBot="1" x14ac:dyDescent="0.25">
      <c r="A23" s="2236" t="s">
        <v>654</v>
      </c>
      <c r="B23" s="2237"/>
      <c r="C23" s="581"/>
      <c r="D23" s="581"/>
      <c r="E23" s="581"/>
      <c r="F23" s="1776">
        <f>SUM(C23+D23)-E23</f>
        <v>0</v>
      </c>
      <c r="G23" s="552"/>
    </row>
    <row r="24" spans="1:11" ht="15.75" customHeight="1" thickTop="1" x14ac:dyDescent="0.2">
      <c r="A24" s="2248" t="s">
        <v>1175</v>
      </c>
      <c r="B24" s="2222"/>
      <c r="C24" s="2230"/>
      <c r="D24" s="2231"/>
      <c r="E24" s="2231"/>
      <c r="F24" s="2232"/>
    </row>
    <row r="25" spans="1:11" ht="13.5" thickBot="1" x14ac:dyDescent="0.25">
      <c r="A25" s="2236" t="s">
        <v>655</v>
      </c>
      <c r="B25" s="2237"/>
      <c r="C25" s="581"/>
      <c r="D25" s="581"/>
      <c r="E25" s="581"/>
      <c r="F25" s="1776">
        <f>SUM(C25+D25)-E25</f>
        <v>0</v>
      </c>
      <c r="G25" s="552"/>
    </row>
    <row r="26" spans="1:11" ht="15.75" customHeight="1" thickTop="1" x14ac:dyDescent="0.2">
      <c r="A26" s="2221" t="s">
        <v>678</v>
      </c>
      <c r="B26" s="2222"/>
      <c r="C26" s="728"/>
      <c r="D26" s="728"/>
      <c r="E26" s="728"/>
      <c r="F26" s="729"/>
    </row>
    <row r="27" spans="1:11" ht="13.5" thickBot="1" x14ac:dyDescent="0.25">
      <c r="A27" s="2223" t="s">
        <v>1130</v>
      </c>
      <c r="B27" s="2224"/>
      <c r="C27" s="585"/>
      <c r="D27" s="585"/>
      <c r="E27" s="585"/>
      <c r="F27" s="1776">
        <f>SUM(C27+D27)-E27</f>
        <v>0</v>
      </c>
      <c r="G27" s="552"/>
    </row>
    <row r="28" spans="1:11" ht="7.5" customHeight="1" thickTop="1" x14ac:dyDescent="0.2">
      <c r="A28" s="594"/>
    </row>
    <row r="29" spans="1:11" ht="23.25" customHeight="1" x14ac:dyDescent="0.2">
      <c r="A29" s="2249" t="s">
        <v>603</v>
      </c>
      <c r="B29" s="2226"/>
      <c r="C29" s="730"/>
      <c r="D29" s="730"/>
      <c r="E29" s="730"/>
      <c r="F29" s="730"/>
      <c r="G29" s="730"/>
      <c r="H29" s="730"/>
      <c r="I29" s="730"/>
      <c r="J29" s="730"/>
    </row>
    <row r="30" spans="1:11" ht="33.75" x14ac:dyDescent="0.2">
      <c r="A30" s="1551" t="s">
        <v>1131</v>
      </c>
      <c r="B30" s="731" t="s">
        <v>1186</v>
      </c>
      <c r="C30" s="1908" t="s">
        <v>604</v>
      </c>
      <c r="D30" s="1908" t="s">
        <v>1772</v>
      </c>
      <c r="E30" s="1908" t="s">
        <v>2034</v>
      </c>
      <c r="F30" s="1908" t="s">
        <v>2035</v>
      </c>
      <c r="G30" s="1908" t="s">
        <v>2038</v>
      </c>
      <c r="H30" s="1908" t="s">
        <v>2036</v>
      </c>
      <c r="I30" s="1908" t="s">
        <v>2037</v>
      </c>
      <c r="J30" s="1909" t="s">
        <v>2</v>
      </c>
      <c r="K30" s="732"/>
    </row>
    <row r="31" spans="1:11" ht="12" customHeight="1" x14ac:dyDescent="0.2">
      <c r="A31" s="1955" t="s">
        <v>2073</v>
      </c>
      <c r="B31" s="1956">
        <v>38322</v>
      </c>
      <c r="C31" s="1957">
        <v>9875000</v>
      </c>
      <c r="D31" s="1958">
        <v>3</v>
      </c>
      <c r="E31" s="735">
        <v>3385000</v>
      </c>
      <c r="F31" s="735"/>
      <c r="G31" s="735"/>
      <c r="H31" s="735">
        <v>1650000</v>
      </c>
      <c r="I31" s="1777">
        <f>((E31+F31)-H31)+G31</f>
        <v>1735000</v>
      </c>
      <c r="J31" s="735">
        <v>1026972</v>
      </c>
      <c r="K31" s="737"/>
    </row>
    <row r="32" spans="1:11" ht="12" customHeight="1" x14ac:dyDescent="0.2">
      <c r="A32" s="1955">
        <v>2007</v>
      </c>
      <c r="B32" s="1956">
        <v>39260</v>
      </c>
      <c r="C32" s="1957">
        <v>1474394</v>
      </c>
      <c r="D32" s="1958">
        <v>1</v>
      </c>
      <c r="E32" s="735">
        <v>784712</v>
      </c>
      <c r="F32" s="735"/>
      <c r="G32" s="735"/>
      <c r="H32" s="735">
        <v>97187</v>
      </c>
      <c r="I32" s="1777">
        <f>((E32+F32)-H32)+G32</f>
        <v>687525</v>
      </c>
      <c r="J32" s="735">
        <v>180000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11349394</v>
      </c>
      <c r="D49" s="746"/>
      <c r="E49" s="1777">
        <f t="shared" ref="E49:J49" si="2">SUM(E31:E48)</f>
        <v>4169712</v>
      </c>
      <c r="F49" s="1777">
        <f t="shared" si="2"/>
        <v>0</v>
      </c>
      <c r="G49" s="1777">
        <f t="shared" si="2"/>
        <v>0</v>
      </c>
      <c r="H49" s="1777">
        <f>SUM(H31:H48)</f>
        <v>1747187</v>
      </c>
      <c r="I49" s="1777">
        <f t="shared" si="2"/>
        <v>2422525</v>
      </c>
      <c r="J49" s="1777">
        <f t="shared" si="2"/>
        <v>1206972</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40" t="s">
        <v>605</v>
      </c>
      <c r="C52" s="2241"/>
      <c r="D52" s="2241"/>
      <c r="E52" s="750" t="s">
        <v>900</v>
      </c>
      <c r="F52" s="2242"/>
      <c r="G52" s="2243"/>
      <c r="H52" s="737"/>
      <c r="I52" s="737"/>
      <c r="J52" s="747"/>
    </row>
    <row r="53" spans="1:11" ht="11.25" customHeight="1" x14ac:dyDescent="0.2">
      <c r="A53" s="751" t="s">
        <v>969</v>
      </c>
      <c r="B53" s="752" t="s">
        <v>1008</v>
      </c>
      <c r="C53" s="747"/>
      <c r="D53" s="738"/>
      <c r="E53" s="750" t="s">
        <v>518</v>
      </c>
      <c r="F53" s="2244"/>
      <c r="G53" s="2245"/>
      <c r="H53" s="737"/>
      <c r="I53" s="737"/>
      <c r="J53" s="747"/>
    </row>
    <row r="54" spans="1:11" ht="11.25" customHeight="1" x14ac:dyDescent="0.2">
      <c r="A54" s="753" t="s">
        <v>970</v>
      </c>
      <c r="B54" s="748" t="s">
        <v>1009</v>
      </c>
      <c r="C54" s="747"/>
      <c r="D54" s="738"/>
      <c r="E54" s="750" t="s">
        <v>519</v>
      </c>
      <c r="F54" s="2244"/>
      <c r="G54" s="224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S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4" t="s">
        <v>911</v>
      </c>
      <c r="B1" s="2275"/>
      <c r="C1" s="2275"/>
      <c r="D1" s="2275"/>
      <c r="E1" s="2275"/>
      <c r="F1" s="2275"/>
      <c r="G1" s="2276"/>
      <c r="H1" s="1552"/>
      <c r="I1" s="761"/>
      <c r="J1" s="433"/>
    </row>
    <row r="2" spans="1:11" ht="26.25" x14ac:dyDescent="0.2">
      <c r="A2" s="2253" t="s">
        <v>1776</v>
      </c>
      <c r="B2" s="2254"/>
      <c r="C2" s="2254"/>
      <c r="D2" s="2254"/>
      <c r="E2" s="2255"/>
      <c r="F2" s="762" t="s">
        <v>960</v>
      </c>
      <c r="G2" s="763" t="s">
        <v>1773</v>
      </c>
      <c r="H2" s="763" t="s">
        <v>430</v>
      </c>
      <c r="I2" s="763" t="s">
        <v>1220</v>
      </c>
      <c r="J2" s="763" t="s">
        <v>1915</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41"/>
      <c r="F4" s="767"/>
      <c r="G4" s="768"/>
      <c r="H4" s="769"/>
      <c r="I4" s="768"/>
      <c r="J4" s="770"/>
      <c r="K4" s="770"/>
    </row>
    <row r="5" spans="1:11" x14ac:dyDescent="0.2">
      <c r="A5" s="2277" t="s">
        <v>1129</v>
      </c>
      <c r="B5" s="2250"/>
      <c r="C5" s="2250"/>
      <c r="D5" s="2250"/>
      <c r="E5" s="2278"/>
      <c r="F5" s="771" t="s">
        <v>903</v>
      </c>
      <c r="G5" s="772"/>
      <c r="H5" s="765">
        <v>97368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3560</v>
      </c>
    </row>
    <row r="8" spans="1:11" x14ac:dyDescent="0.2">
      <c r="A8" s="779" t="s">
        <v>363</v>
      </c>
      <c r="B8" s="780"/>
      <c r="C8" s="780"/>
      <c r="D8" s="780"/>
      <c r="E8" s="781"/>
      <c r="F8" s="771" t="s">
        <v>906</v>
      </c>
      <c r="G8" s="783"/>
      <c r="H8" s="783"/>
      <c r="I8" s="783"/>
      <c r="J8" s="766">
        <v>525522</v>
      </c>
      <c r="K8" s="770"/>
    </row>
    <row r="9" spans="1:11" x14ac:dyDescent="0.2">
      <c r="A9" s="779" t="s">
        <v>140</v>
      </c>
      <c r="B9" s="780"/>
      <c r="C9" s="780"/>
      <c r="D9" s="780"/>
      <c r="E9" s="781"/>
      <c r="F9" s="778" t="s">
        <v>908</v>
      </c>
      <c r="G9" s="783"/>
      <c r="H9" s="772"/>
      <c r="I9" s="772"/>
      <c r="J9" s="782"/>
      <c r="K9" s="766">
        <v>36779</v>
      </c>
    </row>
    <row r="10" spans="1:11" x14ac:dyDescent="0.2">
      <c r="A10" s="2277" t="s">
        <v>1916</v>
      </c>
      <c r="B10" s="2250"/>
      <c r="C10" s="2250"/>
      <c r="D10" s="2250"/>
      <c r="E10" s="2279"/>
      <c r="F10" s="784" t="s">
        <v>917</v>
      </c>
      <c r="G10" s="783"/>
      <c r="H10" s="785"/>
      <c r="I10" s="765"/>
      <c r="J10" s="766"/>
      <c r="K10" s="766"/>
    </row>
    <row r="11" spans="1:11" x14ac:dyDescent="0.2">
      <c r="A11" s="2277" t="s">
        <v>162</v>
      </c>
      <c r="B11" s="2250"/>
      <c r="C11" s="2250"/>
      <c r="D11" s="2250"/>
      <c r="E11" s="2278"/>
      <c r="F11" s="771" t="s">
        <v>907</v>
      </c>
      <c r="G11" s="772"/>
      <c r="H11" s="765"/>
      <c r="I11" s="765"/>
      <c r="J11" s="766"/>
      <c r="K11" s="774"/>
    </row>
    <row r="12" spans="1:11" ht="13.5" thickBot="1" x14ac:dyDescent="0.25">
      <c r="A12" s="2267" t="s">
        <v>961</v>
      </c>
      <c r="B12" s="2268"/>
      <c r="C12" s="2268"/>
      <c r="D12" s="2268"/>
      <c r="E12" s="2269"/>
      <c r="F12" s="1778"/>
      <c r="G12" s="1779">
        <f>SUM(G5:G11)</f>
        <v>0</v>
      </c>
      <c r="H12" s="1779">
        <f>SUM(H5:H11)</f>
        <v>97368</v>
      </c>
      <c r="I12" s="1779">
        <f>SUM(I5:I11)</f>
        <v>0</v>
      </c>
      <c r="J12" s="1779">
        <f>SUM(J5:J11)</f>
        <v>525522</v>
      </c>
      <c r="K12" s="1779">
        <f>SUM(K5:K11)</f>
        <v>40339</v>
      </c>
    </row>
    <row r="13" spans="1:11" ht="13.5" thickTop="1" x14ac:dyDescent="0.2">
      <c r="A13" s="2261" t="s">
        <v>388</v>
      </c>
      <c r="B13" s="2262"/>
      <c r="C13" s="2262"/>
      <c r="D13" s="2262"/>
      <c r="E13" s="2263"/>
      <c r="F13" s="786"/>
      <c r="G13" s="787"/>
      <c r="H13" s="788"/>
      <c r="I13" s="789"/>
      <c r="J13" s="789"/>
      <c r="K13" s="789"/>
    </row>
    <row r="14" spans="1:11" x14ac:dyDescent="0.2">
      <c r="A14" s="2283" t="s">
        <v>476</v>
      </c>
      <c r="B14" s="2283"/>
      <c r="C14" s="2283"/>
      <c r="D14" s="2283"/>
      <c r="E14" s="2284"/>
      <c r="F14" s="790" t="s">
        <v>909</v>
      </c>
      <c r="G14" s="783"/>
      <c r="H14" s="765">
        <v>97368</v>
      </c>
      <c r="I14" s="772"/>
      <c r="J14" s="774"/>
      <c r="K14" s="766">
        <v>40339</v>
      </c>
    </row>
    <row r="15" spans="1:11" x14ac:dyDescent="0.2">
      <c r="A15" s="2250" t="s">
        <v>4</v>
      </c>
      <c r="B15" s="2250"/>
      <c r="C15" s="2250"/>
      <c r="D15" s="2250"/>
      <c r="E15" s="2278"/>
      <c r="F15" s="790" t="s">
        <v>910</v>
      </c>
      <c r="G15" s="772"/>
      <c r="H15" s="765"/>
      <c r="I15" s="765"/>
      <c r="J15" s="766">
        <v>62510</v>
      </c>
      <c r="K15" s="766"/>
    </row>
    <row r="16" spans="1:11" x14ac:dyDescent="0.2">
      <c r="A16" s="2250" t="s">
        <v>316</v>
      </c>
      <c r="B16" s="2250"/>
      <c r="C16" s="2250"/>
      <c r="D16" s="2250"/>
      <c r="E16" s="2278"/>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64" t="s">
        <v>386</v>
      </c>
      <c r="B18" s="2265"/>
      <c r="C18" s="2265"/>
      <c r="D18" s="2265"/>
      <c r="E18" s="2266"/>
      <c r="F18" s="790" t="s">
        <v>989</v>
      </c>
      <c r="G18" s="783"/>
      <c r="H18" s="783"/>
      <c r="I18" s="783"/>
      <c r="J18" s="766">
        <v>180547</v>
      </c>
      <c r="K18" s="796"/>
    </row>
    <row r="19" spans="1:11" ht="21.75" customHeight="1" x14ac:dyDescent="0.2">
      <c r="A19" s="2285" t="s">
        <v>1912</v>
      </c>
      <c r="B19" s="2285"/>
      <c r="C19" s="2285"/>
      <c r="D19" s="2285"/>
      <c r="E19" s="2286"/>
      <c r="F19" s="790" t="s">
        <v>990</v>
      </c>
      <c r="G19" s="783"/>
      <c r="H19" s="783"/>
      <c r="I19" s="783"/>
      <c r="J19" s="766">
        <v>282465</v>
      </c>
      <c r="K19" s="796"/>
    </row>
    <row r="20" spans="1:11" x14ac:dyDescent="0.2">
      <c r="A20" s="2264" t="s">
        <v>1917</v>
      </c>
      <c r="B20" s="2265"/>
      <c r="C20" s="2265"/>
      <c r="D20" s="2265"/>
      <c r="E20" s="2266"/>
      <c r="F20" s="790" t="s">
        <v>991</v>
      </c>
      <c r="G20" s="783"/>
      <c r="H20" s="783"/>
      <c r="I20" s="783"/>
      <c r="J20" s="766"/>
      <c r="K20" s="796"/>
    </row>
    <row r="21" spans="1:11" ht="13.5" thickBot="1" x14ac:dyDescent="0.25">
      <c r="A21" s="2270" t="s">
        <v>659</v>
      </c>
      <c r="B21" s="2270"/>
      <c r="C21" s="2270"/>
      <c r="D21" s="2270"/>
      <c r="E21" s="2270"/>
      <c r="F21" s="1780"/>
      <c r="G21" s="793"/>
      <c r="H21" s="797"/>
      <c r="I21" s="797"/>
      <c r="J21" s="1781">
        <f>SUM(J18:J20)</f>
        <v>463012</v>
      </c>
      <c r="K21" s="794"/>
    </row>
    <row r="22" spans="1:11" ht="13.5" thickTop="1" x14ac:dyDescent="0.2">
      <c r="A22" s="2250" t="s">
        <v>1918</v>
      </c>
      <c r="B22" s="2250"/>
      <c r="C22" s="2250"/>
      <c r="D22" s="2250"/>
      <c r="E22" s="2278"/>
      <c r="F22" s="790" t="s">
        <v>917</v>
      </c>
      <c r="G22" s="783"/>
      <c r="H22" s="765"/>
      <c r="I22" s="765"/>
      <c r="J22" s="798"/>
      <c r="K22" s="766"/>
    </row>
    <row r="23" spans="1:11" ht="13.5" thickBot="1" x14ac:dyDescent="0.25">
      <c r="A23" s="2271" t="s">
        <v>962</v>
      </c>
      <c r="B23" s="2270"/>
      <c r="C23" s="2270"/>
      <c r="D23" s="2270"/>
      <c r="E23" s="2270"/>
      <c r="F23" s="1782"/>
      <c r="G23" s="1779">
        <f>SUM(G14:G16,G21,G22)</f>
        <v>0</v>
      </c>
      <c r="H23" s="1779">
        <f>SUM(H14:H16,H21,H22)</f>
        <v>97368</v>
      </c>
      <c r="I23" s="1779">
        <f>SUM(I14:I16,I21,I22)</f>
        <v>0</v>
      </c>
      <c r="J23" s="1779">
        <f>SUM(J14:J16,J21,J22)</f>
        <v>525522</v>
      </c>
      <c r="K23" s="1779">
        <f>SUM(K14:K16,K21,K22)</f>
        <v>40339</v>
      </c>
    </row>
    <row r="24" spans="1:11" ht="14.25" thickTop="1" thickBot="1" x14ac:dyDescent="0.25">
      <c r="A24" s="2271" t="s">
        <v>2020</v>
      </c>
      <c r="B24" s="2270"/>
      <c r="C24" s="2270"/>
      <c r="D24" s="2270"/>
      <c r="E24" s="2270"/>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2030</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80"/>
      <c r="I31" s="2281"/>
      <c r="J31" s="2281"/>
      <c r="K31" s="2281"/>
    </row>
    <row r="32" spans="1:11" x14ac:dyDescent="0.2">
      <c r="A32" s="810"/>
      <c r="B32" s="237"/>
      <c r="C32" s="237"/>
      <c r="D32" s="237"/>
      <c r="E32" s="806"/>
      <c r="F32" s="812" t="s">
        <v>561</v>
      </c>
      <c r="G32" s="765"/>
      <c r="H32" s="2282"/>
      <c r="I32" s="2281"/>
      <c r="J32" s="2281"/>
      <c r="K32" s="2281"/>
    </row>
    <row r="33" spans="1:11" ht="1.5" customHeight="1" x14ac:dyDescent="0.2">
      <c r="A33" s="813" t="s">
        <v>1231</v>
      </c>
      <c r="B33" s="364"/>
      <c r="C33" s="364"/>
      <c r="D33" s="364"/>
      <c r="E33" s="364"/>
      <c r="F33" s="364"/>
      <c r="G33" s="814"/>
      <c r="H33" s="2282"/>
      <c r="I33" s="2281"/>
      <c r="J33" s="2281"/>
      <c r="K33" s="2281"/>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0"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1913</v>
      </c>
      <c r="B46" s="408" t="s">
        <v>1774</v>
      </c>
    </row>
    <row r="47" spans="1:11" s="824" customFormat="1" ht="12.75" customHeight="1" x14ac:dyDescent="0.2">
      <c r="A47" s="822"/>
      <c r="B47" s="823" t="s">
        <v>1775</v>
      </c>
      <c r="E47" s="823"/>
      <c r="K47" s="825"/>
    </row>
    <row r="48" spans="1:11" ht="12.75" customHeight="1" x14ac:dyDescent="0.2">
      <c r="A48" s="155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S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2029</v>
      </c>
      <c r="B1" s="2290"/>
      <c r="C1" s="2291"/>
      <c r="D1" s="827"/>
      <c r="E1" s="828"/>
      <c r="F1" s="828"/>
      <c r="G1" s="829"/>
      <c r="H1" s="830"/>
      <c r="I1" s="831"/>
      <c r="J1" s="2287"/>
      <c r="K1" s="2288"/>
      <c r="L1" s="2288"/>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147429</v>
      </c>
      <c r="D5" s="842">
        <v>0</v>
      </c>
      <c r="E5" s="842">
        <v>0</v>
      </c>
      <c r="F5" s="1781">
        <f>(C5+D5)-E5</f>
        <v>147429</v>
      </c>
      <c r="G5" s="838"/>
      <c r="H5" s="843"/>
      <c r="I5" s="843"/>
      <c r="J5" s="843"/>
      <c r="K5" s="794"/>
      <c r="L5" s="1790">
        <f>F5-K5</f>
        <v>147429</v>
      </c>
    </row>
    <row r="6" spans="1:14" ht="14.25" thickTop="1" thickBot="1" x14ac:dyDescent="0.25">
      <c r="A6" s="779" t="s">
        <v>1179</v>
      </c>
      <c r="B6" s="841">
        <v>222</v>
      </c>
      <c r="C6" s="766">
        <v>0</v>
      </c>
      <c r="D6" s="766">
        <v>0</v>
      </c>
      <c r="E6" s="766">
        <v>0</v>
      </c>
      <c r="F6" s="1781">
        <f>(C6+D6)-E6</f>
        <v>0</v>
      </c>
      <c r="G6" s="838">
        <v>50</v>
      </c>
      <c r="H6" s="766">
        <v>0</v>
      </c>
      <c r="I6" s="766"/>
      <c r="J6" s="766">
        <v>0</v>
      </c>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33355721</v>
      </c>
      <c r="D8" s="845">
        <v>0</v>
      </c>
      <c r="E8" s="845">
        <v>0</v>
      </c>
      <c r="F8" s="1781">
        <f>(C8+D8)-E8</f>
        <v>33355721</v>
      </c>
      <c r="G8" s="844">
        <v>50</v>
      </c>
      <c r="H8" s="766">
        <v>33355721</v>
      </c>
      <c r="I8" s="766">
        <v>0</v>
      </c>
      <c r="J8" s="766">
        <v>0</v>
      </c>
      <c r="K8" s="1790">
        <f>(H8+I8)-J8</f>
        <v>33355721</v>
      </c>
      <c r="L8" s="1790">
        <f>F8-K8</f>
        <v>0</v>
      </c>
    </row>
    <row r="9" spans="1:14" ht="14.25" thickTop="1" thickBot="1" x14ac:dyDescent="0.25">
      <c r="A9" s="779" t="s">
        <v>1181</v>
      </c>
      <c r="B9" s="841">
        <v>232</v>
      </c>
      <c r="C9" s="766">
        <v>0</v>
      </c>
      <c r="D9" s="766">
        <v>0</v>
      </c>
      <c r="E9" s="766">
        <v>0</v>
      </c>
      <c r="F9" s="1781">
        <f>(C9+D9)-E9</f>
        <v>0</v>
      </c>
      <c r="G9" s="844">
        <v>20</v>
      </c>
      <c r="H9" s="766">
        <v>0</v>
      </c>
      <c r="I9" s="766">
        <v>0</v>
      </c>
      <c r="J9" s="766">
        <v>0</v>
      </c>
      <c r="K9" s="1790">
        <f>(H9+I9)-J9</f>
        <v>0</v>
      </c>
      <c r="L9" s="1790">
        <f>F9-K9</f>
        <v>0</v>
      </c>
    </row>
    <row r="10" spans="1:14" ht="24" thickTop="1" thickBot="1" x14ac:dyDescent="0.25">
      <c r="A10" s="846" t="s">
        <v>1182</v>
      </c>
      <c r="B10" s="841">
        <v>240</v>
      </c>
      <c r="C10" s="847">
        <v>2914423</v>
      </c>
      <c r="D10" s="847">
        <v>293449</v>
      </c>
      <c r="E10" s="847">
        <v>0</v>
      </c>
      <c r="F10" s="1785">
        <f>(C10+D10)-E10</f>
        <v>3207872</v>
      </c>
      <c r="G10" s="844">
        <v>20</v>
      </c>
      <c r="H10" s="848">
        <v>2838775</v>
      </c>
      <c r="I10" s="848">
        <v>13099</v>
      </c>
      <c r="J10" s="848">
        <v>0</v>
      </c>
      <c r="K10" s="1790">
        <f>(H10+I10)-J10</f>
        <v>2851874</v>
      </c>
      <c r="L10" s="1790">
        <f>F10-K10</f>
        <v>355998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4672243</v>
      </c>
      <c r="D12" s="845">
        <v>25418</v>
      </c>
      <c r="E12" s="845">
        <v>0</v>
      </c>
      <c r="F12" s="1781">
        <f>(C12+D12)-E12</f>
        <v>4697661</v>
      </c>
      <c r="G12" s="844">
        <v>10</v>
      </c>
      <c r="H12" s="766">
        <v>4203531</v>
      </c>
      <c r="I12" s="766">
        <v>110306</v>
      </c>
      <c r="J12" s="766">
        <v>0</v>
      </c>
      <c r="K12" s="1790">
        <f>(H12+I12)-J12</f>
        <v>4313837</v>
      </c>
      <c r="L12" s="1790">
        <f>F12-K12</f>
        <v>383824</v>
      </c>
    </row>
    <row r="13" spans="1:14" ht="14.25" thickTop="1" thickBot="1" x14ac:dyDescent="0.25">
      <c r="A13" s="849" t="s">
        <v>1184</v>
      </c>
      <c r="B13" s="841">
        <v>252</v>
      </c>
      <c r="C13" s="845">
        <v>169599</v>
      </c>
      <c r="D13" s="845">
        <v>20211</v>
      </c>
      <c r="E13" s="845">
        <v>0</v>
      </c>
      <c r="F13" s="1781">
        <f>(C13+D13)-E13</f>
        <v>189810</v>
      </c>
      <c r="G13" s="844">
        <v>5</v>
      </c>
      <c r="H13" s="766">
        <v>169472</v>
      </c>
      <c r="I13" s="766">
        <v>2822</v>
      </c>
      <c r="J13" s="766">
        <v>0</v>
      </c>
      <c r="K13" s="1790">
        <f>(H13+I13)-J13</f>
        <v>172294</v>
      </c>
      <c r="L13" s="1790">
        <f>F13-K13</f>
        <v>17516</v>
      </c>
    </row>
    <row r="14" spans="1:14" ht="14.25" thickTop="1" thickBot="1" x14ac:dyDescent="0.25">
      <c r="A14" s="849" t="s">
        <v>1185</v>
      </c>
      <c r="B14" s="841">
        <v>253</v>
      </c>
      <c r="C14" s="766">
        <v>0</v>
      </c>
      <c r="D14" s="766">
        <v>0</v>
      </c>
      <c r="E14" s="766">
        <v>0</v>
      </c>
      <c r="F14" s="1781">
        <f>(C14+D14)-E14</f>
        <v>0</v>
      </c>
      <c r="G14" s="844">
        <v>3</v>
      </c>
      <c r="H14" s="766">
        <v>0</v>
      </c>
      <c r="I14" s="766">
        <v>0</v>
      </c>
      <c r="J14" s="766">
        <v>0</v>
      </c>
      <c r="K14" s="1790">
        <f>(H14+I14)-J14</f>
        <v>0</v>
      </c>
      <c r="L14" s="1790">
        <f>F14-K14</f>
        <v>0</v>
      </c>
    </row>
    <row r="15" spans="1:14" ht="15" customHeight="1" thickTop="1" thickBot="1" x14ac:dyDescent="0.25">
      <c r="A15" s="1653" t="s">
        <v>549</v>
      </c>
      <c r="B15" s="1652">
        <v>260</v>
      </c>
      <c r="C15" s="845">
        <v>0</v>
      </c>
      <c r="D15" s="845">
        <v>0</v>
      </c>
      <c r="E15" s="845">
        <v>0</v>
      </c>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41259415</v>
      </c>
      <c r="D16" s="1781">
        <f>SUM(D3,D5:D6,D8:D10,D12:D15)</f>
        <v>339078</v>
      </c>
      <c r="E16" s="1781">
        <f>SUM(E3,E5:E6,E8:E10,E12:E15)</f>
        <v>0</v>
      </c>
      <c r="F16" s="1781">
        <f>SUM(F3,F5:F6,F8:F10,F12:F15)</f>
        <v>41598493</v>
      </c>
      <c r="G16" s="844"/>
      <c r="H16" s="1781">
        <f>SUM(H3,H6,H8:H10,H12:H14,)</f>
        <v>40567499</v>
      </c>
      <c r="I16" s="1781">
        <f>SUM(I3,I6,I8:I10,I12:I14,)</f>
        <v>126227</v>
      </c>
      <c r="J16" s="1781">
        <f>SUM(J3,J6,J8:J10,J12:J14,)</f>
        <v>0</v>
      </c>
      <c r="K16" s="1781">
        <f>(H16+I16)-J16</f>
        <v>40693726</v>
      </c>
      <c r="L16" s="1781">
        <f>F16-K16</f>
        <v>904767</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126227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26" activePane="bottomLeft" state="frozen"/>
      <selection sqref="A1:S2"/>
      <selection pane="bottomLeft" sqref="A1:S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5" t="s">
        <v>1699</v>
      </c>
      <c r="B1" s="2296"/>
      <c r="C1" s="2296"/>
      <c r="D1" s="2296"/>
      <c r="E1" s="2296"/>
      <c r="F1" s="2297"/>
      <c r="G1" s="856"/>
    </row>
    <row r="2" spans="1:7" ht="15" customHeight="1" thickBot="1" x14ac:dyDescent="0.25">
      <c r="A2" s="2298" t="s">
        <v>498</v>
      </c>
      <c r="B2" s="2299"/>
      <c r="C2" s="2299"/>
      <c r="D2" s="2299"/>
      <c r="E2" s="2299"/>
      <c r="F2" s="230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1"/>
      <c r="B5" s="2302"/>
      <c r="C5" s="2302"/>
      <c r="D5" s="2302"/>
      <c r="E5" s="2302"/>
      <c r="F5" s="2302"/>
    </row>
    <row r="6" spans="1:7" ht="13.5" customHeight="1" thickBot="1" x14ac:dyDescent="0.25">
      <c r="A6" s="2292" t="s">
        <v>1166</v>
      </c>
      <c r="B6" s="2293"/>
      <c r="C6" s="2293"/>
      <c r="D6" s="2293"/>
      <c r="E6" s="2293"/>
      <c r="F6" s="229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11663533</v>
      </c>
      <c r="G8" s="866"/>
    </row>
    <row r="9" spans="1:7" x14ac:dyDescent="0.2">
      <c r="A9" s="870" t="s">
        <v>480</v>
      </c>
      <c r="B9" s="871" t="s">
        <v>1984</v>
      </c>
      <c r="C9" s="872"/>
      <c r="D9" s="870" t="s">
        <v>522</v>
      </c>
      <c r="E9" s="869"/>
      <c r="F9" s="1933">
        <f>'Expenditures 15-22'!K151</f>
        <v>1258789</v>
      </c>
      <c r="G9" s="873"/>
    </row>
    <row r="10" spans="1:7" x14ac:dyDescent="0.2">
      <c r="A10" s="870" t="s">
        <v>520</v>
      </c>
      <c r="B10" s="871" t="s">
        <v>1985</v>
      </c>
      <c r="C10" s="872"/>
      <c r="D10" s="870" t="s">
        <v>522</v>
      </c>
      <c r="E10" s="869"/>
      <c r="F10" s="1933">
        <f>'Expenditures 15-22'!K174</f>
        <v>2115415</v>
      </c>
      <c r="G10" s="873"/>
    </row>
    <row r="11" spans="1:7" x14ac:dyDescent="0.2">
      <c r="A11" s="870" t="s">
        <v>481</v>
      </c>
      <c r="B11" s="871" t="s">
        <v>1986</v>
      </c>
      <c r="C11" s="872"/>
      <c r="D11" s="870" t="s">
        <v>522</v>
      </c>
      <c r="E11" s="869"/>
      <c r="F11" s="1933">
        <f>'Expenditures 15-22'!K210</f>
        <v>737042</v>
      </c>
      <c r="G11" s="873"/>
    </row>
    <row r="12" spans="1:7" x14ac:dyDescent="0.2">
      <c r="A12" s="870" t="s">
        <v>482</v>
      </c>
      <c r="B12" s="871" t="s">
        <v>1987</v>
      </c>
      <c r="C12" s="872"/>
      <c r="D12" s="870" t="s">
        <v>522</v>
      </c>
      <c r="E12" s="869"/>
      <c r="F12" s="1933">
        <f>'Expenditures 15-22'!K295</f>
        <v>471663</v>
      </c>
      <c r="G12" s="873"/>
    </row>
    <row r="13" spans="1:7" x14ac:dyDescent="0.2">
      <c r="A13" s="870" t="s">
        <v>108</v>
      </c>
      <c r="B13" s="871" t="s">
        <v>1988</v>
      </c>
      <c r="C13" s="872"/>
      <c r="D13" s="870" t="s">
        <v>522</v>
      </c>
      <c r="E13" s="869"/>
      <c r="F13" s="1933">
        <f>'Expenditures 15-22'!K342</f>
        <v>343747</v>
      </c>
      <c r="G13" s="874"/>
    </row>
    <row r="14" spans="1:7" ht="12" customHeight="1" thickBot="1" x14ac:dyDescent="0.25">
      <c r="A14" s="1791"/>
      <c r="B14" s="1792"/>
      <c r="C14" s="1793"/>
      <c r="D14" s="1794" t="s">
        <v>522</v>
      </c>
      <c r="E14" s="1795" t="s">
        <v>1015</v>
      </c>
      <c r="F14" s="1796">
        <f>SUM(F8:F13)</f>
        <v>16590189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775</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1250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471290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14323</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7105</v>
      </c>
      <c r="G52" s="866"/>
    </row>
    <row r="53" spans="1:7" x14ac:dyDescent="0.2">
      <c r="A53" s="870" t="s">
        <v>479</v>
      </c>
      <c r="B53" s="870" t="s">
        <v>1551</v>
      </c>
      <c r="C53" s="890">
        <f>'Expenditures 15-22'!B102</f>
        <v>4000</v>
      </c>
      <c r="D53" s="889" t="str">
        <f>'Expenditures 15-22'!A102</f>
        <v>Total Payments to Other Govt Units</v>
      </c>
      <c r="E53" s="869"/>
      <c r="F53" s="1937">
        <f>'Expenditures 15-22'!K102</f>
        <v>438610</v>
      </c>
      <c r="G53" s="866"/>
    </row>
    <row r="54" spans="1:7" x14ac:dyDescent="0.2">
      <c r="A54" s="870" t="s">
        <v>479</v>
      </c>
      <c r="B54" s="870" t="s">
        <v>1552</v>
      </c>
      <c r="C54" s="890" t="s">
        <v>1039</v>
      </c>
      <c r="D54" s="886" t="s">
        <v>1157</v>
      </c>
      <c r="E54" s="869"/>
      <c r="F54" s="1937">
        <f>'Expenditures 15-22'!G114</f>
        <v>79345</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7">
        <f>'Expenditures 15-22'!K139</f>
        <v>0</v>
      </c>
      <c r="G57" s="866"/>
    </row>
    <row r="58" spans="1:7" x14ac:dyDescent="0.2">
      <c r="A58" s="870" t="s">
        <v>480</v>
      </c>
      <c r="B58" s="870" t="s">
        <v>1990</v>
      </c>
      <c r="C58" s="887" t="s">
        <v>1039</v>
      </c>
      <c r="D58" s="886" t="s">
        <v>1157</v>
      </c>
      <c r="E58" s="869"/>
      <c r="F58" s="1939">
        <f>'Expenditures 15-22'!G151</f>
        <v>0</v>
      </c>
      <c r="G58" s="866"/>
    </row>
    <row r="59" spans="1:7" x14ac:dyDescent="0.2">
      <c r="A59" s="894" t="s">
        <v>480</v>
      </c>
      <c r="B59" s="857" t="s">
        <v>1991</v>
      </c>
      <c r="C59" s="895" t="s">
        <v>1039</v>
      </c>
      <c r="D59" s="857" t="s">
        <v>309</v>
      </c>
      <c r="F59" s="1940">
        <f>'Expenditures 15-22'!I151</f>
        <v>0</v>
      </c>
      <c r="G59" s="866"/>
    </row>
    <row r="60" spans="1:7" x14ac:dyDescent="0.2">
      <c r="A60" s="894" t="s">
        <v>520</v>
      </c>
      <c r="B60" s="857" t="s">
        <v>1992</v>
      </c>
      <c r="C60" s="895">
        <v>4000</v>
      </c>
      <c r="D60" s="857" t="s">
        <v>330</v>
      </c>
      <c r="F60" s="1938">
        <f>'Expenditures 15-22'!K160</f>
        <v>0</v>
      </c>
      <c r="G60" s="866"/>
    </row>
    <row r="61" spans="1:7" x14ac:dyDescent="0.2">
      <c r="A61" s="896" t="s">
        <v>520</v>
      </c>
      <c r="B61" s="896" t="s">
        <v>1993</v>
      </c>
      <c r="C61" s="897" t="str">
        <f>'Expenditures 15-22'!B170</f>
        <v>5300</v>
      </c>
      <c r="D61" s="898" t="s">
        <v>329</v>
      </c>
      <c r="E61" s="880"/>
      <c r="F61" s="1937">
        <f>'Expenditures 15-22'!K170</f>
        <v>1747187</v>
      </c>
      <c r="G61" s="866"/>
    </row>
    <row r="62" spans="1:7" x14ac:dyDescent="0.2">
      <c r="A62" s="870" t="s">
        <v>481</v>
      </c>
      <c r="B62" s="870" t="s">
        <v>1994</v>
      </c>
      <c r="C62" s="887">
        <f>'Expenditures 15-22'!B185</f>
        <v>3000</v>
      </c>
      <c r="D62" s="877" t="s">
        <v>469</v>
      </c>
      <c r="E62" s="869"/>
      <c r="F62" s="1937">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1996</v>
      </c>
      <c r="C64" s="897" t="str">
        <f>'Expenditures 15-22'!B206</f>
        <v>5300</v>
      </c>
      <c r="D64" s="893" t="s">
        <v>329</v>
      </c>
      <c r="E64" s="869"/>
      <c r="F64" s="1937">
        <f>'Expenditures 15-22'!K206</f>
        <v>0</v>
      </c>
      <c r="G64" s="866"/>
    </row>
    <row r="65" spans="1:8" x14ac:dyDescent="0.2">
      <c r="A65" s="870" t="s">
        <v>481</v>
      </c>
      <c r="B65" s="870" t="s">
        <v>1997</v>
      </c>
      <c r="C65" s="887" t="s">
        <v>1039</v>
      </c>
      <c r="D65" s="886" t="s">
        <v>1157</v>
      </c>
      <c r="E65" s="869"/>
      <c r="F65" s="1937">
        <f>'Expenditures 15-22'!G210</f>
        <v>20211</v>
      </c>
      <c r="G65" s="866"/>
    </row>
    <row r="66" spans="1:8" x14ac:dyDescent="0.2">
      <c r="A66" s="870" t="s">
        <v>481</v>
      </c>
      <c r="B66" s="870" t="s">
        <v>1998</v>
      </c>
      <c r="C66" s="887" t="s">
        <v>1039</v>
      </c>
      <c r="D66" s="886" t="s">
        <v>309</v>
      </c>
      <c r="E66" s="869"/>
      <c r="F66" s="1937">
        <f>'Expenditures 15-22'!I210</f>
        <v>0</v>
      </c>
      <c r="G66" s="866"/>
    </row>
    <row r="67" spans="1:8" x14ac:dyDescent="0.2">
      <c r="A67" s="870" t="s">
        <v>482</v>
      </c>
      <c r="B67" s="870" t="s">
        <v>1999</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2001</v>
      </c>
      <c r="C70" s="887">
        <f>'Expenditures 15-22'!B221</f>
        <v>1300</v>
      </c>
      <c r="D70" s="888" t="str">
        <f>'Expenditures 15-22'!A221</f>
        <v>Adult/Continuing Education Programs</v>
      </c>
      <c r="E70" s="869"/>
      <c r="F70" s="1937">
        <f>'Expenditures 15-22'!K221</f>
        <v>65585</v>
      </c>
      <c r="G70" s="866"/>
    </row>
    <row r="71" spans="1:8" x14ac:dyDescent="0.2">
      <c r="A71" s="870" t="s">
        <v>482</v>
      </c>
      <c r="B71" s="870" t="s">
        <v>2002</v>
      </c>
      <c r="C71" s="887">
        <f>'Expenditures 15-22'!B224</f>
        <v>1600</v>
      </c>
      <c r="D71" s="888" t="str">
        <f>'Expenditures 15-22'!A224</f>
        <v>Summer School Programs</v>
      </c>
      <c r="E71" s="869"/>
      <c r="F71" s="1937">
        <f>'Expenditures 15-22'!K224</f>
        <v>2815</v>
      </c>
      <c r="G71" s="866"/>
    </row>
    <row r="72" spans="1:8" x14ac:dyDescent="0.2">
      <c r="A72" s="870" t="s">
        <v>482</v>
      </c>
      <c r="B72" s="870" t="s">
        <v>2003</v>
      </c>
      <c r="C72" s="887">
        <f>'Expenditures 15-22'!B280</f>
        <v>3000</v>
      </c>
      <c r="D72" s="877" t="s">
        <v>469</v>
      </c>
      <c r="E72" s="869"/>
      <c r="F72" s="1937">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2005</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2006</v>
      </c>
      <c r="E76" s="1795" t="s">
        <v>1015</v>
      </c>
      <c r="F76" s="1799">
        <f>SUM(F18:F74)</f>
        <v>2848496</v>
      </c>
      <c r="G76" s="866"/>
    </row>
    <row r="77" spans="1:8" s="894" customFormat="1" ht="12" customHeight="1" thickTop="1" thickBot="1" x14ac:dyDescent="0.25">
      <c r="A77" s="1800"/>
      <c r="B77" s="1797"/>
      <c r="C77" s="1793"/>
      <c r="D77" s="1798" t="s">
        <v>2007</v>
      </c>
      <c r="E77" s="1795"/>
      <c r="F77" s="1801">
        <f>(F14-F76)</f>
        <v>13741693</v>
      </c>
      <c r="G77" s="870"/>
    </row>
    <row r="78" spans="1:8" s="894" customFormat="1" ht="12" customHeight="1" thickTop="1" x14ac:dyDescent="0.2">
      <c r="A78" s="1802"/>
      <c r="B78" s="1797"/>
      <c r="C78" s="1793"/>
      <c r="D78" s="1798" t="s">
        <v>2053</v>
      </c>
      <c r="E78" s="1795"/>
      <c r="F78" s="899">
        <v>961.46</v>
      </c>
      <c r="G78" s="900"/>
      <c r="H78" s="870"/>
    </row>
    <row r="79" spans="1:8" s="894" customFormat="1" ht="12" customHeight="1" thickBot="1" x14ac:dyDescent="0.25">
      <c r="A79" s="1803"/>
      <c r="B79" s="1797"/>
      <c r="C79" s="1793"/>
      <c r="D79" s="1798" t="s">
        <v>2008</v>
      </c>
      <c r="E79" s="1795" t="s">
        <v>1015</v>
      </c>
      <c r="F79" s="1804">
        <f>IF(F78&gt;0,F77/F78," Complete Line 78")</f>
        <v>14292.526990202399</v>
      </c>
      <c r="G79" s="870"/>
    </row>
    <row r="80" spans="1:8" s="894" customFormat="1" ht="8.25" customHeight="1" thickTop="1" x14ac:dyDescent="0.2">
      <c r="A80" s="901"/>
      <c r="B80" s="870"/>
      <c r="C80" s="872"/>
      <c r="D80" s="902"/>
      <c r="E80" s="869"/>
      <c r="F80" s="903"/>
      <c r="G80" s="870"/>
    </row>
    <row r="81" spans="1:7" s="894" customFormat="1" ht="12" thickBot="1" x14ac:dyDescent="0.25">
      <c r="A81" s="2292" t="s">
        <v>1167</v>
      </c>
      <c r="B81" s="2293"/>
      <c r="C81" s="2293"/>
      <c r="D81" s="2293"/>
      <c r="E81" s="2293"/>
      <c r="F81" s="229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117012</v>
      </c>
      <c r="G94" s="913"/>
    </row>
    <row r="95" spans="1:7" x14ac:dyDescent="0.2">
      <c r="A95" s="909" t="s">
        <v>142</v>
      </c>
      <c r="B95" s="909" t="s">
        <v>177</v>
      </c>
      <c r="C95" s="911">
        <v>1700</v>
      </c>
      <c r="D95" s="919" t="str">
        <f>'Revenues 9-14'!A82</f>
        <v>Total District/School Activity Income</v>
      </c>
      <c r="E95" s="907"/>
      <c r="F95" s="1810">
        <f>SUM('Revenues 9-14'!C82,'Revenues 9-14'!D82)</f>
        <v>29360</v>
      </c>
      <c r="G95" s="913"/>
    </row>
    <row r="96" spans="1:7" x14ac:dyDescent="0.2">
      <c r="A96" s="909" t="s">
        <v>479</v>
      </c>
      <c r="B96" s="909" t="s">
        <v>178</v>
      </c>
      <c r="C96" s="911">
        <f>'Revenues 9-14'!B84</f>
        <v>1811</v>
      </c>
      <c r="D96" s="912" t="str">
        <f>'Revenues 9-14'!A84</f>
        <v>Rentals - Regular Textbooks</v>
      </c>
      <c r="E96" s="907"/>
      <c r="F96" s="1810">
        <f>'Revenues 9-14'!C84</f>
        <v>130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32278</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174399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24379</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4634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36779</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310063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103298</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23737</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350594</v>
      </c>
      <c r="G129" s="931"/>
    </row>
    <row r="130" spans="1:7" x14ac:dyDescent="0.2">
      <c r="A130" s="928" t="s">
        <v>689</v>
      </c>
      <c r="B130" s="928" t="s">
        <v>804</v>
      </c>
      <c r="C130" s="933">
        <v>4300</v>
      </c>
      <c r="D130" s="934" t="str">
        <f>'Revenues 9-14'!A211</f>
        <v>Total Title I</v>
      </c>
      <c r="E130" s="907"/>
      <c r="F130" s="1810">
        <f>SUM('Revenues 9-14'!C211,'Revenues 9-14'!D211,'Revenues 9-14'!F211,'Revenues 9-14'!G211)</f>
        <v>591083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66500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27036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30558</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31313</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3579</v>
      </c>
      <c r="G174" s="928"/>
    </row>
    <row r="175" spans="1:7" x14ac:dyDescent="0.2">
      <c r="A175" s="1942" t="s">
        <v>5</v>
      </c>
      <c r="B175" s="1943" t="s">
        <v>2052</v>
      </c>
      <c r="C175" s="1944">
        <v>3100</v>
      </c>
      <c r="D175" s="1945" t="s">
        <v>2055</v>
      </c>
      <c r="E175" s="907"/>
      <c r="F175" s="1929">
        <v>263835</v>
      </c>
      <c r="G175" s="928"/>
    </row>
    <row r="176" spans="1:7" x14ac:dyDescent="0.2">
      <c r="A176" s="1942" t="s">
        <v>685</v>
      </c>
      <c r="B176" s="1943" t="s">
        <v>2052</v>
      </c>
      <c r="C176" s="1944">
        <v>3300</v>
      </c>
      <c r="D176" s="1945" t="s">
        <v>2056</v>
      </c>
      <c r="E176" s="907"/>
      <c r="F176" s="1929">
        <v>0</v>
      </c>
      <c r="G176" s="928"/>
    </row>
    <row r="177" spans="1:7" ht="6" customHeight="1" x14ac:dyDescent="0.2">
      <c r="A177" s="928"/>
      <c r="B177" s="928"/>
      <c r="C177" s="950"/>
      <c r="D177" s="928"/>
      <c r="E177" s="907"/>
      <c r="F177" s="951"/>
      <c r="G177" s="948"/>
    </row>
    <row r="178" spans="1:7" x14ac:dyDescent="0.2">
      <c r="A178" s="1791"/>
      <c r="B178" s="1805"/>
      <c r="C178" s="1806"/>
      <c r="D178" s="1807" t="s">
        <v>2009</v>
      </c>
      <c r="E178" s="1808" t="s">
        <v>1015</v>
      </c>
      <c r="F178" s="1809">
        <f>SUM(F84:F136,F161:F176)</f>
        <v>2220567</v>
      </c>
    </row>
    <row r="179" spans="1:7" ht="12" customHeight="1" x14ac:dyDescent="0.2">
      <c r="A179" s="1791"/>
      <c r="B179" s="1805"/>
      <c r="C179" s="1806"/>
      <c r="D179" s="1807" t="s">
        <v>2010</v>
      </c>
      <c r="E179" s="1808"/>
      <c r="F179" s="1810">
        <f>'PCTC-OEPP 27-28'!F77-F178</f>
        <v>11521126</v>
      </c>
    </row>
    <row r="180" spans="1:7" ht="12" customHeight="1" x14ac:dyDescent="0.2">
      <c r="A180" s="1791"/>
      <c r="B180" s="1805"/>
      <c r="C180" s="1806"/>
      <c r="D180" s="1807" t="s">
        <v>1920</v>
      </c>
      <c r="E180" s="1808"/>
      <c r="F180" s="1810">
        <f>'Cap Outlay Deprec 26'!I18</f>
        <v>126227</v>
      </c>
    </row>
    <row r="181" spans="1:7" ht="12" customHeight="1" x14ac:dyDescent="0.2">
      <c r="A181" s="1791"/>
      <c r="B181" s="1805"/>
      <c r="C181" s="1806"/>
      <c r="D181" s="1807" t="s">
        <v>2011</v>
      </c>
      <c r="E181" s="1808"/>
      <c r="F181" s="1810">
        <f>F179+F180</f>
        <v>11647353</v>
      </c>
    </row>
    <row r="182" spans="1:7" ht="12" customHeight="1" x14ac:dyDescent="0.2">
      <c r="A182" s="1791"/>
      <c r="B182" s="1811"/>
      <c r="C182" s="1806"/>
      <c r="D182" s="1807" t="str">
        <f>D78</f>
        <v>9 Month ADA from District Average Daily Attendance/Prior General State Aid Inquiry 2017-2018</v>
      </c>
      <c r="E182" s="1808"/>
      <c r="F182" s="1812">
        <f>'PCTC-OEPP 27-28'!F78</f>
        <v>961.46</v>
      </c>
      <c r="G182" s="931"/>
    </row>
    <row r="183" spans="1:7" ht="12" customHeight="1" thickBot="1" x14ac:dyDescent="0.25">
      <c r="A183" s="1791"/>
      <c r="B183" s="1811"/>
      <c r="C183" s="1806"/>
      <c r="D183" s="1807" t="s">
        <v>2012</v>
      </c>
      <c r="E183" s="1808" t="s">
        <v>1626</v>
      </c>
      <c r="F183" s="1813">
        <f>F181/F182</f>
        <v>12114.235641628356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6" customFormat="1" ht="12.2" customHeight="1" x14ac:dyDescent="0.2">
      <c r="A186" s="1946" t="s">
        <v>2059</v>
      </c>
      <c r="B186" s="1947"/>
      <c r="C186" s="1948"/>
      <c r="D186" s="1947"/>
      <c r="E186" s="1948"/>
      <c r="F186" s="1947"/>
      <c r="G186" s="1947"/>
    </row>
    <row r="187" spans="1:7" s="1946" customFormat="1" ht="12.2" customHeight="1" x14ac:dyDescent="0.2">
      <c r="A187" s="1949" t="s">
        <v>2060</v>
      </c>
      <c r="C187" s="1948"/>
      <c r="D187" s="1947"/>
      <c r="E187" s="1948"/>
      <c r="F187" s="1947"/>
      <c r="G187" s="1947"/>
    </row>
    <row r="188" spans="1:7" ht="12" customHeight="1" x14ac:dyDescent="0.2">
      <c r="C188" s="950"/>
      <c r="D188" s="931"/>
      <c r="E188" s="950"/>
      <c r="F188" s="931"/>
      <c r="G188" s="931"/>
    </row>
    <row r="189" spans="1:7" x14ac:dyDescent="0.2">
      <c r="A189" s="1950" t="s">
        <v>2058</v>
      </c>
      <c r="B189" s="1951"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31"/>
  <sheetViews>
    <sheetView showGridLines="0" workbookViewId="0">
      <pane ySplit="16" topLeftCell="A17" activePane="bottomLeft" state="frozen"/>
      <selection sqref="A1:S2"/>
      <selection pane="bottomLeft" activeCell="B23" sqref="B2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1936</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306" t="s">
        <v>1921</v>
      </c>
      <c r="B4" s="2307"/>
      <c r="C4" s="2307"/>
      <c r="D4" s="2307"/>
      <c r="E4" s="2307"/>
      <c r="F4" s="2307"/>
      <c r="G4" s="2308"/>
    </row>
    <row r="5" spans="1:7" x14ac:dyDescent="0.25">
      <c r="A5" s="2309"/>
      <c r="B5" s="2310"/>
      <c r="C5" s="2310"/>
      <c r="D5" s="2310"/>
      <c r="E5" s="2310"/>
      <c r="F5" s="2310"/>
      <c r="G5" s="2311"/>
    </row>
    <row r="6" spans="1:7" ht="18.75" x14ac:dyDescent="0.25">
      <c r="A6" s="1556" t="s">
        <v>1922</v>
      </c>
      <c r="B6" s="1557"/>
      <c r="C6" s="1557"/>
      <c r="D6" s="1557"/>
      <c r="E6" s="1557"/>
      <c r="F6" s="1557"/>
      <c r="G6" s="1558"/>
    </row>
    <row r="7" spans="1:7" ht="30.75" customHeight="1" x14ac:dyDescent="0.25">
      <c r="A7" s="2312" t="s">
        <v>2069</v>
      </c>
      <c r="B7" s="2313"/>
      <c r="C7" s="2313"/>
      <c r="D7" s="2313"/>
      <c r="E7" s="2313"/>
      <c r="F7" s="2313"/>
      <c r="G7" s="2314"/>
    </row>
    <row r="8" spans="1:7" ht="15.75" customHeight="1" x14ac:dyDescent="0.25">
      <c r="A8" s="2315" t="s">
        <v>2018</v>
      </c>
      <c r="B8" s="2316"/>
      <c r="C8" s="2316"/>
      <c r="D8" s="2316"/>
      <c r="E8" s="2316"/>
      <c r="F8" s="2316"/>
      <c r="G8" s="2317"/>
    </row>
    <row r="9" spans="1:7" ht="35.25" customHeight="1" x14ac:dyDescent="0.25">
      <c r="A9" s="2312" t="s">
        <v>2072</v>
      </c>
      <c r="B9" s="2313"/>
      <c r="C9" s="2313"/>
      <c r="D9" s="2313"/>
      <c r="E9" s="2313"/>
      <c r="F9" s="2313"/>
      <c r="G9" s="2314"/>
    </row>
    <row r="10" spans="1:7" ht="15" customHeight="1" x14ac:dyDescent="0.25">
      <c r="A10" s="1559" t="s">
        <v>1923</v>
      </c>
      <c r="B10" s="1560"/>
      <c r="C10" s="1560"/>
      <c r="D10" s="1560"/>
      <c r="E10" s="1560"/>
      <c r="F10" s="1560"/>
      <c r="G10" s="1561"/>
    </row>
    <row r="11" spans="1:7" ht="17.25" customHeight="1" x14ac:dyDescent="0.25">
      <c r="A11" s="2312" t="s">
        <v>2071</v>
      </c>
      <c r="B11" s="2313"/>
      <c r="C11" s="2313"/>
      <c r="D11" s="2313"/>
      <c r="E11" s="2313"/>
      <c r="F11" s="2313"/>
      <c r="G11" s="2314"/>
    </row>
    <row r="12" spans="1:7" ht="15" customHeight="1" x14ac:dyDescent="0.25">
      <c r="A12" s="1559" t="s">
        <v>1928</v>
      </c>
      <c r="B12" s="1560"/>
      <c r="C12" s="1560"/>
      <c r="D12" s="1560"/>
      <c r="E12" s="1560"/>
      <c r="F12" s="1560"/>
      <c r="G12" s="1561"/>
    </row>
    <row r="13" spans="1:7" ht="32.25" customHeight="1" x14ac:dyDescent="0.25">
      <c r="A13" s="2303" t="s">
        <v>1929</v>
      </c>
      <c r="B13" s="2304"/>
      <c r="C13" s="2304"/>
      <c r="D13" s="2304"/>
      <c r="E13" s="2304"/>
      <c r="F13" s="2304"/>
      <c r="G13" s="2305"/>
    </row>
    <row r="14" spans="1:7" x14ac:dyDescent="0.25">
      <c r="A14" s="1682" t="s">
        <v>1937</v>
      </c>
      <c r="B14" s="1683"/>
      <c r="C14" s="1683"/>
      <c r="D14" s="1683"/>
      <c r="E14" s="1683"/>
      <c r="F14" s="1683"/>
      <c r="G14" s="1684"/>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9" t="s">
        <v>2182</v>
      </c>
      <c r="B17" s="1972" t="s">
        <v>2194</v>
      </c>
      <c r="C17" s="1971" t="s">
        <v>2183</v>
      </c>
      <c r="D17" s="1865">
        <v>65322</v>
      </c>
      <c r="E17" s="1562">
        <f t="shared" ref="E17:E31" si="1">IF(D17&lt;=25000,D17,IF(D17&gt;25000,25000,0))</f>
        <v>25000</v>
      </c>
      <c r="F17" s="1814">
        <f t="shared" si="0"/>
        <v>0</v>
      </c>
      <c r="G17" s="1815">
        <f>IF(F17=0,0,D17-F17)</f>
        <v>0</v>
      </c>
      <c r="H17" s="1669"/>
    </row>
    <row r="18" spans="1:8" x14ac:dyDescent="0.25">
      <c r="A18" s="1969" t="s">
        <v>2185</v>
      </c>
      <c r="B18" s="1973" t="s">
        <v>2195</v>
      </c>
      <c r="C18" s="1971" t="s">
        <v>2184</v>
      </c>
      <c r="D18" s="1865">
        <v>176155</v>
      </c>
      <c r="E18" s="1562">
        <f t="shared" ref="E18:E30" si="2">IF(D18&lt;=25000,D18,IF(D18&gt;25000,25000,0))</f>
        <v>25000</v>
      </c>
      <c r="F18" s="1814">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30" si="4">IF(F18=0,0,D18-F18)</f>
        <v>151155</v>
      </c>
    </row>
    <row r="19" spans="1:8" x14ac:dyDescent="0.25">
      <c r="A19" s="1969" t="s">
        <v>2185</v>
      </c>
      <c r="B19" s="1973" t="s">
        <v>2195</v>
      </c>
      <c r="C19" s="1971" t="s">
        <v>2186</v>
      </c>
      <c r="D19" s="1865">
        <v>32277</v>
      </c>
      <c r="E19" s="1562">
        <f t="shared" si="2"/>
        <v>25000</v>
      </c>
      <c r="F19" s="1814">
        <f t="shared" si="3"/>
        <v>25000</v>
      </c>
      <c r="G19" s="1815">
        <f t="shared" si="4"/>
        <v>7277</v>
      </c>
    </row>
    <row r="20" spans="1:8" x14ac:dyDescent="0.25">
      <c r="A20" s="1969" t="s">
        <v>2187</v>
      </c>
      <c r="B20" s="1970" t="s">
        <v>2188</v>
      </c>
      <c r="C20" s="1971" t="s">
        <v>2189</v>
      </c>
      <c r="D20" s="1865">
        <v>200830</v>
      </c>
      <c r="E20" s="1562">
        <f t="shared" si="2"/>
        <v>25000</v>
      </c>
      <c r="F20" s="1814">
        <f t="shared" si="3"/>
        <v>25000</v>
      </c>
      <c r="G20" s="1815">
        <f t="shared" si="4"/>
        <v>175830</v>
      </c>
    </row>
    <row r="21" spans="1:8" x14ac:dyDescent="0.25">
      <c r="A21" s="1969" t="s">
        <v>2190</v>
      </c>
      <c r="B21" s="1970" t="s">
        <v>2191</v>
      </c>
      <c r="C21" s="1971" t="s">
        <v>2189</v>
      </c>
      <c r="D21" s="1865">
        <v>143002</v>
      </c>
      <c r="E21" s="1562">
        <f t="shared" si="2"/>
        <v>25000</v>
      </c>
      <c r="F21" s="1814">
        <f t="shared" si="3"/>
        <v>25000</v>
      </c>
      <c r="G21" s="1815">
        <f t="shared" si="4"/>
        <v>118002</v>
      </c>
    </row>
    <row r="22" spans="1:8" x14ac:dyDescent="0.25">
      <c r="A22" s="1969" t="s">
        <v>2192</v>
      </c>
      <c r="B22" s="1973" t="s">
        <v>2196</v>
      </c>
      <c r="C22" s="1971" t="s">
        <v>2193</v>
      </c>
      <c r="D22" s="1865">
        <v>507035</v>
      </c>
      <c r="E22" s="1562">
        <f t="shared" si="2"/>
        <v>25000</v>
      </c>
      <c r="F22" s="1814">
        <f t="shared" si="3"/>
        <v>25000</v>
      </c>
      <c r="G22" s="1815">
        <f t="shared" si="4"/>
        <v>482035</v>
      </c>
    </row>
    <row r="23" spans="1:8" ht="12.75" customHeight="1"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969"/>
      <c r="B26" s="1970"/>
      <c r="C26" s="1971"/>
      <c r="D26" s="1865"/>
      <c r="E26" s="1562">
        <f t="shared" si="2"/>
        <v>0</v>
      </c>
      <c r="F26" s="1814">
        <f t="shared" si="3"/>
        <v>0</v>
      </c>
      <c r="G26" s="1815">
        <f t="shared" si="4"/>
        <v>0</v>
      </c>
    </row>
    <row r="27" spans="1:8" x14ac:dyDescent="0.25">
      <c r="A27" s="1675"/>
      <c r="B27" s="1688"/>
      <c r="C27" s="1676"/>
      <c r="D27" s="1865"/>
      <c r="E27" s="1562">
        <f t="shared" ref="E27:E29" si="5">IF(D27&lt;=25000,D27,IF(D27&gt;25000,25000,0))</f>
        <v>0</v>
      </c>
      <c r="F27" s="1814">
        <f t="shared" ref="F27:F29"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9" si="7">IF(F27=0,0,D27-F27)</f>
        <v>0</v>
      </c>
    </row>
    <row r="28" spans="1:8" x14ac:dyDescent="0.25">
      <c r="A28" s="1675"/>
      <c r="B28" s="1688"/>
      <c r="C28" s="1676"/>
      <c r="D28" s="1865"/>
      <c r="E28" s="1562">
        <f t="shared" si="5"/>
        <v>0</v>
      </c>
      <c r="F28" s="1814">
        <f t="shared" si="6"/>
        <v>0</v>
      </c>
      <c r="G28" s="1815">
        <f t="shared" si="7"/>
        <v>0</v>
      </c>
    </row>
    <row r="29" spans="1:8" x14ac:dyDescent="0.25">
      <c r="A29" s="1675"/>
      <c r="B29" s="1688"/>
      <c r="C29" s="1676"/>
      <c r="D29" s="1865"/>
      <c r="E29" s="1562">
        <f t="shared" si="5"/>
        <v>0</v>
      </c>
      <c r="F29" s="1814">
        <f t="shared" si="6"/>
        <v>0</v>
      </c>
      <c r="G29" s="1815">
        <f t="shared" si="7"/>
        <v>0</v>
      </c>
    </row>
    <row r="30" spans="1:8" x14ac:dyDescent="0.25">
      <c r="A30" s="1675"/>
      <c r="B30" s="1687"/>
      <c r="C30" s="1676"/>
      <c r="D30" s="1865"/>
      <c r="E30" s="1562">
        <f t="shared" si="2"/>
        <v>0</v>
      </c>
      <c r="F30" s="1814">
        <f t="shared" si="3"/>
        <v>0</v>
      </c>
      <c r="G30" s="1815">
        <f t="shared" si="4"/>
        <v>0</v>
      </c>
    </row>
    <row r="31" spans="1:8" x14ac:dyDescent="0.25">
      <c r="A31" s="1818" t="s">
        <v>158</v>
      </c>
      <c r="B31" s="1819"/>
      <c r="C31" s="1820"/>
      <c r="D31" s="1816">
        <f>SUM(D17:D30)</f>
        <v>1124621</v>
      </c>
      <c r="E31" s="1563">
        <f t="shared" si="1"/>
        <v>25000</v>
      </c>
      <c r="F31" s="1816">
        <f>SUM(F17:F30)</f>
        <v>125000</v>
      </c>
      <c r="G31" s="1817">
        <f>SUM(G17:G30)</f>
        <v>934299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sqref="A1:S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8" t="s">
        <v>1778</v>
      </c>
      <c r="B5" s="2319"/>
      <c r="C5" s="2319"/>
      <c r="D5" s="2319"/>
      <c r="E5" s="2319"/>
      <c r="F5" s="2319"/>
      <c r="G5" s="232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192263</v>
      </c>
      <c r="F10" s="975"/>
      <c r="G10" s="976"/>
      <c r="H10" s="162"/>
      <c r="I10" s="162"/>
    </row>
    <row r="11" spans="1:9" s="669" customFormat="1" ht="22.5" customHeight="1" x14ac:dyDescent="0.2">
      <c r="A11" s="2323" t="s">
        <v>1940</v>
      </c>
      <c r="B11" s="2324"/>
      <c r="C11" s="2324"/>
      <c r="D11" s="2325"/>
      <c r="E11" s="978">
        <f>36906+33016</f>
        <v>69922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8439894</v>
      </c>
      <c r="F19" s="1821"/>
      <c r="G19" s="1823">
        <f>'Expenditures 15-22'!K33-SUM('Expenditures 15-22'!G33,'Expenditures 15-22'!I33)+'Expenditures 15-22'!D229</f>
        <v>8439894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793671</v>
      </c>
      <c r="F21" s="1824"/>
      <c r="G21" s="1827">
        <f>'Expenditures 15-22'!K42-SUM('Expenditures 15-22'!G42,'Expenditures 15-22'!I42)+'Expenditures 15-22'!K120-SUM('Expenditures 15-22'!G120,'Expenditures 15-22'!I120)+'Expenditures 15-22'!K180-SUM('Expenditures 15-22'!G180,'Expenditures 15-22'!I180)+'Expenditures 15-22'!D238</f>
        <v>793671</v>
      </c>
      <c r="H21" s="988"/>
      <c r="I21" s="162"/>
    </row>
    <row r="22" spans="1:9" s="669" customFormat="1" ht="12" customHeight="1" x14ac:dyDescent="0.2">
      <c r="A22" s="995" t="s">
        <v>585</v>
      </c>
      <c r="B22" s="996"/>
      <c r="C22" s="994">
        <v>2200</v>
      </c>
      <c r="D22" s="1824"/>
      <c r="E22" s="1826">
        <f>'Expenditures 15-22'!K47-SUM('Expenditures 15-22'!G47,'Expenditures 15-22'!I47)+'Expenditures 15-22'!D243</f>
        <v>48127</v>
      </c>
      <c r="F22" s="1824"/>
      <c r="G22" s="1827">
        <f>'Expenditures 15-22'!K47-SUM('Expenditures 15-22'!G47,'Expenditures 15-22'!I47)+'Expenditures 15-22'!D243</f>
        <v>48127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763832</v>
      </c>
      <c r="F23" s="1824"/>
      <c r="G23" s="1826">
        <f>'Expenditures 15-22'!K53-SUM('Expenditures 15-22'!G53,'Expenditures 15-22'!I53)+'Expenditures 15-22'!D257+'Expenditures 15-22'!K330-SUM('Expenditures 15-22'!G330,'Expenditures 15-22'!I330)</f>
        <v>763832</v>
      </c>
      <c r="H23" s="988"/>
      <c r="I23" s="162"/>
    </row>
    <row r="24" spans="1:9" s="669" customFormat="1" ht="12" customHeight="1" x14ac:dyDescent="0.2">
      <c r="A24" s="995" t="s">
        <v>587</v>
      </c>
      <c r="B24" s="996"/>
      <c r="C24" s="994">
        <v>2400</v>
      </c>
      <c r="D24" s="1824"/>
      <c r="E24" s="1826">
        <f>'Expenditures 15-22'!K57-SUM('Expenditures 15-22'!G57,'Expenditures 15-22'!I57)+'Expenditures 15-22'!D261</f>
        <v>713940</v>
      </c>
      <c r="F24" s="1824"/>
      <c r="G24" s="1827">
        <f>'Expenditures 15-22'!K57-SUM('Expenditures 15-22'!G57,'Expenditures 15-22'!I57)+'Expenditures 15-22'!D261</f>
        <v>713940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207855</v>
      </c>
      <c r="E26" s="1826">
        <f>'Expenditures 15-22'!K122-SUM('Expenditures 15-22'!G122,'Expenditures 15-22'!I122)+E7</f>
        <v>0</v>
      </c>
      <c r="F26" s="1826">
        <f>'Expenditures 15-22'!K59-SUM('Expenditures 15-22'!G59,'Expenditures 15-22'!I59)+'Expenditures 15-22'!D263-E7</f>
        <v>207855</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121956</v>
      </c>
      <c r="E27" s="1826">
        <f>E8</f>
        <v>0</v>
      </c>
      <c r="F27" s="1826">
        <f>'Expenditures 15-22'!K60-SUM('Expenditures 15-22'!G60,'Expenditures 15-22'!I60)+'Expenditures 15-22'!D264-E8</f>
        <v>121956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1499115</v>
      </c>
      <c r="F28" s="1828">
        <f>'Expenditures 15-22'!K61-SUM('Expenditures 15-22'!G61,'Expenditures 15-22'!I61)+'Expenditures 15-22'!K124-SUM('Expenditures 15-22'!G124,'Expenditures 15-22'!I124)+'Expenditures 15-22'!D266-E9</f>
        <v>1499115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716831</v>
      </c>
      <c r="F29" s="1824"/>
      <c r="G29" s="1827">
        <f>'Expenditures 15-22'!K62-SUM('Expenditures 15-22'!G62,'Expenditures 15-22'!I62)+'Expenditures 15-22'!K125-SUM('Expenditures 15-22'!G125,'Expenditures 15-22'!I125)+'Expenditures 15-22'!K182-SUM('Expenditures 15-22'!G182,'Expenditures 15-22'!I182)+'Expenditures 15-22'!D267</f>
        <v>716831</v>
      </c>
      <c r="H29" s="986"/>
    </row>
    <row r="30" spans="1:9" ht="12" customHeight="1" x14ac:dyDescent="0.2">
      <c r="A30" s="995" t="s">
        <v>102</v>
      </c>
      <c r="B30" s="998"/>
      <c r="C30" s="994">
        <v>2560</v>
      </c>
      <c r="D30" s="1824"/>
      <c r="E30" s="1826">
        <f>'Expenditures 15-22'!K63-SUM('Expenditures 15-22'!G63,'Expenditures 15-22'!I63)+'Expenditures 15-22'!D268-E10</f>
        <v>318882</v>
      </c>
      <c r="F30" s="1824"/>
      <c r="G30" s="1826">
        <f>'Expenditures 15-22'!K63-SUM('Expenditures 15-22'!G63,'Expenditures 15-22'!I63)+'Expenditures 15-22'!D268-E10</f>
        <v>318882</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112924</v>
      </c>
      <c r="F38" s="1824"/>
      <c r="G38" s="1826">
        <f>'Expenditures 15-22'!K73-SUM('Expenditures 15-22'!G73,'Expenditures 15-22'!I73)+'Expenditures 15-22'!K128-SUM('Expenditures 15-22'!G128,'Expenditures 15-22'!I128)+'Expenditures 15-22'!K183-SUM('Expenditures 15-22'!G183,'Expenditures 15-22'!I183)+'Expenditures 15-22'!D278</f>
        <v>112924</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7105</v>
      </c>
      <c r="F39" s="1824"/>
      <c r="G39" s="1826">
        <f>'Expenditures 15-22'!K75-SUM('Expenditures 15-22'!G75,'Expenditures 15-22'!I75)+'Expenditures 15-22'!K130-SUM('Expenditures 15-22'!G130,'Expenditures 15-22'!I130)+'Expenditures 15-22'!K185-SUM('Expenditures 15-22'!G185,'Expenditures 15-22'!I185)+'Expenditures 15-22'!D280</f>
        <v>7105</v>
      </c>
    </row>
    <row r="40" spans="1:7" ht="12" customHeight="1" x14ac:dyDescent="0.2">
      <c r="A40" s="991" t="s">
        <v>1926</v>
      </c>
      <c r="B40" s="992"/>
      <c r="C40" s="994"/>
      <c r="D40" s="1824"/>
      <c r="E40" s="1828">
        <f>-'Contracts Paid in CY 29'!G31</f>
        <v>-934299</v>
      </c>
      <c r="F40" s="1824"/>
      <c r="G40" s="1828">
        <f>-'Contracts Paid in CY 29'!G31</f>
        <v>-934299</v>
      </c>
    </row>
    <row r="41" spans="1:7" ht="12" customHeight="1" x14ac:dyDescent="0.2">
      <c r="A41" s="999" t="s">
        <v>158</v>
      </c>
      <c r="B41" s="1000"/>
      <c r="C41" s="1001"/>
      <c r="D41" s="1828">
        <f>SUM(D19:D39)</f>
        <v>329811</v>
      </c>
      <c r="E41" s="1828">
        <f>SUM(E19:E40)</f>
        <v>12480022</v>
      </c>
      <c r="F41" s="1828">
        <f>SUM(F19:F39)</f>
        <v>1828926</v>
      </c>
      <c r="G41" s="1828">
        <f>SUM(G19:G40)</f>
        <v>10980907</v>
      </c>
    </row>
    <row r="42" spans="1:7" x14ac:dyDescent="0.2">
      <c r="A42" s="988"/>
      <c r="B42" s="162"/>
      <c r="C42" s="1002"/>
      <c r="D42" s="2321" t="s">
        <v>543</v>
      </c>
      <c r="E42" s="2322"/>
      <c r="F42" s="1003" t="s">
        <v>544</v>
      </c>
      <c r="G42" s="1004"/>
    </row>
    <row r="43" spans="1:7" ht="12" customHeight="1" x14ac:dyDescent="0.2">
      <c r="A43" s="988"/>
      <c r="B43" s="162"/>
      <c r="C43" s="1002"/>
      <c r="D43" s="1829" t="s">
        <v>493</v>
      </c>
      <c r="E43" s="1830">
        <f>D41</f>
        <v>329811</v>
      </c>
      <c r="F43" s="1829" t="s">
        <v>495</v>
      </c>
      <c r="G43" s="1830">
        <f>F41</f>
        <v>1828926</v>
      </c>
    </row>
    <row r="44" spans="1:7" ht="12" customHeight="1" x14ac:dyDescent="0.2">
      <c r="A44" s="988"/>
      <c r="B44" s="162"/>
      <c r="C44" s="1002"/>
      <c r="D44" s="1829" t="s">
        <v>494</v>
      </c>
      <c r="E44" s="1830">
        <f>E41</f>
        <v>12480022</v>
      </c>
      <c r="F44" s="1829" t="s">
        <v>494</v>
      </c>
      <c r="G44" s="1830">
        <f>G41</f>
        <v>10980907</v>
      </c>
    </row>
    <row r="45" spans="1:7" ht="12" customHeight="1" x14ac:dyDescent="0.2">
      <c r="A45" s="988"/>
      <c r="B45" s="162"/>
      <c r="C45" s="162"/>
      <c r="D45" s="1831" t="s">
        <v>1063</v>
      </c>
      <c r="E45" s="1832">
        <f>(E43/E44)</f>
        <v>2.6427116875274739E-2</v>
      </c>
      <c r="F45" s="1831" t="s">
        <v>1063</v>
      </c>
      <c r="G45" s="1832">
        <f>(G43/G44)</f>
        <v>0.16655509421944836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sqref="A1:S2"/>
      <selection pane="bottomLeft" sqref="A1:S2"/>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9" t="s">
        <v>1446</v>
      </c>
      <c r="B1" s="2329"/>
      <c r="C1" s="2329"/>
      <c r="D1" s="2329"/>
      <c r="E1" s="2329"/>
      <c r="F1" s="2329"/>
    </row>
    <row r="2" spans="1:10" x14ac:dyDescent="0.2">
      <c r="A2" s="1910" t="s">
        <v>2042</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30" t="s">
        <v>1627</v>
      </c>
      <c r="B5" s="2331"/>
      <c r="C5" s="2332"/>
      <c r="D5" s="2332"/>
      <c r="E5" s="2332"/>
      <c r="F5" s="2332"/>
    </row>
    <row r="6" spans="1:10" ht="12" customHeight="1" x14ac:dyDescent="0.25">
      <c r="A6" s="1873"/>
      <c r="B6" s="1874"/>
      <c r="C6" s="2333" t="str">
        <f>COVER!A17</f>
        <v>Carbondale Community High School Dist #165</v>
      </c>
      <c r="D6" s="2333"/>
      <c r="E6" s="2333"/>
      <c r="F6" s="1875"/>
    </row>
    <row r="7" spans="1:10" ht="11.25" customHeight="1" thickBot="1" x14ac:dyDescent="0.3">
      <c r="A7" s="1873"/>
      <c r="B7" s="1874"/>
      <c r="C7" s="2334" t="str">
        <f>COVER!A13</f>
        <v>30-039-1650-16</v>
      </c>
      <c r="D7" s="2334"/>
      <c r="E7" s="2334"/>
      <c r="F7" s="1875"/>
    </row>
    <row r="8" spans="1:10" ht="25.5" customHeight="1" thickBot="1" x14ac:dyDescent="0.25">
      <c r="A8" s="1916" t="s">
        <v>2019</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2074</v>
      </c>
      <c r="D12" s="1888" t="s">
        <v>2074</v>
      </c>
      <c r="E12" s="1891"/>
      <c r="F12" s="1890"/>
      <c r="H12" s="1901">
        <f t="shared" ref="H12:H33" si="0">IF(C12="X",5,0)</f>
        <v>5</v>
      </c>
      <c r="I12" s="1901">
        <f t="shared" ref="I12:I33" si="1">IF(D12="X",5,0)</f>
        <v>5</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2074</v>
      </c>
      <c r="D15" s="1888" t="s">
        <v>2074</v>
      </c>
      <c r="E15" s="1891"/>
      <c r="F15" s="1890" t="s">
        <v>2097</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2074</v>
      </c>
      <c r="D22" s="1888" t="s">
        <v>2074</v>
      </c>
      <c r="E22" s="1891"/>
      <c r="F22" s="1890"/>
      <c r="H22" s="1901">
        <f t="shared" si="0"/>
        <v>5</v>
      </c>
      <c r="I22" s="1901">
        <f t="shared" si="1"/>
        <v>5</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2074</v>
      </c>
      <c r="D26" s="1888" t="s">
        <v>2074</v>
      </c>
      <c r="E26" s="1891"/>
      <c r="F26" s="1890" t="s">
        <v>2098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2074</v>
      </c>
      <c r="D30" s="1888" t="s">
        <v>2074</v>
      </c>
      <c r="E30" s="1891"/>
      <c r="F30" s="1890"/>
      <c r="H30" s="1901">
        <f t="shared" si="0"/>
        <v>5</v>
      </c>
      <c r="I30" s="1901">
        <f t="shared" si="1"/>
        <v>5</v>
      </c>
      <c r="J30" s="1901">
        <f t="shared" si="2"/>
        <v>0</v>
      </c>
    </row>
    <row r="31" spans="1:12" ht="12" customHeight="1" x14ac:dyDescent="0.2">
      <c r="A31" s="1886" t="s">
        <v>1620</v>
      </c>
      <c r="B31" s="1887"/>
      <c r="C31" s="1888" t="s">
        <v>2074</v>
      </c>
      <c r="D31" s="1888" t="s">
        <v>2074</v>
      </c>
      <c r="E31" s="1891"/>
      <c r="F31" s="1890" t="s">
        <v>2099</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30</v>
      </c>
      <c r="I34" s="1901">
        <f>SUM(I11:I32)</f>
        <v>30</v>
      </c>
      <c r="J34" s="1901">
        <f>SUM(J11:J32)</f>
        <v>0</v>
      </c>
      <c r="K34" s="1901">
        <f>SUM(H34:J34)</f>
        <v>60</v>
      </c>
    </row>
    <row r="35" spans="1:11" ht="12" customHeight="1" x14ac:dyDescent="0.2">
      <c r="A35" s="1894" t="s">
        <v>1459</v>
      </c>
      <c r="B35" s="1895"/>
      <c r="C35" s="2335"/>
      <c r="D35" s="2335"/>
      <c r="E35" s="2335"/>
      <c r="F35" s="2336"/>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40"/>
      <c r="B38" s="2341"/>
      <c r="C38" s="2341"/>
      <c r="D38" s="2341"/>
      <c r="E38" s="2341"/>
      <c r="F38" s="2342"/>
    </row>
    <row r="39" spans="1:11" ht="4.5" hidden="1" customHeight="1" x14ac:dyDescent="0.2">
      <c r="A39" s="1896"/>
      <c r="B39" s="1896"/>
      <c r="C39" s="1896"/>
      <c r="D39" s="1896"/>
      <c r="E39" s="1896"/>
      <c r="F39" s="1896"/>
    </row>
    <row r="40" spans="1:11" s="1893" customFormat="1" ht="12" customHeight="1" x14ac:dyDescent="0.25">
      <c r="A40" s="1897" t="s">
        <v>1458</v>
      </c>
      <c r="B40" s="1898"/>
      <c r="C40" s="2343"/>
      <c r="D40" s="2343"/>
      <c r="E40" s="2343"/>
      <c r="F40" s="2344"/>
      <c r="H40" s="1902"/>
      <c r="I40" s="1902"/>
      <c r="J40" s="1902"/>
      <c r="K40" s="1902"/>
    </row>
    <row r="41" spans="1:11" s="1893" customFormat="1" ht="12" customHeight="1" x14ac:dyDescent="0.25">
      <c r="A41" s="2345"/>
      <c r="B41" s="2346"/>
      <c r="C41" s="2346"/>
      <c r="D41" s="2346"/>
      <c r="E41" s="2346"/>
      <c r="F41" s="2347"/>
      <c r="H41" s="1902"/>
      <c r="I41" s="1902"/>
      <c r="J41" s="1902"/>
      <c r="K41" s="1902"/>
    </row>
    <row r="42" spans="1:11" s="1893" customFormat="1" ht="12" customHeight="1" x14ac:dyDescent="0.25">
      <c r="A42" s="2345"/>
      <c r="B42" s="2346"/>
      <c r="C42" s="2346"/>
      <c r="D42" s="2346"/>
      <c r="E42" s="2346"/>
      <c r="F42" s="2347"/>
      <c r="H42" s="1902"/>
      <c r="I42" s="1902"/>
      <c r="J42" s="1902"/>
      <c r="K42" s="1902"/>
    </row>
    <row r="43" spans="1:11" s="1893" customFormat="1" ht="15" x14ac:dyDescent="0.25">
      <c r="A43" s="2337"/>
      <c r="B43" s="2338"/>
      <c r="C43" s="2338"/>
      <c r="D43" s="2338"/>
      <c r="E43" s="2338"/>
      <c r="F43" s="2339"/>
      <c r="H43" s="1902"/>
      <c r="I43" s="1902"/>
      <c r="J43" s="1902"/>
      <c r="K43" s="1902"/>
    </row>
    <row r="44" spans="1:11" s="1893" customFormat="1" ht="12" hidden="1" customHeight="1" x14ac:dyDescent="0.25">
      <c r="A44" s="2337"/>
      <c r="B44" s="2338"/>
      <c r="C44" s="2338"/>
      <c r="D44" s="2338"/>
      <c r="E44" s="2338"/>
      <c r="F44" s="233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sqref="A1:S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53" t="str">
        <f>COVER!A17</f>
        <v>Carbondale Community High School Dist #165</v>
      </c>
      <c r="J6" s="2354"/>
      <c r="Q6" s="1685"/>
    </row>
    <row r="7" spans="1:17" x14ac:dyDescent="0.2">
      <c r="A7" s="2355" t="s">
        <v>924</v>
      </c>
      <c r="B7" s="2356"/>
      <c r="C7" s="2356"/>
      <c r="D7" s="2356"/>
      <c r="E7" s="2357"/>
      <c r="F7" s="1018"/>
      <c r="G7" s="1010"/>
      <c r="H7" s="1017" t="s">
        <v>390</v>
      </c>
      <c r="I7" s="2358" t="str">
        <f>COVER!A13</f>
        <v>30-039-1650-16</v>
      </c>
      <c r="J7" s="235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9" t="s">
        <v>502</v>
      </c>
      <c r="B11" s="2360"/>
      <c r="C11" s="236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294291</v>
      </c>
      <c r="F12" s="1040"/>
      <c r="G12" s="1833">
        <f t="shared" ref="G12:G18" si="0">SUM(E12:F12)</f>
        <v>294291</v>
      </c>
      <c r="H12" s="1041">
        <v>298388</v>
      </c>
      <c r="I12" s="1040"/>
      <c r="J12" s="1833">
        <f t="shared" ref="J12:J18" si="1">SUM(H12:I12)</f>
        <v>298388</v>
      </c>
    </row>
    <row r="13" spans="1:17" ht="15" customHeight="1" x14ac:dyDescent="0.2">
      <c r="A13" s="1036">
        <v>2</v>
      </c>
      <c r="B13" s="1037" t="s">
        <v>44</v>
      </c>
      <c r="C13" s="1038"/>
      <c r="D13" s="1039">
        <v>2330</v>
      </c>
      <c r="E13" s="1833">
        <f>'Expenditures 15-22'!K51</f>
        <v>0</v>
      </c>
      <c r="F13" s="1040"/>
      <c r="G13" s="1833">
        <f t="shared" si="0"/>
        <v>0</v>
      </c>
      <c r="H13" s="1041">
        <v>21264</v>
      </c>
      <c r="I13" s="1040"/>
      <c r="J13" s="1833">
        <f t="shared" si="1"/>
        <v>21264</v>
      </c>
    </row>
    <row r="14" spans="1:17" ht="15" customHeight="1" x14ac:dyDescent="0.2">
      <c r="A14" s="1036">
        <v>3</v>
      </c>
      <c r="B14" s="1037" t="s">
        <v>45</v>
      </c>
      <c r="C14" s="1038"/>
      <c r="D14" s="1042">
        <v>2490</v>
      </c>
      <c r="E14" s="1833">
        <f>'Expenditures 15-22'!K56</f>
        <v>81829</v>
      </c>
      <c r="F14" s="1040"/>
      <c r="G14" s="1833">
        <f t="shared" si="0"/>
        <v>81829</v>
      </c>
      <c r="H14" s="1041">
        <v>0</v>
      </c>
      <c r="I14" s="1040"/>
      <c r="J14" s="1833">
        <f t="shared" si="1"/>
        <v>0</v>
      </c>
    </row>
    <row r="15" spans="1:17" ht="15" customHeight="1" x14ac:dyDescent="0.2">
      <c r="A15" s="1036">
        <v>4</v>
      </c>
      <c r="B15" s="1037" t="s">
        <v>1128</v>
      </c>
      <c r="C15" s="1038"/>
      <c r="D15" s="1039">
        <v>2510</v>
      </c>
      <c r="E15" s="1833">
        <f>'Expenditures 15-22'!K59</f>
        <v>196423</v>
      </c>
      <c r="F15" s="1833">
        <f>'Expenditures 15-22'!K122</f>
        <v>0</v>
      </c>
      <c r="G15" s="1833">
        <f t="shared" si="0"/>
        <v>196423</v>
      </c>
      <c r="H15" s="1041">
        <v>194749</v>
      </c>
      <c r="I15" s="1041"/>
      <c r="J15" s="1833">
        <f t="shared" si="1"/>
        <v>194749</v>
      </c>
    </row>
    <row r="16" spans="1:17" ht="15" customHeight="1" x14ac:dyDescent="0.2">
      <c r="A16" s="1036">
        <v>5</v>
      </c>
      <c r="B16" s="1037" t="s">
        <v>103</v>
      </c>
      <c r="C16" s="1038"/>
      <c r="D16" s="1039">
        <v>2570</v>
      </c>
      <c r="E16" s="1833">
        <f>'Expenditures 15-22'!K64</f>
        <v>0</v>
      </c>
      <c r="F16" s="1040"/>
      <c r="G16" s="1833">
        <f t="shared" si="0"/>
        <v>0</v>
      </c>
      <c r="H16" s="1041">
        <v>0</v>
      </c>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v>0</v>
      </c>
      <c r="I17" s="1040"/>
      <c r="J17" s="1833">
        <f t="shared" si="1"/>
        <v>0</v>
      </c>
    </row>
    <row r="18" spans="1:10" ht="22.5" customHeight="1" x14ac:dyDescent="0.2">
      <c r="A18" s="1043">
        <v>7</v>
      </c>
      <c r="B18" s="2362" t="s">
        <v>7</v>
      </c>
      <c r="C18" s="2363"/>
      <c r="D18" s="2364"/>
      <c r="E18" s="1044"/>
      <c r="F18" s="1044"/>
      <c r="G18" s="1834">
        <f t="shared" si="0"/>
        <v>0</v>
      </c>
      <c r="H18" s="1041">
        <v>0</v>
      </c>
      <c r="I18" s="1041"/>
      <c r="J18" s="1833">
        <f t="shared" si="1"/>
        <v>0</v>
      </c>
    </row>
    <row r="19" spans="1:10" ht="12.75" customHeight="1" thickBot="1" x14ac:dyDescent="0.25">
      <c r="A19" s="1036">
        <v>8</v>
      </c>
      <c r="B19" s="1045" t="s">
        <v>1223</v>
      </c>
      <c r="D19" s="1046"/>
      <c r="E19" s="1835">
        <f t="shared" ref="E19:J19" si="2">SUM(E12:E17)-E18</f>
        <v>572543</v>
      </c>
      <c r="F19" s="1835">
        <f t="shared" si="2"/>
        <v>0</v>
      </c>
      <c r="G19" s="1835">
        <f t="shared" si="2"/>
        <v>572543</v>
      </c>
      <c r="H19" s="1835">
        <f t="shared" si="2"/>
        <v>514401</v>
      </c>
      <c r="I19" s="1835">
        <f t="shared" si="2"/>
        <v>0</v>
      </c>
      <c r="J19" s="1835">
        <f t="shared" si="2"/>
        <v>514401</v>
      </c>
    </row>
    <row r="20" spans="1:10" ht="13.5" thickTop="1" x14ac:dyDescent="0.2">
      <c r="A20" s="1036">
        <v>9</v>
      </c>
      <c r="B20" s="2365" t="s">
        <v>1703</v>
      </c>
      <c r="C20" s="2365"/>
      <c r="D20" s="2366"/>
      <c r="E20" s="1047"/>
      <c r="F20" s="1047"/>
      <c r="G20" s="1047"/>
      <c r="H20" s="1047"/>
      <c r="I20" s="1047"/>
      <c r="J20" s="1836">
        <f>IF(AND(G19&gt;0,J19&gt;0),(((J19-G19)/G19)),"Enter Budget Data")</f>
        <v>-0.10155045123248385</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1"/>
      <c r="D26" s="2371"/>
      <c r="E26" s="1051"/>
      <c r="F26" s="2370"/>
      <c r="G26" s="2370"/>
    </row>
    <row r="27" spans="1:10" x14ac:dyDescent="0.2">
      <c r="B27" s="1048"/>
      <c r="C27" s="1052" t="s">
        <v>1093</v>
      </c>
      <c r="D27" s="1053"/>
      <c r="E27" s="1054"/>
      <c r="F27" s="2367" t="s">
        <v>1589</v>
      </c>
      <c r="G27" s="2367"/>
    </row>
    <row r="28" spans="1:10" ht="28.5" customHeight="1" x14ac:dyDescent="0.2">
      <c r="B28" s="1048"/>
      <c r="C28" s="2372" t="s">
        <v>2081</v>
      </c>
      <c r="D28" s="2372"/>
      <c r="E28" s="1055"/>
      <c r="F28" s="2369" t="s">
        <v>2082</v>
      </c>
      <c r="G28" s="2369"/>
    </row>
    <row r="29" spans="1:10" x14ac:dyDescent="0.2">
      <c r="B29" s="1048"/>
      <c r="C29" s="1056" t="s">
        <v>1642</v>
      </c>
      <c r="E29" s="1057"/>
      <c r="F29" s="2368" t="s">
        <v>1590</v>
      </c>
      <c r="G29" s="236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0" t="s">
        <v>134</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63"/>
    </row>
    <row r="36" spans="1:10" ht="13.5" customHeight="1" x14ac:dyDescent="0.2">
      <c r="B36" s="1062"/>
      <c r="C36" s="2352" t="s">
        <v>1939</v>
      </c>
      <c r="D36" s="2351"/>
      <c r="E36" s="2351"/>
      <c r="F36" s="2351"/>
      <c r="G36" s="2351"/>
      <c r="H36" s="2351"/>
      <c r="I36" s="2351"/>
      <c r="J36" s="1064"/>
    </row>
    <row r="37" spans="1:10" ht="22.5" customHeight="1" x14ac:dyDescent="0.2">
      <c r="C37" s="2351"/>
      <c r="D37" s="2351"/>
      <c r="E37" s="2351"/>
      <c r="F37" s="2351"/>
      <c r="G37" s="2351"/>
      <c r="H37" s="2351"/>
      <c r="I37" s="2351"/>
      <c r="J37" s="1064"/>
    </row>
    <row r="38" spans="1:10" ht="7.5" customHeight="1" x14ac:dyDescent="0.2">
      <c r="C38" s="1063"/>
      <c r="D38" s="1065"/>
      <c r="E38" s="1066"/>
      <c r="F38" s="1067"/>
      <c r="G38" s="1066"/>
    </row>
    <row r="39" spans="1:10" ht="13.5" customHeight="1" x14ac:dyDescent="0.2">
      <c r="B39" s="1062"/>
      <c r="C39" s="2348" t="s">
        <v>937</v>
      </c>
      <c r="D39" s="2349"/>
      <c r="E39" s="2349"/>
      <c r="F39" s="2349"/>
      <c r="G39" s="2349"/>
      <c r="H39" s="2349"/>
      <c r="I39" s="234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sqref="A1:S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2100</v>
      </c>
    </row>
    <row r="6" spans="1:2" x14ac:dyDescent="0.2">
      <c r="A6" s="1069">
        <v>2</v>
      </c>
      <c r="B6" t="s">
        <v>2101</v>
      </c>
    </row>
    <row r="7" spans="1:2" x14ac:dyDescent="0.2">
      <c r="A7" s="1069">
        <v>3</v>
      </c>
      <c r="B7" s="1" t="s">
        <v>2102</v>
      </c>
    </row>
    <row r="8" spans="1:2" x14ac:dyDescent="0.2">
      <c r="A8" s="1069">
        <v>4</v>
      </c>
      <c r="B8" s="1" t="s">
        <v>2103</v>
      </c>
    </row>
    <row r="9" spans="1:2" x14ac:dyDescent="0.2">
      <c r="A9" s="1069">
        <v>5</v>
      </c>
      <c r="B9" s="1" t="s">
        <v>2104</v>
      </c>
    </row>
    <row r="10" spans="1:2" x14ac:dyDescent="0.2">
      <c r="A10" s="1069">
        <v>6</v>
      </c>
      <c r="B10" s="1" t="s">
        <v>2105</v>
      </c>
    </row>
    <row r="11" spans="1:2" x14ac:dyDescent="0.2">
      <c r="A11" s="1069">
        <v>7</v>
      </c>
      <c r="B11" s="1" t="s">
        <v>2106</v>
      </c>
    </row>
    <row r="12" spans="1:2" x14ac:dyDescent="0.2">
      <c r="A12" s="1069">
        <v>8</v>
      </c>
      <c r="B12" s="1" t="s">
        <v>2107</v>
      </c>
    </row>
    <row r="13" spans="1:2" x14ac:dyDescent="0.2">
      <c r="A13" s="1069">
        <v>9</v>
      </c>
      <c r="B13" s="1" t="s">
        <v>2108</v>
      </c>
    </row>
    <row r="14" spans="1:2" x14ac:dyDescent="0.2">
      <c r="A14" s="1069">
        <v>10</v>
      </c>
      <c r="B14" s="1" t="s">
        <v>2109</v>
      </c>
    </row>
    <row r="15" spans="1:2" x14ac:dyDescent="0.2">
      <c r="A15" s="1069">
        <v>11</v>
      </c>
      <c r="B15" s="1" t="s">
        <v>2110</v>
      </c>
    </row>
    <row r="16" spans="1:2" x14ac:dyDescent="0.2">
      <c r="A16" s="1069">
        <v>12</v>
      </c>
      <c r="B16" s="1" t="s">
        <v>2111</v>
      </c>
    </row>
    <row r="17" spans="1:2" x14ac:dyDescent="0.2">
      <c r="A17" s="1069">
        <v>13</v>
      </c>
      <c r="B17" s="1" t="s">
        <v>2112</v>
      </c>
    </row>
    <row r="18" spans="1:2" x14ac:dyDescent="0.2">
      <c r="A18" s="1069">
        <v>14</v>
      </c>
      <c r="B18" s="1" t="s">
        <v>2113</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Carbondale Community High School Dist #165</v>
      </c>
    </row>
    <row r="65" spans="2:2" x14ac:dyDescent="0.2">
      <c r="B65" s="1071" t="str">
        <f>COVER!A13</f>
        <v>30-039-1650-16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B102" sqref="B102:I1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8" t="s">
        <v>1709</v>
      </c>
    </row>
    <row r="23" spans="1:5" x14ac:dyDescent="0.2">
      <c r="A23" s="168"/>
      <c r="B23" s="162" t="s">
        <v>1964</v>
      </c>
      <c r="D23" s="167" t="s">
        <v>658</v>
      </c>
      <c r="E23" s="1858"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9" t="s">
        <v>1125</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715</v>
      </c>
      <c r="B40" s="2086"/>
      <c r="C40" s="2086"/>
      <c r="D40" s="2086"/>
      <c r="E40" s="2086"/>
    </row>
    <row r="41" spans="1:5" x14ac:dyDescent="0.2">
      <c r="A41" s="2087" t="s">
        <v>1706</v>
      </c>
      <c r="B41" s="2087"/>
      <c r="C41" s="2087"/>
      <c r="D41" s="2087"/>
      <c r="E41" s="2087"/>
    </row>
    <row r="42" spans="1:5" ht="12.75" customHeight="1" x14ac:dyDescent="0.2">
      <c r="A42" s="2088" t="s">
        <v>1080</v>
      </c>
      <c r="B42" s="2088"/>
      <c r="C42" s="2088"/>
      <c r="D42" s="2088"/>
      <c r="E42" s="2088"/>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S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3" t="s">
        <v>1784</v>
      </c>
      <c r="B18" s="237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29699" r:id="rId4"/>
      </mc:Fallback>
    </mc:AlternateContent>
    <mc:AlternateContent xmlns:mc="http://schemas.openxmlformats.org/markup-compatibility/2006">
      <mc:Choice Requires="x14">
        <oleObject progId="Acrobat Document" dvAspect="DVASPECT_ICON" shapeId="29700" r:id="rId6">
          <objectPr defaultSize="0" r:id="rId5">
            <anchor moveWithCells="1">
              <from>
                <xdr:col>1</xdr:col>
                <xdr:colOff>1695450</xdr:colOff>
                <xdr:row>7</xdr:row>
                <xdr:rowOff>66675</xdr:rowOff>
              </from>
              <to>
                <xdr:col>1</xdr:col>
                <xdr:colOff>2609850</xdr:colOff>
                <xdr:row>11</xdr:row>
                <xdr:rowOff>104775</xdr:rowOff>
              </to>
            </anchor>
          </objectPr>
        </oleObject>
      </mc:Choice>
      <mc:Fallback>
        <oleObject progId="Acrobat Document" dvAspect="DVASPECT_ICON" shapeId="2970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S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1790</v>
      </c>
      <c r="B1" s="2375"/>
      <c r="C1" s="2375"/>
      <c r="D1" s="2375"/>
      <c r="E1" s="2375"/>
      <c r="F1" s="2376"/>
    </row>
    <row r="2" spans="1:8" ht="45" customHeight="1" x14ac:dyDescent="0.2">
      <c r="A2" s="2384" t="s">
        <v>1791</v>
      </c>
      <c r="B2" s="2385"/>
      <c r="C2" s="2385"/>
      <c r="D2" s="2385"/>
      <c r="E2" s="2385"/>
      <c r="F2" s="2386"/>
      <c r="G2" s="1075"/>
      <c r="H2" s="1075"/>
    </row>
    <row r="3" spans="1:8" ht="57" customHeight="1" x14ac:dyDescent="0.2">
      <c r="A3" s="2387" t="s">
        <v>1786</v>
      </c>
      <c r="B3" s="2388"/>
      <c r="C3" s="2388"/>
      <c r="D3" s="2388"/>
      <c r="E3" s="2388"/>
      <c r="F3" s="2389"/>
      <c r="G3" s="1075"/>
      <c r="H3" s="1075"/>
    </row>
    <row r="4" spans="1:8" ht="14.25" customHeight="1" x14ac:dyDescent="0.2">
      <c r="A4" s="2393" t="s">
        <v>2050</v>
      </c>
      <c r="B4" s="2394"/>
      <c r="C4" s="2394"/>
      <c r="D4" s="2394"/>
      <c r="E4" s="2394"/>
      <c r="F4" s="2395"/>
      <c r="G4" s="1075"/>
      <c r="H4" s="1075"/>
    </row>
    <row r="5" spans="1:8" ht="14.25" customHeight="1" x14ac:dyDescent="0.2">
      <c r="A5" s="2396" t="s">
        <v>2051</v>
      </c>
      <c r="B5" s="2397"/>
      <c r="C5" s="2397"/>
      <c r="D5" s="2397"/>
      <c r="E5" s="2397"/>
      <c r="F5" s="2398"/>
      <c r="G5" s="1075"/>
      <c r="H5" s="1075"/>
    </row>
    <row r="6" spans="1:8" s="1076" customFormat="1" ht="41.25" customHeight="1" x14ac:dyDescent="0.2">
      <c r="A6" s="2390" t="s">
        <v>1792</v>
      </c>
      <c r="B6" s="2391"/>
      <c r="C6" s="2391"/>
      <c r="D6" s="2391"/>
      <c r="E6" s="2391"/>
      <c r="F6" s="239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11998399</v>
      </c>
      <c r="C8" s="1837">
        <f>'Acct Summary 7-8'!D8</f>
        <v>1479621</v>
      </c>
      <c r="D8" s="1837">
        <f>'Acct Summary 7-8'!F8</f>
        <v>840521</v>
      </c>
      <c r="E8" s="1837">
        <f>'Acct Summary 7-8'!I8</f>
        <v>231496</v>
      </c>
      <c r="F8" s="1837">
        <f>SUM(B8:E8)</f>
        <v>14550037</v>
      </c>
    </row>
    <row r="9" spans="1:8" s="1080" customFormat="1" ht="14.25" customHeight="1" thickBot="1" x14ac:dyDescent="0.25">
      <c r="A9" s="1079" t="s">
        <v>1436</v>
      </c>
      <c r="B9" s="1838">
        <f>'Acct Summary 7-8'!C17</f>
        <v>11663533</v>
      </c>
      <c r="C9" s="1838">
        <f>'Acct Summary 7-8'!D17</f>
        <v>1258789</v>
      </c>
      <c r="D9" s="1838">
        <f>'Acct Summary 7-8'!F17</f>
        <v>737042</v>
      </c>
      <c r="E9" s="1837"/>
      <c r="F9" s="1837">
        <f>SUM(B9:E9)</f>
        <v>13659364</v>
      </c>
    </row>
    <row r="10" spans="1:8" s="1080" customFormat="1" ht="14.25" thickTop="1" thickBot="1" x14ac:dyDescent="0.25">
      <c r="A10" s="1081" t="s">
        <v>1437</v>
      </c>
      <c r="B10" s="1839">
        <f>(B8-B9)</f>
        <v>334866</v>
      </c>
      <c r="C10" s="1839">
        <f>(C8-C9)</f>
        <v>220832</v>
      </c>
      <c r="D10" s="1839">
        <f>(D8-D9)</f>
        <v>103479</v>
      </c>
      <c r="E10" s="1838">
        <f>(E8-E9)</f>
        <v>231496</v>
      </c>
      <c r="F10" s="1840">
        <f>SUM(F8-F9)</f>
        <v>890673</v>
      </c>
    </row>
    <row r="11" spans="1:8" s="1080" customFormat="1" ht="14.25" thickTop="1" thickBot="1" x14ac:dyDescent="0.25">
      <c r="A11" s="1082" t="s">
        <v>1785</v>
      </c>
      <c r="B11" s="1841">
        <f>'Acct Summary 7-8'!C81</f>
        <v>3085239</v>
      </c>
      <c r="C11" s="1841">
        <f>'Acct Summary 7-8'!D81</f>
        <v>1229531</v>
      </c>
      <c r="D11" s="1841">
        <f>'Acct Summary 7-8'!F81</f>
        <v>1148818</v>
      </c>
      <c r="E11" s="1841">
        <f>'Acct Summary 7-8'!I81</f>
        <v>2016775</v>
      </c>
      <c r="F11" s="1842">
        <f>SUM(B11:E11)</f>
        <v>7480363</v>
      </c>
    </row>
    <row r="12" spans="1:8" ht="16.5" customHeight="1" thickTop="1" x14ac:dyDescent="0.2">
      <c r="A12" s="1083"/>
      <c r="B12" s="1084"/>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5"/>
      <c r="B13" s="1086"/>
      <c r="C13" s="2378"/>
      <c r="D13" s="2379"/>
      <c r="E13" s="2379"/>
      <c r="F13" s="2380"/>
      <c r="H13" s="1075"/>
    </row>
    <row r="14" spans="1:8" ht="19.5" customHeight="1" x14ac:dyDescent="0.2">
      <c r="A14" s="1085"/>
      <c r="B14" s="1086"/>
      <c r="C14" s="2378"/>
      <c r="D14" s="2379"/>
      <c r="E14" s="2379"/>
      <c r="F14" s="2380"/>
      <c r="H14" s="1075"/>
    </row>
    <row r="15" spans="1:8" ht="17.25" customHeight="1" x14ac:dyDescent="0.2">
      <c r="A15" s="1085"/>
      <c r="B15" s="1086"/>
      <c r="C15" s="2381"/>
      <c r="D15" s="2382"/>
      <c r="E15" s="2382"/>
      <c r="F15" s="2383"/>
      <c r="H15" s="1075"/>
    </row>
    <row r="16" spans="1:8" s="310" customFormat="1" ht="51.75" hidden="1" customHeight="1" x14ac:dyDescent="0.2">
      <c r="A16" s="2377" t="s">
        <v>1787</v>
      </c>
      <c r="B16" s="2377"/>
      <c r="C16" s="2377"/>
      <c r="D16" s="2377"/>
      <c r="E16" s="237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9" t="s">
        <v>686</v>
      </c>
      <c r="B3" s="2400"/>
      <c r="C3" s="2400"/>
      <c r="D3" s="2401"/>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0" t="s">
        <v>1584</v>
      </c>
      <c r="D7" s="2411"/>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2" t="s">
        <v>1065</v>
      </c>
      <c r="B15" s="2403"/>
      <c r="C15" s="2403"/>
      <c r="D15" s="2404"/>
    </row>
    <row r="16" spans="1:4" s="669" customFormat="1" ht="24" customHeight="1" x14ac:dyDescent="0.2">
      <c r="A16" s="2405" t="s">
        <v>684</v>
      </c>
      <c r="B16" s="2406"/>
      <c r="C16" s="2406"/>
      <c r="D16" s="240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4" t="s">
        <v>332</v>
      </c>
      <c r="D21" s="2415"/>
    </row>
    <row r="22" spans="1:10" ht="12.75" x14ac:dyDescent="0.2">
      <c r="A22" s="1140"/>
      <c r="B22" s="1141">
        <v>2</v>
      </c>
      <c r="C22" s="2412" t="s">
        <v>1605</v>
      </c>
      <c r="D22" s="241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6" t="s">
        <v>557</v>
      </c>
      <c r="D43" s="241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8" t="s">
        <v>817</v>
      </c>
      <c r="D56" s="240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8" t="s">
        <v>1797</v>
      </c>
      <c r="D70" s="240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30-039-1650-16</v>
      </c>
    </row>
    <row r="3" spans="1:2" x14ac:dyDescent="0.2">
      <c r="A3" t="s">
        <v>1013</v>
      </c>
      <c r="B3" s="138" t="str">
        <f>COVER!A15</f>
        <v>Jackson</v>
      </c>
    </row>
    <row r="4" spans="1:2" x14ac:dyDescent="0.2">
      <c r="A4" t="s">
        <v>1064</v>
      </c>
      <c r="B4" s="138" t="str">
        <f>COVER!A17</f>
        <v>Carbondale Community High School Dist #165</v>
      </c>
    </row>
    <row r="5" spans="1:2" x14ac:dyDescent="0.2">
      <c r="A5" t="s">
        <v>728</v>
      </c>
      <c r="B5" s="138" t="str">
        <f>COVER!A38</f>
        <v>Steve Murphy</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Sarah Kary</v>
      </c>
    </row>
    <row r="18" spans="1:2" x14ac:dyDescent="0.2">
      <c r="A18" t="s">
        <v>1212</v>
      </c>
      <c r="B18" s="138" t="str">
        <f>COVER!T17</f>
        <v>1191 West Saint Louis Street</v>
      </c>
    </row>
    <row r="19" spans="1:2" x14ac:dyDescent="0.2">
      <c r="A19" t="s">
        <v>941</v>
      </c>
      <c r="B19" s="138" t="str">
        <f>COVER!T25</f>
        <v>sarahkary@emlingcpa.com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3064417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-20822</v>
      </c>
      <c r="C91" s="2" t="s">
        <v>594</v>
      </c>
      <c r="D91" s="2" t="str">
        <f t="shared" si="0"/>
        <v>Error?</v>
      </c>
    </row>
    <row r="92" spans="1:4" x14ac:dyDescent="0.2">
      <c r="A92" s="5">
        <v>31</v>
      </c>
      <c r="B92" s="138">
        <f>'Assets-Liab 5-6'!C39</f>
        <v>3085239</v>
      </c>
      <c r="D92" s="2" t="str">
        <f t="shared" si="0"/>
        <v>Error?</v>
      </c>
    </row>
    <row r="93" spans="1:4" x14ac:dyDescent="0.2">
      <c r="A93" s="5">
        <v>32</v>
      </c>
      <c r="B93" s="138">
        <f>'Assets-Liab 5-6'!C41</f>
        <v>3064417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1229521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v>
      </c>
      <c r="C122" s="2" t="s">
        <v>594</v>
      </c>
      <c r="D122" s="2" t="str">
        <f t="shared" si="0"/>
        <v>Error?</v>
      </c>
    </row>
    <row r="123" spans="1:4" x14ac:dyDescent="0.2">
      <c r="A123" s="5">
        <v>62</v>
      </c>
      <c r="B123" s="138">
        <f>'Assets-Liab 5-6'!D39</f>
        <v>1229531</v>
      </c>
      <c r="D123" s="2" t="str">
        <f t="shared" si="0"/>
        <v>Error?</v>
      </c>
    </row>
    <row r="124" spans="1:4" x14ac:dyDescent="0.2">
      <c r="A124" s="5">
        <v>63</v>
      </c>
      <c r="B124" s="138">
        <f>'Assets-Liab 5-6'!D41</f>
        <v>1229521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1215553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1215553</v>
      </c>
      <c r="D140" s="2" t="str">
        <f t="shared" si="1"/>
        <v>Error?</v>
      </c>
    </row>
    <row r="141" spans="1:4" x14ac:dyDescent="0.2">
      <c r="A141" s="5">
        <v>80</v>
      </c>
      <c r="B141" s="138">
        <f>'Assets-Liab 5-6'!E41</f>
        <v>1215553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1148818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1148818</v>
      </c>
      <c r="D170" s="2" t="str">
        <f t="shared" si="1"/>
        <v>Error?</v>
      </c>
    </row>
    <row r="171" spans="1:4" x14ac:dyDescent="0.2">
      <c r="A171" s="5">
        <v>110</v>
      </c>
      <c r="B171" s="138">
        <f>'Assets-Liab 5-6'!F41</f>
        <v>1148818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477826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477826</v>
      </c>
      <c r="D189" s="2" t="str">
        <f t="shared" si="1"/>
        <v>Error?</v>
      </c>
    </row>
    <row r="190" spans="1:4" x14ac:dyDescent="0.2">
      <c r="A190" s="5">
        <v>129</v>
      </c>
      <c r="B190" s="138">
        <f>'Assets-Liab 5-6'!G41</f>
        <v>477826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486831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486831</v>
      </c>
      <c r="D212" s="2" t="str">
        <f t="shared" si="2"/>
        <v>Error?</v>
      </c>
    </row>
    <row r="213" spans="1:4" x14ac:dyDescent="0.2">
      <c r="A213" s="12">
        <v>152</v>
      </c>
      <c r="B213" s="138">
        <f>'Assets-Liab 5-6'!H41</f>
        <v>486831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147429</v>
      </c>
      <c r="D273" s="2" t="str">
        <f t="shared" si="3"/>
        <v>Error?</v>
      </c>
    </row>
    <row r="274" spans="1:4" x14ac:dyDescent="0.2">
      <c r="A274" s="5">
        <v>213</v>
      </c>
      <c r="B274" s="138">
        <f>'Assets-Liab 5-6'!M17</f>
        <v>33355721</v>
      </c>
      <c r="D274" s="2" t="str">
        <f t="shared" si="3"/>
        <v>Error?</v>
      </c>
    </row>
    <row r="275" spans="1:4" x14ac:dyDescent="0.2">
      <c r="A275" s="5">
        <v>214</v>
      </c>
      <c r="B275" s="138">
        <f>'Assets-Liab 5-6'!M18</f>
        <v>3207872</v>
      </c>
      <c r="D275" s="2" t="str">
        <f t="shared" si="3"/>
        <v>Error?</v>
      </c>
    </row>
    <row r="276" spans="1:4" x14ac:dyDescent="0.2">
      <c r="A276" s="5">
        <v>215</v>
      </c>
      <c r="B276" s="138">
        <f>'Assets-Liab 5-6'!M19</f>
        <v>4887474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41598496</v>
      </c>
      <c r="C279" s="2" t="s">
        <v>594</v>
      </c>
      <c r="D279" s="2" t="str">
        <f t="shared" si="3"/>
        <v>Error?</v>
      </c>
    </row>
    <row r="280" spans="1:4" x14ac:dyDescent="0.2">
      <c r="A280" s="5">
        <v>219</v>
      </c>
      <c r="B280" s="138">
        <f>'Assets-Liab 5-6'!M40</f>
        <v>41598496</v>
      </c>
      <c r="D280" s="2" t="str">
        <f t="shared" si="3"/>
        <v>Error?</v>
      </c>
    </row>
    <row r="281" spans="1:4" x14ac:dyDescent="0.2">
      <c r="A281" s="5">
        <v>220</v>
      </c>
      <c r="B281" s="138">
        <f>'Assets-Liab 5-6'!M41</f>
        <v>41598496</v>
      </c>
      <c r="C281" s="2" t="s">
        <v>594</v>
      </c>
      <c r="D281" s="2" t="str">
        <f t="shared" si="3"/>
        <v>Error?</v>
      </c>
    </row>
    <row r="282" spans="1:4" x14ac:dyDescent="0.2">
      <c r="A282" s="5">
        <v>221</v>
      </c>
      <c r="B282" s="138">
        <f>'Assets-Liab 5-6'!N21</f>
        <v>1215553</v>
      </c>
      <c r="D282" s="2" t="str">
        <f t="shared" si="3"/>
        <v>Error?</v>
      </c>
    </row>
    <row r="283" spans="1:4" x14ac:dyDescent="0.2">
      <c r="A283" s="5">
        <v>222</v>
      </c>
      <c r="B283" s="138">
        <f>'Assets-Liab 5-6'!N22</f>
        <v>1206972</v>
      </c>
      <c r="D283" s="2" t="str">
        <f t="shared" si="3"/>
        <v>Error?</v>
      </c>
    </row>
    <row r="284" spans="1:4" x14ac:dyDescent="0.2">
      <c r="A284" s="5">
        <v>223</v>
      </c>
      <c r="B284" s="138">
        <f>'Assets-Liab 5-6'!N23</f>
        <v>2422525</v>
      </c>
      <c r="C284" s="2" t="s">
        <v>594</v>
      </c>
      <c r="D284" s="2" t="str">
        <f t="shared" si="3"/>
        <v>Error?</v>
      </c>
    </row>
    <row r="285" spans="1:4" x14ac:dyDescent="0.2">
      <c r="A285" s="5">
        <v>224</v>
      </c>
      <c r="B285" s="138">
        <f>'Assets-Liab 5-6'!N36</f>
        <v>2422525</v>
      </c>
      <c r="D285" s="2" t="str">
        <f t="shared" si="3"/>
        <v>Error?</v>
      </c>
    </row>
    <row r="286" spans="1:4" x14ac:dyDescent="0.2">
      <c r="A286" s="10">
        <v>225</v>
      </c>
      <c r="D286" s="2" t="str">
        <f t="shared" si="3"/>
        <v>OK</v>
      </c>
    </row>
    <row r="287" spans="1:4" x14ac:dyDescent="0.2">
      <c r="A287" s="5">
        <v>226</v>
      </c>
      <c r="B287" s="138">
        <f>'Assets-Liab 5-6'!N37</f>
        <v>2422525</v>
      </c>
      <c r="C287" s="2" t="s">
        <v>594</v>
      </c>
      <c r="D287" s="2" t="str">
        <f t="shared" si="3"/>
        <v>Error?</v>
      </c>
    </row>
    <row r="288" spans="1:4" x14ac:dyDescent="0.2">
      <c r="A288" s="5">
        <v>227</v>
      </c>
      <c r="B288" s="138">
        <f>'Assets-Liab 5-6'!N41</f>
        <v>2422525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9000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3607020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294975</v>
      </c>
      <c r="D716" s="2" t="str">
        <f t="shared" si="10"/>
        <v>Error?</v>
      </c>
    </row>
    <row r="717" spans="1:4" x14ac:dyDescent="0.2">
      <c r="A717" s="5">
        <v>656</v>
      </c>
      <c r="B717" s="138">
        <f>'Expenditures 15-22'!C13</f>
        <v>425245</v>
      </c>
      <c r="D717" s="2" t="str">
        <f t="shared" si="10"/>
        <v>Error?</v>
      </c>
    </row>
    <row r="718" spans="1:4" x14ac:dyDescent="0.2">
      <c r="A718" s="5">
        <v>657</v>
      </c>
      <c r="B718" s="138">
        <f>'Expenditures 15-22'!C14</f>
        <v>472555</v>
      </c>
      <c r="D718" s="2" t="str">
        <f t="shared" si="10"/>
        <v>Error?</v>
      </c>
    </row>
    <row r="719" spans="1:4" x14ac:dyDescent="0.2">
      <c r="A719" s="5">
        <v>658</v>
      </c>
      <c r="B719" s="138">
        <f>'Expenditures 15-22'!C15</f>
        <v>14127</v>
      </c>
      <c r="D719" s="2" t="str">
        <f t="shared" si="10"/>
        <v>Error?</v>
      </c>
    </row>
    <row r="720" spans="1:4" x14ac:dyDescent="0.2">
      <c r="A720" s="5">
        <v>659</v>
      </c>
      <c r="B720" s="138">
        <f>'Expenditures 15-22'!C33</f>
        <v>6017643</v>
      </c>
      <c r="C720" s="2" t="s">
        <v>594</v>
      </c>
      <c r="D720" s="2" t="str">
        <f t="shared" si="10"/>
        <v>Error?</v>
      </c>
    </row>
    <row r="721" spans="1:4" x14ac:dyDescent="0.2">
      <c r="A721" s="5">
        <v>660</v>
      </c>
      <c r="B721" s="138">
        <f>'Expenditures 15-22'!C36</f>
        <v>115587</v>
      </c>
      <c r="D721" s="2" t="str">
        <f t="shared" si="10"/>
        <v>Error?</v>
      </c>
    </row>
    <row r="722" spans="1:4" x14ac:dyDescent="0.2">
      <c r="A722" s="5">
        <v>661</v>
      </c>
      <c r="B722" s="138">
        <f>'Expenditures 15-22'!C37</f>
        <v>401393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36655</v>
      </c>
      <c r="D726" s="2" t="str">
        <f t="shared" si="10"/>
        <v>Error?</v>
      </c>
    </row>
    <row r="727" spans="1:4" x14ac:dyDescent="0.2">
      <c r="A727" s="5">
        <v>666</v>
      </c>
      <c r="B727" s="138">
        <f>'Expenditures 15-22'!C42</f>
        <v>553635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12960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12960</v>
      </c>
      <c r="C731" s="2" t="s">
        <v>594</v>
      </c>
      <c r="D731" s="2" t="str">
        <f t="shared" si="10"/>
        <v>Error?</v>
      </c>
    </row>
    <row r="732" spans="1:4" x14ac:dyDescent="0.2">
      <c r="A732" s="5">
        <v>671</v>
      </c>
      <c r="B732" s="138">
        <f>'Expenditures 15-22'!C49</f>
        <v>54504</v>
      </c>
      <c r="D732" s="2" t="str">
        <f t="shared" si="10"/>
        <v>Error?</v>
      </c>
    </row>
    <row r="733" spans="1:4" x14ac:dyDescent="0.2">
      <c r="A733" s="5">
        <v>672</v>
      </c>
      <c r="B733" s="138">
        <f>'Expenditures 15-22'!C50</f>
        <v>233820</v>
      </c>
      <c r="D733" s="2" t="str">
        <f t="shared" si="10"/>
        <v>Error?</v>
      </c>
    </row>
    <row r="734" spans="1:4" x14ac:dyDescent="0.2">
      <c r="A734" s="5">
        <v>673</v>
      </c>
      <c r="B734" s="138">
        <f>'Expenditures 15-22'!C53</f>
        <v>288324</v>
      </c>
      <c r="C734" s="2" t="s">
        <v>594</v>
      </c>
      <c r="D734" s="2" t="str">
        <f t="shared" si="10"/>
        <v>Error?</v>
      </c>
    </row>
    <row r="735" spans="1:4" x14ac:dyDescent="0.2">
      <c r="A735" s="5">
        <v>674</v>
      </c>
      <c r="B735" s="138">
        <f>'Expenditures 15-22'!C55</f>
        <v>399555</v>
      </c>
      <c r="D735" s="2" t="str">
        <f t="shared" si="10"/>
        <v>Error?</v>
      </c>
    </row>
    <row r="736" spans="1:4" x14ac:dyDescent="0.2">
      <c r="A736" s="5">
        <v>675</v>
      </c>
      <c r="B736" s="138">
        <f>'Expenditures 15-22'!C56</f>
        <v>65633</v>
      </c>
      <c r="D736" s="2" t="str">
        <f t="shared" si="10"/>
        <v>Error?</v>
      </c>
    </row>
    <row r="737" spans="1:4" x14ac:dyDescent="0.2">
      <c r="A737" s="5">
        <v>676</v>
      </c>
      <c r="B737" s="138">
        <f>'Expenditures 15-22'!C57</f>
        <v>465188</v>
      </c>
      <c r="C737" s="2" t="s">
        <v>594</v>
      </c>
      <c r="D737" s="2" t="str">
        <f t="shared" si="10"/>
        <v>Error?</v>
      </c>
    </row>
    <row r="738" spans="1:4" x14ac:dyDescent="0.2">
      <c r="A738" s="5">
        <v>677</v>
      </c>
      <c r="B738" s="138">
        <f>'Expenditures 15-22'!C59</f>
        <v>143662</v>
      </c>
      <c r="D738" s="2" t="str">
        <f t="shared" si="10"/>
        <v>Error?</v>
      </c>
    </row>
    <row r="739" spans="1:4" x14ac:dyDescent="0.2">
      <c r="A739" s="5">
        <v>678</v>
      </c>
      <c r="B739" s="138">
        <f>'Expenditures 15-22'!C60</f>
        <v>69450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163938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377050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77689</v>
      </c>
      <c r="D754" s="2" t="str">
        <f t="shared" si="10"/>
        <v>Error?</v>
      </c>
    </row>
    <row r="755" spans="1:4" x14ac:dyDescent="0.2">
      <c r="A755" s="5">
        <v>694</v>
      </c>
      <c r="B755" s="138">
        <f>'Expenditures 15-22'!C74</f>
        <v>1774846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7792489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939807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62993</v>
      </c>
      <c r="D774" s="2" t="str">
        <f t="shared" si="11"/>
        <v>Error?</v>
      </c>
    </row>
    <row r="775" spans="1:4" x14ac:dyDescent="0.2">
      <c r="A775" s="5">
        <v>714</v>
      </c>
      <c r="B775" s="138">
        <f>'Expenditures 15-22'!D13</f>
        <v>105156</v>
      </c>
      <c r="D775" s="2" t="str">
        <f t="shared" si="11"/>
        <v>Error?</v>
      </c>
    </row>
    <row r="776" spans="1:4" x14ac:dyDescent="0.2">
      <c r="A776" s="5">
        <v>715</v>
      </c>
      <c r="B776" s="138">
        <f>'Expenditures 15-22'!D14</f>
        <v>50197</v>
      </c>
      <c r="D776" s="2" t="str">
        <f t="shared" si="11"/>
        <v>Error?</v>
      </c>
    </row>
    <row r="777" spans="1:4" x14ac:dyDescent="0.2">
      <c r="A777" s="5">
        <v>716</v>
      </c>
      <c r="B777" s="138">
        <f>'Expenditures 15-22'!D15</f>
        <v>196</v>
      </c>
      <c r="D777" s="2" t="str">
        <f t="shared" si="11"/>
        <v>Error?</v>
      </c>
    </row>
    <row r="778" spans="1:4" x14ac:dyDescent="0.2">
      <c r="A778" s="5">
        <v>717</v>
      </c>
      <c r="B778" s="138">
        <f>'Expenditures 15-22'!D33</f>
        <v>1468393</v>
      </c>
      <c r="C778" s="2" t="s">
        <v>594</v>
      </c>
      <c r="D778" s="2" t="str">
        <f t="shared" si="11"/>
        <v>Error?</v>
      </c>
    </row>
    <row r="779" spans="1:4" x14ac:dyDescent="0.2">
      <c r="A779" s="5">
        <v>718</v>
      </c>
      <c r="B779" s="138">
        <f>'Expenditures 15-22'!D36</f>
        <v>24597</v>
      </c>
      <c r="D779" s="2" t="str">
        <f t="shared" si="11"/>
        <v>Error?</v>
      </c>
    </row>
    <row r="780" spans="1:4" x14ac:dyDescent="0.2">
      <c r="A780" s="5">
        <v>719</v>
      </c>
      <c r="B780" s="138">
        <f>'Expenditures 15-22'!D37</f>
        <v>88934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9122</v>
      </c>
      <c r="D784" s="2" t="str">
        <f t="shared" si="11"/>
        <v>Error?</v>
      </c>
    </row>
    <row r="785" spans="1:4" x14ac:dyDescent="0.2">
      <c r="A785" s="5">
        <v>724</v>
      </c>
      <c r="B785" s="138">
        <f>'Expenditures 15-22'!D42</f>
        <v>122653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6042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6042</v>
      </c>
      <c r="C789" s="2" t="s">
        <v>594</v>
      </c>
      <c r="D789" s="2" t="str">
        <f t="shared" si="11"/>
        <v>Error?</v>
      </c>
    </row>
    <row r="790" spans="1:4" x14ac:dyDescent="0.2">
      <c r="A790" s="5">
        <v>729</v>
      </c>
      <c r="B790" s="138">
        <f>'Expenditures 15-22'!D49</f>
        <v>26500</v>
      </c>
      <c r="D790" s="2" t="str">
        <f t="shared" si="11"/>
        <v>Error?</v>
      </c>
    </row>
    <row r="791" spans="1:4" x14ac:dyDescent="0.2">
      <c r="A791" s="5">
        <v>730</v>
      </c>
      <c r="B791" s="138">
        <f>'Expenditures 15-22'!D50</f>
        <v>58799</v>
      </c>
      <c r="D791" s="2" t="str">
        <f t="shared" si="11"/>
        <v>Error?</v>
      </c>
    </row>
    <row r="792" spans="1:4" x14ac:dyDescent="0.2">
      <c r="A792" s="5">
        <v>731</v>
      </c>
      <c r="B792" s="138">
        <f>'Expenditures 15-22'!D53</f>
        <v>85299</v>
      </c>
      <c r="C792" s="2" t="s">
        <v>594</v>
      </c>
      <c r="D792" s="2" t="str">
        <f t="shared" si="11"/>
        <v>Error?</v>
      </c>
    </row>
    <row r="793" spans="1:4" x14ac:dyDescent="0.2">
      <c r="A793" s="5">
        <v>732</v>
      </c>
      <c r="B793" s="138">
        <f>'Expenditures 15-22'!D55</f>
        <v>106024</v>
      </c>
      <c r="D793" s="2" t="str">
        <f t="shared" si="11"/>
        <v>Error?</v>
      </c>
    </row>
    <row r="794" spans="1:4" x14ac:dyDescent="0.2">
      <c r="A794" s="5">
        <v>733</v>
      </c>
      <c r="B794" s="138">
        <f>'Expenditures 15-22'!D56</f>
        <v>14960</v>
      </c>
      <c r="D794" s="2" t="str">
        <f t="shared" si="11"/>
        <v>Error?</v>
      </c>
    </row>
    <row r="795" spans="1:4" x14ac:dyDescent="0.2">
      <c r="A795" s="5">
        <v>734</v>
      </c>
      <c r="B795" s="138">
        <f>'Expenditures 15-22'!D57</f>
        <v>120984</v>
      </c>
      <c r="C795" s="2" t="s">
        <v>594</v>
      </c>
      <c r="D795" s="2" t="str">
        <f t="shared" si="11"/>
        <v>Error?</v>
      </c>
    </row>
    <row r="796" spans="1:4" x14ac:dyDescent="0.2">
      <c r="A796" s="5">
        <v>735</v>
      </c>
      <c r="B796" s="138">
        <f>'Expenditures 15-22'!D59</f>
        <v>46228</v>
      </c>
      <c r="D796" s="2" t="str">
        <f t="shared" si="11"/>
        <v>Error?</v>
      </c>
    </row>
    <row r="797" spans="1:4" x14ac:dyDescent="0.2">
      <c r="A797" s="5">
        <v>736</v>
      </c>
      <c r="B797" s="138">
        <f>'Expenditures 15-22'!D60</f>
        <v>14629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118934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179791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19028</v>
      </c>
      <c r="D812" s="2" t="str">
        <f t="shared" si="11"/>
        <v>Error?</v>
      </c>
    </row>
    <row r="813" spans="1:4" x14ac:dyDescent="0.2">
      <c r="A813" s="5">
        <v>752</v>
      </c>
      <c r="B813" s="138">
        <f>'Expenditures 15-22'!D74</f>
        <v>533797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2002190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94573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42092</v>
      </c>
      <c r="D832" s="2" t="str">
        <f t="shared" si="12"/>
        <v>Error?</v>
      </c>
    </row>
    <row r="833" spans="1:4" x14ac:dyDescent="0.2">
      <c r="A833" s="5">
        <v>772</v>
      </c>
      <c r="B833" s="138">
        <f>'Expenditures 15-22'!E13</f>
        <v>2879</v>
      </c>
      <c r="D833" s="2" t="str">
        <f t="shared" si="12"/>
        <v>Error?</v>
      </c>
    </row>
    <row r="834" spans="1:4" x14ac:dyDescent="0.2">
      <c r="A834" s="5">
        <v>773</v>
      </c>
      <c r="B834" s="138">
        <f>'Expenditures 15-22'!E14</f>
        <v>65132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362945</v>
      </c>
      <c r="C836" s="2" t="s">
        <v>594</v>
      </c>
      <c r="D836" s="2" t="str">
        <f t="shared" si="12"/>
        <v>Error?</v>
      </c>
    </row>
    <row r="837" spans="1:4" x14ac:dyDescent="0.2">
      <c r="A837" s="5">
        <v>776</v>
      </c>
      <c r="B837" s="138">
        <f>'Expenditures 15-22'!E36</f>
        <v>1971</v>
      </c>
      <c r="D837" s="2" t="str">
        <f t="shared" si="12"/>
        <v>Error?</v>
      </c>
    </row>
    <row r="838" spans="1:4" x14ac:dyDescent="0.2">
      <c r="A838" s="5">
        <v>777</v>
      </c>
      <c r="B838" s="138">
        <f>'Expenditures 15-22'!E37</f>
        <v>4448</v>
      </c>
      <c r="D838" s="2" t="str">
        <f t="shared" si="12"/>
        <v>Error?</v>
      </c>
    </row>
    <row r="839" spans="1:4" x14ac:dyDescent="0.2">
      <c r="A839" s="5">
        <v>778</v>
      </c>
      <c r="B839" s="138">
        <f>'Expenditures 15-22'!E38</f>
        <v>50078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56497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4680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4680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50831</v>
      </c>
      <c r="D851" s="2" t="str">
        <f t="shared" si="12"/>
        <v>Error?</v>
      </c>
    </row>
    <row r="852" spans="1:4" x14ac:dyDescent="0.2">
      <c r="A852" s="5">
        <v>791</v>
      </c>
      <c r="B852" s="138">
        <f>'Expenditures 15-22'!E56</f>
        <v>121</v>
      </c>
      <c r="D852" s="2" t="str">
        <f t="shared" si="12"/>
        <v>Error?</v>
      </c>
    </row>
    <row r="853" spans="1:4" x14ac:dyDescent="0.2">
      <c r="A853" s="5">
        <v>792</v>
      </c>
      <c r="B853" s="138">
        <f>'Expenditures 15-22'!E57</f>
        <v>50952</v>
      </c>
      <c r="C853" s="2" t="s">
        <v>594</v>
      </c>
      <c r="D853" s="2" t="str">
        <f t="shared" si="12"/>
        <v>Error?</v>
      </c>
    </row>
    <row r="854" spans="1:4" x14ac:dyDescent="0.2">
      <c r="A854" s="5">
        <v>793</v>
      </c>
      <c r="B854" s="138">
        <f>'Expenditures 15-22'!E59</f>
        <v>3478</v>
      </c>
      <c r="D854" s="2" t="str">
        <f t="shared" si="12"/>
        <v>Error?</v>
      </c>
    </row>
    <row r="855" spans="1:4" x14ac:dyDescent="0.2">
      <c r="A855" s="5">
        <v>794</v>
      </c>
      <c r="B855" s="138">
        <f>'Expenditures 15-22'!E60</f>
        <v>20970</v>
      </c>
      <c r="D855" s="2" t="str">
        <f t="shared" si="12"/>
        <v>Error?</v>
      </c>
    </row>
    <row r="856" spans="1:4" x14ac:dyDescent="0.2">
      <c r="A856" s="5">
        <v>795</v>
      </c>
      <c r="B856" s="138">
        <f>'Expenditures 15-22'!E61</f>
        <v>201191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225639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337768</v>
      </c>
      <c r="C871" s="2" t="s">
        <v>594</v>
      </c>
      <c r="D871" s="2" t="str">
        <f t="shared" si="12"/>
        <v>Error?</v>
      </c>
    </row>
    <row r="872" spans="1:4" x14ac:dyDescent="0.2">
      <c r="A872" s="5">
        <v>811</v>
      </c>
      <c r="B872" s="138">
        <f>'Expenditures 15-22'!E75</f>
        <v>7105</v>
      </c>
      <c r="D872" s="2" t="str">
        <f t="shared" si="12"/>
        <v>Error?</v>
      </c>
    </row>
    <row r="873" spans="1:4" x14ac:dyDescent="0.2">
      <c r="A873" s="5">
        <v>812</v>
      </c>
      <c r="B873" s="138">
        <f>'Expenditures 15-22'!E114</f>
        <v>1112498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44995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71230</v>
      </c>
      <c r="D890" s="2" t="str">
        <f t="shared" si="12"/>
        <v>Error?</v>
      </c>
    </row>
    <row r="891" spans="1:4" x14ac:dyDescent="0.2">
      <c r="A891" s="5">
        <v>830</v>
      </c>
      <c r="B891" s="138">
        <f>'Expenditures 15-22'!F13</f>
        <v>16825</v>
      </c>
      <c r="D891" s="2" t="str">
        <f t="shared" si="12"/>
        <v>Error?</v>
      </c>
    </row>
    <row r="892" spans="1:4" x14ac:dyDescent="0.2">
      <c r="A892" s="5">
        <v>831</v>
      </c>
      <c r="B892" s="138">
        <f>'Expenditures 15-22'!F14</f>
        <v>44730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333479</v>
      </c>
      <c r="C894" s="2" t="s">
        <v>594</v>
      </c>
      <c r="D894" s="2" t="str">
        <f t="shared" si="12"/>
        <v>Error?</v>
      </c>
    </row>
    <row r="895" spans="1:4" x14ac:dyDescent="0.2">
      <c r="A895" s="5">
        <v>834</v>
      </c>
      <c r="B895" s="138">
        <f>'Expenditures 15-22'!F36</f>
        <v>577</v>
      </c>
      <c r="D895" s="2" t="str">
        <f t="shared" ref="D895:D958" si="13">IF(ISBLANK(B895),"OK",IF(A895-B895=0,"OK","Error?"))</f>
        <v>Error?</v>
      </c>
    </row>
    <row r="896" spans="1:4" x14ac:dyDescent="0.2">
      <c r="A896" s="5">
        <v>835</v>
      </c>
      <c r="B896" s="138">
        <f>'Expenditures 15-22'!F37</f>
        <v>6669</v>
      </c>
      <c r="D896" s="2" t="str">
        <f t="shared" si="13"/>
        <v>Error?</v>
      </c>
    </row>
    <row r="897" spans="1:4" x14ac:dyDescent="0.2">
      <c r="A897" s="5">
        <v>836</v>
      </c>
      <c r="B897" s="138">
        <f>'Expenditures 15-22'!F38</f>
        <v>2517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9763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21540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21540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43185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43185</v>
      </c>
      <c r="C911" s="2" t="s">
        <v>594</v>
      </c>
      <c r="D911" s="2" t="str">
        <f t="shared" si="13"/>
        <v>Error?</v>
      </c>
    </row>
    <row r="912" spans="1:4" x14ac:dyDescent="0.2">
      <c r="A912" s="5">
        <v>851</v>
      </c>
      <c r="B912" s="138">
        <f>'Expenditures 15-22'!F59</f>
        <v>3055</v>
      </c>
      <c r="D912" s="2" t="str">
        <f t="shared" si="13"/>
        <v>Error?</v>
      </c>
    </row>
    <row r="913" spans="1:4" x14ac:dyDescent="0.2">
      <c r="A913" s="5">
        <v>852</v>
      </c>
      <c r="B913" s="138">
        <f>'Expenditures 15-22'!F60</f>
        <v>1317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192263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196635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271123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604602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10667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17681</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1115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65707</v>
      </c>
      <c r="C952" s="2" t="s">
        <v>594</v>
      </c>
      <c r="D952" s="2" t="str">
        <f t="shared" si="13"/>
        <v>Error?</v>
      </c>
    </row>
    <row r="953" spans="1:4" x14ac:dyDescent="0.2">
      <c r="A953" s="5">
        <v>892</v>
      </c>
      <c r="B953" s="138">
        <f>'Expenditures 15-22'!G36</f>
        <v>1115</v>
      </c>
      <c r="D953" s="2" t="str">
        <f t="shared" si="13"/>
        <v>Error?</v>
      </c>
    </row>
    <row r="954" spans="1:4" x14ac:dyDescent="0.2">
      <c r="A954" s="5">
        <v>893</v>
      </c>
      <c r="B954" s="138">
        <f>'Expenditures 15-22'!G37</f>
        <v>2229</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3344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4720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4720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1672</v>
      </c>
      <c r="D965" s="2" t="str">
        <f t="shared" si="14"/>
        <v>Error?</v>
      </c>
    </row>
    <row r="966" spans="1:4" x14ac:dyDescent="0.2">
      <c r="A966" s="5">
        <v>905</v>
      </c>
      <c r="B966" s="138">
        <f>'Expenditures 15-22'!G53</f>
        <v>1672</v>
      </c>
      <c r="C966" s="2" t="s">
        <v>594</v>
      </c>
      <c r="D966" s="2" t="str">
        <f t="shared" si="14"/>
        <v>Error?</v>
      </c>
    </row>
    <row r="967" spans="1:4" x14ac:dyDescent="0.2">
      <c r="A967" s="5">
        <v>906</v>
      </c>
      <c r="B967" s="138">
        <f>'Expenditures 15-22'!G55</f>
        <v>1115</v>
      </c>
      <c r="D967" s="2" t="str">
        <f t="shared" si="14"/>
        <v>Error?</v>
      </c>
    </row>
    <row r="968" spans="1:4" x14ac:dyDescent="0.2">
      <c r="A968" s="5">
        <v>907</v>
      </c>
      <c r="B968" s="138">
        <f>'Expenditures 15-22'!G56</f>
        <v>1115</v>
      </c>
      <c r="D968" s="2" t="str">
        <f t="shared" si="14"/>
        <v>Error?</v>
      </c>
    </row>
    <row r="969" spans="1:4" x14ac:dyDescent="0.2">
      <c r="A969" s="5">
        <v>908</v>
      </c>
      <c r="B969" s="138">
        <f>'Expenditures 15-22'!G57</f>
        <v>2230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1672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1672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13638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79345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2809</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11652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26827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26827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26827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33930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72409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4697062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488971</v>
      </c>
      <c r="C1104" s="2" t="s">
        <v>594</v>
      </c>
      <c r="D1104" s="2" t="str">
        <f t="shared" si="16"/>
        <v>Error?</v>
      </c>
    </row>
    <row r="1105" spans="1:4" x14ac:dyDescent="0.2">
      <c r="A1105" s="5">
        <v>1044</v>
      </c>
      <c r="B1105" s="138">
        <f>'Expenditures 15-22'!K13</f>
        <v>552914</v>
      </c>
      <c r="C1105" s="2" t="s">
        <v>594</v>
      </c>
      <c r="D1105" s="2" t="str">
        <f t="shared" si="16"/>
        <v>Error?</v>
      </c>
    </row>
    <row r="1106" spans="1:4" x14ac:dyDescent="0.2">
      <c r="A1106" s="5">
        <v>1045</v>
      </c>
      <c r="B1106" s="138">
        <f>'Expenditures 15-22'!K14</f>
        <v>633729</v>
      </c>
      <c r="C1106" s="2" t="s">
        <v>594</v>
      </c>
      <c r="D1106" s="2" t="str">
        <f t="shared" si="16"/>
        <v>Error?</v>
      </c>
    </row>
    <row r="1107" spans="1:4" x14ac:dyDescent="0.2">
      <c r="A1107" s="5">
        <v>1046</v>
      </c>
      <c r="B1107" s="138">
        <f>'Expenditures 15-22'!K15</f>
        <v>14323</v>
      </c>
      <c r="C1107" s="2" t="s">
        <v>594</v>
      </c>
      <c r="D1107" s="2" t="str">
        <f t="shared" si="16"/>
        <v>Error?</v>
      </c>
    </row>
    <row r="1108" spans="1:4" x14ac:dyDescent="0.2">
      <c r="A1108" s="5">
        <v>1047</v>
      </c>
      <c r="B1108" s="138">
        <f>'Expenditures 15-22'!K33</f>
        <v>8259819</v>
      </c>
      <c r="C1108" s="2" t="s">
        <v>594</v>
      </c>
      <c r="D1108" s="2" t="str">
        <f t="shared" si="16"/>
        <v>Error?</v>
      </c>
    </row>
    <row r="1109" spans="1:4" x14ac:dyDescent="0.2">
      <c r="A1109" s="5">
        <v>1048</v>
      </c>
      <c r="B1109" s="138">
        <f>'Expenditures 15-22'!K36</f>
        <v>143847</v>
      </c>
      <c r="C1109" s="2" t="s">
        <v>594</v>
      </c>
      <c r="D1109" s="2" t="str">
        <f t="shared" si="16"/>
        <v>Error?</v>
      </c>
    </row>
    <row r="1110" spans="1:4" x14ac:dyDescent="0.2">
      <c r="A1110" s="5">
        <v>1049</v>
      </c>
      <c r="B1110" s="138">
        <f>'Expenditures 15-22'!K37</f>
        <v>503673</v>
      </c>
      <c r="C1110" s="2" t="s">
        <v>594</v>
      </c>
      <c r="D1110" s="2" t="str">
        <f t="shared" si="16"/>
        <v>Error?</v>
      </c>
    </row>
    <row r="1111" spans="1:4" x14ac:dyDescent="0.2">
      <c r="A1111" s="5">
        <v>1050</v>
      </c>
      <c r="B1111" s="138">
        <f>'Expenditures 15-22'!K38</f>
        <v>52595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45777</v>
      </c>
      <c r="C1114" s="2" t="s">
        <v>594</v>
      </c>
      <c r="D1114" s="2" t="str">
        <f t="shared" si="16"/>
        <v>Error?</v>
      </c>
    </row>
    <row r="1115" spans="1:4" x14ac:dyDescent="0.2">
      <c r="A1115" s="5">
        <v>1054</v>
      </c>
      <c r="B1115" s="138">
        <f>'Expenditures 15-22'!K42</f>
        <v>745892</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49942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49942</v>
      </c>
      <c r="C1119" s="2" t="s">
        <v>594</v>
      </c>
      <c r="D1119" s="2" t="str">
        <f t="shared" si="16"/>
        <v>Error?</v>
      </c>
    </row>
    <row r="1120" spans="1:4" x14ac:dyDescent="0.2">
      <c r="A1120" s="5">
        <v>1059</v>
      </c>
      <c r="B1120" s="138">
        <f>'Expenditures 15-22'!K49</f>
        <v>107831</v>
      </c>
      <c r="C1120" s="2" t="s">
        <v>594</v>
      </c>
      <c r="D1120" s="2" t="str">
        <f t="shared" si="16"/>
        <v>Error?</v>
      </c>
    </row>
    <row r="1121" spans="1:4" x14ac:dyDescent="0.2">
      <c r="A1121" s="5">
        <v>1060</v>
      </c>
      <c r="B1121" s="138">
        <f>'Expenditures 15-22'!K50</f>
        <v>294291</v>
      </c>
      <c r="C1121" s="2" t="s">
        <v>594</v>
      </c>
      <c r="D1121" s="2" t="str">
        <f t="shared" si="16"/>
        <v>Error?</v>
      </c>
    </row>
    <row r="1122" spans="1:4" x14ac:dyDescent="0.2">
      <c r="A1122" s="5">
        <v>1061</v>
      </c>
      <c r="B1122" s="138">
        <f>'Expenditures 15-22'!K53</f>
        <v>402122</v>
      </c>
      <c r="C1122" s="2" t="s">
        <v>594</v>
      </c>
      <c r="D1122" s="2" t="str">
        <f t="shared" si="16"/>
        <v>Error?</v>
      </c>
    </row>
    <row r="1123" spans="1:4" x14ac:dyDescent="0.2">
      <c r="A1123" s="5">
        <v>1062</v>
      </c>
      <c r="B1123" s="138">
        <f>'Expenditures 15-22'!K55</f>
        <v>600710</v>
      </c>
      <c r="C1123" s="2" t="s">
        <v>594</v>
      </c>
      <c r="D1123" s="2" t="str">
        <f t="shared" si="16"/>
        <v>Error?</v>
      </c>
    </row>
    <row r="1124" spans="1:4" x14ac:dyDescent="0.2">
      <c r="A1124" s="5">
        <v>1063</v>
      </c>
      <c r="B1124" s="138">
        <f>'Expenditures 15-22'!K56</f>
        <v>81829</v>
      </c>
      <c r="C1124" s="2" t="s">
        <v>594</v>
      </c>
      <c r="D1124" s="2" t="str">
        <f t="shared" si="16"/>
        <v>Error?</v>
      </c>
    </row>
    <row r="1125" spans="1:4" x14ac:dyDescent="0.2">
      <c r="A1125" s="5">
        <v>1064</v>
      </c>
      <c r="B1125" s="138">
        <f>'Expenditures 15-22'!K57</f>
        <v>682539</v>
      </c>
      <c r="C1125" s="2" t="s">
        <v>594</v>
      </c>
      <c r="D1125" s="2" t="str">
        <f t="shared" si="16"/>
        <v>Error?</v>
      </c>
    </row>
    <row r="1126" spans="1:4" x14ac:dyDescent="0.2">
      <c r="A1126" s="5">
        <v>1065</v>
      </c>
      <c r="B1126" s="138">
        <f>'Expenditures 15-22'!K59</f>
        <v>196423</v>
      </c>
      <c r="C1126" s="2" t="s">
        <v>594</v>
      </c>
      <c r="D1126" s="2" t="str">
        <f t="shared" si="16"/>
        <v>Error?</v>
      </c>
    </row>
    <row r="1127" spans="1:4" x14ac:dyDescent="0.2">
      <c r="A1127" s="5">
        <v>1066</v>
      </c>
      <c r="B1127" s="138">
        <f>'Expenditures 15-22'!K60</f>
        <v>108038</v>
      </c>
      <c r="C1127" s="2" t="s">
        <v>594</v>
      </c>
      <c r="D1127" s="2" t="str">
        <f t="shared" si="16"/>
        <v>Error?</v>
      </c>
    </row>
    <row r="1128" spans="1:4" x14ac:dyDescent="0.2">
      <c r="A1128" s="5">
        <v>1067</v>
      </c>
      <c r="B1128" s="138">
        <f>'Expenditures 15-22'!K61</f>
        <v>201191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475135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980787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96717</v>
      </c>
      <c r="C1142" s="2" t="s">
        <v>594</v>
      </c>
      <c r="D1142" s="2" t="str">
        <f t="shared" si="16"/>
        <v>Error?</v>
      </c>
    </row>
    <row r="1143" spans="1:4" x14ac:dyDescent="0.2">
      <c r="A1143" s="5">
        <v>1082</v>
      </c>
      <c r="B1143" s="138">
        <f>'Expenditures 15-22'!K74</f>
        <v>2957999</v>
      </c>
      <c r="C1143" s="2" t="s">
        <v>594</v>
      </c>
      <c r="D1143" s="2" t="str">
        <f t="shared" si="16"/>
        <v>Error?</v>
      </c>
    </row>
    <row r="1144" spans="1:4" x14ac:dyDescent="0.2">
      <c r="A1144" s="5">
        <v>1083</v>
      </c>
      <c r="B1144" s="138">
        <f>'Expenditures 15-22'!K75</f>
        <v>7105</v>
      </c>
      <c r="C1144" s="2" t="s">
        <v>594</v>
      </c>
      <c r="D1144" s="2" t="str">
        <f t="shared" si="16"/>
        <v>Error?</v>
      </c>
    </row>
    <row r="1145" spans="1:4" x14ac:dyDescent="0.2">
      <c r="A1145" s="5">
        <v>1084</v>
      </c>
      <c r="B1145" s="138">
        <f>'Expenditures 15-22'!K102</f>
        <v>438610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11663533</v>
      </c>
      <c r="C1152" s="2" t="s">
        <v>594</v>
      </c>
      <c r="D1152" s="2" t="str">
        <f t="shared" si="17"/>
        <v>Error?</v>
      </c>
    </row>
    <row r="1153" spans="1:4" x14ac:dyDescent="0.2">
      <c r="A1153" s="5">
        <v>1092</v>
      </c>
      <c r="B1153" s="138">
        <f>'Expenditures 15-22'!K115</f>
        <v>334866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188798</v>
      </c>
      <c r="D1221" s="2" t="str">
        <f t="shared" si="18"/>
        <v>Error?</v>
      </c>
    </row>
    <row r="1222" spans="1:4" x14ac:dyDescent="0.2">
      <c r="A1222" s="10">
        <v>1161</v>
      </c>
      <c r="D1222" s="2" t="str">
        <f t="shared" si="18"/>
        <v>OK</v>
      </c>
    </row>
    <row r="1223" spans="1:4" x14ac:dyDescent="0.2">
      <c r="A1223" s="5">
        <v>1162</v>
      </c>
      <c r="B1223" s="138">
        <f>'Expenditures 15-22'!C127</f>
        <v>188798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188798</v>
      </c>
      <c r="C1225" s="2" t="s">
        <v>594</v>
      </c>
      <c r="D1225" s="2" t="str">
        <f t="shared" si="18"/>
        <v>Error?</v>
      </c>
    </row>
    <row r="1226" spans="1:4" x14ac:dyDescent="0.2">
      <c r="A1226" s="5">
        <v>1165</v>
      </c>
      <c r="B1226" s="138">
        <f>'Expenditures 15-22'!C151</f>
        <v>188798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31507</v>
      </c>
      <c r="D1229" s="2" t="str">
        <f t="shared" si="18"/>
        <v>Error?</v>
      </c>
    </row>
    <row r="1230" spans="1:4" x14ac:dyDescent="0.2">
      <c r="A1230" s="10">
        <v>1169</v>
      </c>
      <c r="D1230" s="2" t="str">
        <f t="shared" si="18"/>
        <v>OK</v>
      </c>
    </row>
    <row r="1231" spans="1:4" x14ac:dyDescent="0.2">
      <c r="A1231" s="5">
        <v>1170</v>
      </c>
      <c r="B1231" s="138">
        <f>'Expenditures 15-22'!D127</f>
        <v>31507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31507</v>
      </c>
      <c r="C1233" s="2" t="s">
        <v>594</v>
      </c>
      <c r="D1233" s="2" t="str">
        <f t="shared" si="18"/>
        <v>Error?</v>
      </c>
    </row>
    <row r="1234" spans="1:4" x14ac:dyDescent="0.2">
      <c r="A1234" s="5">
        <v>1173</v>
      </c>
      <c r="B1234" s="138">
        <f>'Expenditures 15-22'!D151</f>
        <v>31507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543057</v>
      </c>
      <c r="D1237" s="2" t="str">
        <f t="shared" si="18"/>
        <v>Error?</v>
      </c>
    </row>
    <row r="1238" spans="1:4" x14ac:dyDescent="0.2">
      <c r="A1238" s="10">
        <v>1177</v>
      </c>
      <c r="D1238" s="2" t="str">
        <f t="shared" si="18"/>
        <v>OK</v>
      </c>
    </row>
    <row r="1239" spans="1:4" x14ac:dyDescent="0.2">
      <c r="A1239" s="5">
        <v>1178</v>
      </c>
      <c r="B1239" s="138">
        <f>'Expenditures 15-22'!E127</f>
        <v>543057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543057</v>
      </c>
      <c r="C1241" s="2" t="s">
        <v>594</v>
      </c>
      <c r="D1241" s="2" t="str">
        <f t="shared" si="18"/>
        <v>Error?</v>
      </c>
    </row>
    <row r="1242" spans="1:4" x14ac:dyDescent="0.2">
      <c r="A1242" s="5">
        <v>1181</v>
      </c>
      <c r="B1242" s="138">
        <f>'Expenditures 15-22'!E151</f>
        <v>543057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495214</v>
      </c>
      <c r="D1245" s="2" t="str">
        <f t="shared" si="18"/>
        <v>Error?</v>
      </c>
    </row>
    <row r="1246" spans="1:4" x14ac:dyDescent="0.2">
      <c r="A1246" s="10">
        <v>1185</v>
      </c>
      <c r="D1246" s="2" t="str">
        <f t="shared" si="18"/>
        <v>OK</v>
      </c>
    </row>
    <row r="1247" spans="1:4" x14ac:dyDescent="0.2">
      <c r="A1247" s="5">
        <v>1186</v>
      </c>
      <c r="B1247" s="138">
        <f>'Expenditures 15-22'!F127</f>
        <v>495214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495214</v>
      </c>
      <c r="C1249" s="2" t="s">
        <v>594</v>
      </c>
      <c r="D1249" s="2" t="str">
        <f t="shared" si="18"/>
        <v>Error?</v>
      </c>
    </row>
    <row r="1250" spans="1:4" x14ac:dyDescent="0.2">
      <c r="A1250" s="5">
        <v>1189</v>
      </c>
      <c r="B1250" s="138">
        <f>'Expenditures 15-22'!F151</f>
        <v>495214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213</v>
      </c>
      <c r="D1270" s="2" t="str">
        <f t="shared" si="18"/>
        <v>Error?</v>
      </c>
    </row>
    <row r="1271" spans="1:4" x14ac:dyDescent="0.2">
      <c r="A1271" s="10">
        <v>1210</v>
      </c>
      <c r="D1271" s="2" t="str">
        <f t="shared" si="18"/>
        <v>OK</v>
      </c>
    </row>
    <row r="1272" spans="1:4" x14ac:dyDescent="0.2">
      <c r="A1272" s="5">
        <v>1211</v>
      </c>
      <c r="B1272" s="138">
        <f>'Expenditures 15-22'!H149</f>
        <v>213</v>
      </c>
      <c r="C1272" s="2" t="s">
        <v>594</v>
      </c>
      <c r="D1272" s="2" t="str">
        <f t="shared" si="18"/>
        <v>Error?</v>
      </c>
    </row>
    <row r="1273" spans="1:4" x14ac:dyDescent="0.2">
      <c r="A1273" s="5">
        <v>1212</v>
      </c>
      <c r="B1273" s="138">
        <f>'Expenditures 15-22'!H151</f>
        <v>213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1258576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1258576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1258576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213</v>
      </c>
      <c r="C1285" s="2" t="s">
        <v>594</v>
      </c>
      <c r="D1285" s="2" t="str">
        <f t="shared" si="19"/>
        <v>Error?</v>
      </c>
    </row>
    <row r="1286" spans="1:4" x14ac:dyDescent="0.2">
      <c r="A1286" s="10">
        <v>1225</v>
      </c>
      <c r="D1286" s="2" t="str">
        <f t="shared" si="19"/>
        <v>OK</v>
      </c>
    </row>
    <row r="1287" spans="1:4" x14ac:dyDescent="0.2">
      <c r="A1287" s="12">
        <v>1226</v>
      </c>
      <c r="B1287" s="138">
        <f>'Expenditures 15-22'!K149</f>
        <v>213</v>
      </c>
      <c r="C1287" s="2" t="s">
        <v>594</v>
      </c>
      <c r="D1287" s="2" t="str">
        <f t="shared" si="19"/>
        <v>Error?</v>
      </c>
    </row>
    <row r="1288" spans="1:4" x14ac:dyDescent="0.2">
      <c r="A1288" s="5">
        <v>1227</v>
      </c>
      <c r="B1288" s="138">
        <f>'Expenditures 15-22'!K151</f>
        <v>1258789</v>
      </c>
      <c r="C1288" s="2" t="s">
        <v>594</v>
      </c>
      <c r="D1288" s="2" t="str">
        <f t="shared" si="19"/>
        <v>Error?</v>
      </c>
    </row>
    <row r="1289" spans="1:4" x14ac:dyDescent="0.2">
      <c r="A1289" s="5">
        <v>1228</v>
      </c>
      <c r="B1289" s="138">
        <f>'Expenditures 15-22'!K152</f>
        <v>220832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180548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1747187</v>
      </c>
      <c r="D1315" s="2" t="str">
        <f t="shared" si="19"/>
        <v>Error?</v>
      </c>
    </row>
    <row r="1316" spans="1:4" x14ac:dyDescent="0.2">
      <c r="A1316" s="5">
        <v>1255</v>
      </c>
      <c r="B1316" s="138">
        <f>'Expenditures 15-22'!H171</f>
        <v>187680</v>
      </c>
      <c r="D1316" s="2" t="str">
        <f t="shared" si="19"/>
        <v>Error?</v>
      </c>
    </row>
    <row r="1317" spans="1:4" x14ac:dyDescent="0.2">
      <c r="A1317" s="5">
        <v>1256</v>
      </c>
      <c r="B1317" s="138">
        <f>'Expenditures 15-22'!H172</f>
        <v>2115415</v>
      </c>
      <c r="C1317" s="2" t="s">
        <v>594</v>
      </c>
      <c r="D1317" s="2" t="str">
        <f t="shared" si="19"/>
        <v>Error?</v>
      </c>
    </row>
    <row r="1318" spans="1:4" x14ac:dyDescent="0.2">
      <c r="A1318" s="5">
        <v>1257</v>
      </c>
      <c r="B1318" s="138">
        <f>'Expenditures 15-22'!H174</f>
        <v>2115415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180548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1747187</v>
      </c>
      <c r="C1329" s="2" t="s">
        <v>594</v>
      </c>
      <c r="D1329" s="2" t="str">
        <f t="shared" si="19"/>
        <v>Error?</v>
      </c>
    </row>
    <row r="1330" spans="1:4" x14ac:dyDescent="0.2">
      <c r="A1330" s="5">
        <v>1269</v>
      </c>
      <c r="B1330" s="138">
        <f>'Expenditures 15-22'!K171</f>
        <v>187680</v>
      </c>
      <c r="C1330" s="2" t="s">
        <v>594</v>
      </c>
      <c r="D1330" s="2" t="str">
        <f t="shared" si="19"/>
        <v>Error?</v>
      </c>
    </row>
    <row r="1331" spans="1:4" x14ac:dyDescent="0.2">
      <c r="A1331" s="5">
        <v>1270</v>
      </c>
      <c r="B1331" s="138">
        <f>'Expenditures 15-22'!K172</f>
        <v>2115415</v>
      </c>
      <c r="C1331" s="2" t="s">
        <v>594</v>
      </c>
      <c r="D1331" s="2" t="str">
        <f t="shared" si="19"/>
        <v>Error?</v>
      </c>
    </row>
    <row r="1332" spans="1:4" x14ac:dyDescent="0.2">
      <c r="A1332" s="5">
        <v>1271</v>
      </c>
      <c r="B1332" s="138">
        <f>'Expenditures 15-22'!K174</f>
        <v>2115415</v>
      </c>
      <c r="C1332" s="2" t="s">
        <v>594</v>
      </c>
      <c r="D1332" s="2" t="str">
        <f t="shared" si="19"/>
        <v>Error?</v>
      </c>
    </row>
    <row r="1333" spans="1:4" x14ac:dyDescent="0.2">
      <c r="A1333" s="5">
        <v>1272</v>
      </c>
      <c r="B1333" s="138">
        <f>'Expenditures 15-22'!K175</f>
        <v>-514379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705113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705113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705113</v>
      </c>
      <c r="C1353" s="2" t="s">
        <v>594</v>
      </c>
      <c r="D1353" s="2" t="str">
        <f t="shared" si="20"/>
        <v>Error?</v>
      </c>
    </row>
    <row r="1354" spans="1:4" x14ac:dyDescent="0.2">
      <c r="A1354" s="5">
        <v>1293</v>
      </c>
      <c r="B1354" s="138">
        <f>'Expenditures 15-22'!F182</f>
        <v>11718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11718</v>
      </c>
      <c r="C1358" s="2" t="s">
        <v>594</v>
      </c>
      <c r="D1358" s="2" t="str">
        <f t="shared" si="20"/>
        <v>Error?</v>
      </c>
    </row>
    <row r="1359" spans="1:4" x14ac:dyDescent="0.2">
      <c r="A1359" s="5">
        <v>1298</v>
      </c>
      <c r="B1359" s="138">
        <f>'Expenditures 15-22'!F210</f>
        <v>11718</v>
      </c>
      <c r="C1359" s="2" t="s">
        <v>594</v>
      </c>
      <c r="D1359" s="2" t="str">
        <f t="shared" si="20"/>
        <v>Error?</v>
      </c>
    </row>
    <row r="1360" spans="1:4" x14ac:dyDescent="0.2">
      <c r="A1360" s="5">
        <v>1299</v>
      </c>
      <c r="B1360" s="138">
        <f>'Expenditures 15-22'!G182</f>
        <v>20211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20211</v>
      </c>
      <c r="C1364" s="2" t="s">
        <v>594</v>
      </c>
      <c r="D1364" s="2" t="str">
        <f t="shared" si="20"/>
        <v>Error?</v>
      </c>
    </row>
    <row r="1365" spans="1:4" x14ac:dyDescent="0.2">
      <c r="A1365" s="5">
        <v>1304</v>
      </c>
      <c r="B1365" s="138">
        <f>'Expenditures 15-22'!G210</f>
        <v>20211</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737042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737042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737042</v>
      </c>
      <c r="C1388" s="2" t="s">
        <v>594</v>
      </c>
      <c r="D1388" s="2" t="str">
        <f t="shared" si="20"/>
        <v>Error?</v>
      </c>
    </row>
    <row r="1389" spans="1:4" x14ac:dyDescent="0.2">
      <c r="A1389" s="5">
        <v>1328</v>
      </c>
      <c r="B1389" s="138">
        <f>'Expenditures 15-22'!K211</f>
        <v>103479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65585</v>
      </c>
      <c r="D1406" s="2" t="str">
        <f t="shared" si="20"/>
        <v>Error?</v>
      </c>
    </row>
    <row r="1407" spans="1:4" x14ac:dyDescent="0.2">
      <c r="A1407" s="5">
        <v>1346</v>
      </c>
      <c r="B1407" s="138">
        <f>'Expenditures 15-22'!D222</f>
        <v>6367</v>
      </c>
      <c r="D1407" s="2" t="str">
        <f t="shared" ref="D1407:D1470" si="21">IF(ISBLANK(B1407),"OK",IF(A1407-B1407=0,"OK","Error?"))</f>
        <v>Error?</v>
      </c>
    </row>
    <row r="1408" spans="1:4" x14ac:dyDescent="0.2">
      <c r="A1408" s="5">
        <v>1347</v>
      </c>
      <c r="B1408" s="138">
        <f>'Expenditures 15-22'!D223</f>
        <v>34900</v>
      </c>
      <c r="D1408" s="2" t="str">
        <f t="shared" si="21"/>
        <v>Error?</v>
      </c>
    </row>
    <row r="1409" spans="1:4" x14ac:dyDescent="0.2">
      <c r="A1409" s="5">
        <v>1348</v>
      </c>
      <c r="B1409" s="138">
        <f>'Expenditures 15-22'!D224</f>
        <v>2815</v>
      </c>
      <c r="D1409" s="2" t="str">
        <f t="shared" si="21"/>
        <v>Error?</v>
      </c>
    </row>
    <row r="1410" spans="1:4" x14ac:dyDescent="0.2">
      <c r="A1410" s="5">
        <v>1349</v>
      </c>
      <c r="B1410" s="138">
        <f>'Expenditures 15-22'!D229</f>
        <v>245782</v>
      </c>
      <c r="C1410" s="2" t="s">
        <v>594</v>
      </c>
      <c r="D1410" s="2" t="str">
        <f t="shared" si="21"/>
        <v>Error?</v>
      </c>
    </row>
    <row r="1411" spans="1:4" x14ac:dyDescent="0.2">
      <c r="A1411" s="5">
        <v>1350</v>
      </c>
      <c r="B1411" s="138">
        <f>'Expenditures 15-22'!D232</f>
        <v>25614</v>
      </c>
      <c r="D1411" s="2" t="str">
        <f t="shared" si="21"/>
        <v>Error?</v>
      </c>
    </row>
    <row r="1412" spans="1:4" x14ac:dyDescent="0.2">
      <c r="A1412" s="5">
        <v>1351</v>
      </c>
      <c r="B1412" s="138">
        <f>'Expenditures 15-22'!D233</f>
        <v>17348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8161</v>
      </c>
      <c r="D1416" s="2" t="str">
        <f t="shared" si="21"/>
        <v>Error?</v>
      </c>
    </row>
    <row r="1417" spans="1:4" x14ac:dyDescent="0.2">
      <c r="A1417" s="5">
        <v>1356</v>
      </c>
      <c r="B1417" s="138">
        <f>'Expenditures 15-22'!D238</f>
        <v>51123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2905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2905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19635</v>
      </c>
      <c r="D1423" s="2" t="str">
        <f t="shared" si="21"/>
        <v>Error?</v>
      </c>
    </row>
    <row r="1424" spans="1:4" x14ac:dyDescent="0.2">
      <c r="A1424" s="5">
        <v>1363</v>
      </c>
      <c r="B1424" s="138">
        <f>'Expenditures 15-22'!D257</f>
        <v>19635</v>
      </c>
      <c r="C1424" s="2" t="s">
        <v>594</v>
      </c>
      <c r="D1424" s="2" t="str">
        <f t="shared" si="21"/>
        <v>Error?</v>
      </c>
    </row>
    <row r="1425" spans="1:4" x14ac:dyDescent="0.2">
      <c r="A1425" s="5">
        <v>1364</v>
      </c>
      <c r="B1425" s="138">
        <f>'Expenditures 15-22'!D259</f>
        <v>19265</v>
      </c>
      <c r="D1425" s="2" t="str">
        <f t="shared" si="21"/>
        <v>Error?</v>
      </c>
    </row>
    <row r="1426" spans="1:4" x14ac:dyDescent="0.2">
      <c r="A1426" s="5">
        <v>1365</v>
      </c>
      <c r="B1426" s="138">
        <f>'Expenditures 15-22'!D260</f>
        <v>14366</v>
      </c>
      <c r="D1426" s="2" t="str">
        <f t="shared" si="21"/>
        <v>Error?</v>
      </c>
    </row>
    <row r="1427" spans="1:4" x14ac:dyDescent="0.2">
      <c r="A1427" s="5">
        <v>1366</v>
      </c>
      <c r="B1427" s="138">
        <f>'Expenditures 15-22'!D261</f>
        <v>33631</v>
      </c>
      <c r="C1427" s="2" t="s">
        <v>594</v>
      </c>
      <c r="D1427" s="2" t="str">
        <f t="shared" si="21"/>
        <v>Error?</v>
      </c>
    </row>
    <row r="1428" spans="1:4" x14ac:dyDescent="0.2">
      <c r="A1428" s="5">
        <v>1367</v>
      </c>
      <c r="B1428" s="138">
        <f>'Expenditures 15-22'!D263</f>
        <v>11432</v>
      </c>
      <c r="D1428" s="2" t="str">
        <f t="shared" si="21"/>
        <v>Error?</v>
      </c>
    </row>
    <row r="1429" spans="1:4" x14ac:dyDescent="0.2">
      <c r="A1429" s="5">
        <v>1368</v>
      </c>
      <c r="B1429" s="138">
        <f>'Expenditures 15-22'!D264</f>
        <v>15590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39348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36010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102380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16207</v>
      </c>
      <c r="D1445" s="2" t="str">
        <f t="shared" si="21"/>
        <v>Error?</v>
      </c>
    </row>
    <row r="1446" spans="1:4" x14ac:dyDescent="0.2">
      <c r="A1446" s="5">
        <v>1385</v>
      </c>
      <c r="B1446" s="138">
        <f>'Expenditures 15-22'!D279</f>
        <v>225881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471663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65585</v>
      </c>
      <c r="C1470" s="2" t="s">
        <v>594</v>
      </c>
      <c r="D1470" s="2" t="str">
        <f t="shared" si="21"/>
        <v>Error?</v>
      </c>
    </row>
    <row r="1471" spans="1:4" x14ac:dyDescent="0.2">
      <c r="A1471" s="5">
        <v>1410</v>
      </c>
      <c r="B1471" s="138">
        <f>'Expenditures 15-22'!K222</f>
        <v>6367</v>
      </c>
      <c r="C1471" s="2" t="s">
        <v>594</v>
      </c>
      <c r="D1471" s="2" t="str">
        <f t="shared" ref="D1471:D1534" si="22">IF(ISBLANK(B1471),"OK",IF(A1471-B1471=0,"OK","Error?"))</f>
        <v>Error?</v>
      </c>
    </row>
    <row r="1472" spans="1:4" x14ac:dyDescent="0.2">
      <c r="A1472" s="5">
        <v>1411</v>
      </c>
      <c r="B1472" s="138">
        <f>'Expenditures 15-22'!K223</f>
        <v>34900</v>
      </c>
      <c r="C1472" s="2" t="s">
        <v>594</v>
      </c>
      <c r="D1472" s="2" t="str">
        <f t="shared" si="22"/>
        <v>Error?</v>
      </c>
    </row>
    <row r="1473" spans="1:4" x14ac:dyDescent="0.2">
      <c r="A1473" s="5">
        <v>1412</v>
      </c>
      <c r="B1473" s="138">
        <f>'Expenditures 15-22'!K224</f>
        <v>2815</v>
      </c>
      <c r="C1473" s="2" t="s">
        <v>594</v>
      </c>
      <c r="D1473" s="2" t="str">
        <f t="shared" si="22"/>
        <v>Error?</v>
      </c>
    </row>
    <row r="1474" spans="1:4" x14ac:dyDescent="0.2">
      <c r="A1474" s="5">
        <v>1413</v>
      </c>
      <c r="B1474" s="138">
        <f>'Expenditures 15-22'!K229</f>
        <v>245782</v>
      </c>
      <c r="C1474" s="2" t="s">
        <v>594</v>
      </c>
      <c r="D1474" s="2" t="str">
        <f t="shared" si="22"/>
        <v>Error?</v>
      </c>
    </row>
    <row r="1475" spans="1:4" x14ac:dyDescent="0.2">
      <c r="A1475" s="5">
        <v>1414</v>
      </c>
      <c r="B1475" s="138">
        <f>'Expenditures 15-22'!K232</f>
        <v>25614</v>
      </c>
      <c r="C1475" s="2" t="s">
        <v>594</v>
      </c>
      <c r="D1475" s="2" t="str">
        <f t="shared" si="22"/>
        <v>Error?</v>
      </c>
    </row>
    <row r="1476" spans="1:4" x14ac:dyDescent="0.2">
      <c r="A1476" s="5">
        <v>1415</v>
      </c>
      <c r="B1476" s="138">
        <f>'Expenditures 15-22'!K233</f>
        <v>17348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8161</v>
      </c>
      <c r="C1480" s="2" t="s">
        <v>594</v>
      </c>
      <c r="D1480" s="2" t="str">
        <f t="shared" si="22"/>
        <v>Error?</v>
      </c>
    </row>
    <row r="1481" spans="1:4" x14ac:dyDescent="0.2">
      <c r="A1481" s="5">
        <v>1420</v>
      </c>
      <c r="B1481" s="138">
        <f>'Expenditures 15-22'!K238</f>
        <v>51123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2905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2905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19635</v>
      </c>
      <c r="C1487" s="2" t="s">
        <v>594</v>
      </c>
      <c r="D1487" s="2" t="str">
        <f t="shared" si="22"/>
        <v>Error?</v>
      </c>
    </row>
    <row r="1488" spans="1:4" x14ac:dyDescent="0.2">
      <c r="A1488" s="5">
        <v>1427</v>
      </c>
      <c r="B1488" s="138">
        <f>'Expenditures 15-22'!K257</f>
        <v>19635</v>
      </c>
      <c r="C1488" s="2" t="s">
        <v>594</v>
      </c>
      <c r="D1488" s="2" t="str">
        <f t="shared" si="22"/>
        <v>Error?</v>
      </c>
    </row>
    <row r="1489" spans="1:4" x14ac:dyDescent="0.2">
      <c r="A1489" s="5">
        <v>1428</v>
      </c>
      <c r="B1489" s="138">
        <f>'Expenditures 15-22'!K259</f>
        <v>19265</v>
      </c>
      <c r="C1489" s="2" t="s">
        <v>594</v>
      </c>
      <c r="D1489" s="2" t="str">
        <f t="shared" si="22"/>
        <v>Error?</v>
      </c>
    </row>
    <row r="1490" spans="1:4" x14ac:dyDescent="0.2">
      <c r="A1490" s="5">
        <v>1429</v>
      </c>
      <c r="B1490" s="138">
        <f>'Expenditures 15-22'!K260</f>
        <v>14366</v>
      </c>
      <c r="C1490" s="2" t="s">
        <v>594</v>
      </c>
      <c r="D1490" s="2" t="str">
        <f t="shared" si="22"/>
        <v>Error?</v>
      </c>
    </row>
    <row r="1491" spans="1:4" x14ac:dyDescent="0.2">
      <c r="A1491" s="5">
        <v>1430</v>
      </c>
      <c r="B1491" s="138">
        <f>'Expenditures 15-22'!K261</f>
        <v>33631</v>
      </c>
      <c r="C1491" s="2" t="s">
        <v>594</v>
      </c>
      <c r="D1491" s="2" t="str">
        <f t="shared" si="22"/>
        <v>Error?</v>
      </c>
    </row>
    <row r="1492" spans="1:4" x14ac:dyDescent="0.2">
      <c r="A1492" s="5">
        <v>1431</v>
      </c>
      <c r="B1492" s="138">
        <f>'Expenditures 15-22'!K263</f>
        <v>11432</v>
      </c>
      <c r="C1492" s="2" t="s">
        <v>594</v>
      </c>
      <c r="D1492" s="2" t="str">
        <f t="shared" si="22"/>
        <v>Error?</v>
      </c>
    </row>
    <row r="1493" spans="1:4" x14ac:dyDescent="0.2">
      <c r="A1493" s="5">
        <v>1432</v>
      </c>
      <c r="B1493" s="138">
        <f>'Expenditures 15-22'!K264</f>
        <v>15590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39348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36010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102380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16207</v>
      </c>
      <c r="C1509" s="2" t="s">
        <v>594</v>
      </c>
      <c r="D1509" s="2" t="str">
        <f t="shared" si="22"/>
        <v>Error?</v>
      </c>
    </row>
    <row r="1510" spans="1:4" x14ac:dyDescent="0.2">
      <c r="A1510" s="5">
        <v>1449</v>
      </c>
      <c r="B1510" s="138">
        <f>'Expenditures 15-22'!K279</f>
        <v>225881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471663</v>
      </c>
      <c r="C1517" s="2" t="s">
        <v>594</v>
      </c>
      <c r="D1517" s="2" t="str">
        <f t="shared" si="22"/>
        <v>Error?</v>
      </c>
    </row>
    <row r="1518" spans="1:4" x14ac:dyDescent="0.2">
      <c r="A1518" s="5">
        <v>1457</v>
      </c>
      <c r="B1518" s="138">
        <f>'Expenditures 15-22'!K296</f>
        <v>25429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62510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62510</v>
      </c>
      <c r="C1535" s="2" t="s">
        <v>594</v>
      </c>
      <c r="D1535" s="2" t="str">
        <f t="shared" ref="D1535:D1598" si="23">IF(ISBLANK(B1535),"OK",IF(A1535-B1535=0,"OK","Error?"))</f>
        <v>Error?</v>
      </c>
    </row>
    <row r="1536" spans="1:4" x14ac:dyDescent="0.2">
      <c r="A1536" s="5">
        <v>1475</v>
      </c>
      <c r="B1536" s="138">
        <f>'Expenditures 15-22'!E312</f>
        <v>62510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62510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62510</v>
      </c>
      <c r="C1559" s="2" t="s">
        <v>594</v>
      </c>
      <c r="D1559" s="2" t="str">
        <f t="shared" si="23"/>
        <v>Error?</v>
      </c>
    </row>
    <row r="1560" spans="1:4" x14ac:dyDescent="0.2">
      <c r="A1560" s="5">
        <v>1499</v>
      </c>
      <c r="B1560" s="138">
        <f>'Expenditures 15-22'!K312</f>
        <v>62510</v>
      </c>
      <c r="C1560" s="2" t="s">
        <v>594</v>
      </c>
      <c r="D1560" s="2" t="str">
        <f t="shared" si="23"/>
        <v>Error?</v>
      </c>
    </row>
    <row r="1561" spans="1:4" x14ac:dyDescent="0.2">
      <c r="A1561" s="5">
        <v>1500</v>
      </c>
      <c r="B1561" s="138">
        <f>'Expenditures 15-22'!K313</f>
        <v>463750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2541373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3085239</v>
      </c>
      <c r="C1630" s="2" t="s">
        <v>594</v>
      </c>
      <c r="D1630" s="2" t="str">
        <f t="shared" si="24"/>
        <v>Error?</v>
      </c>
    </row>
    <row r="1631" spans="1:4" x14ac:dyDescent="0.2">
      <c r="A1631" s="5">
        <v>1570</v>
      </c>
      <c r="B1631" s="138">
        <f>'Acct Summary 7-8'!D79</f>
        <v>1008699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1229531</v>
      </c>
      <c r="C1644" s="2" t="s">
        <v>594</v>
      </c>
      <c r="D1644" s="2" t="str">
        <f t="shared" si="24"/>
        <v>Error?</v>
      </c>
    </row>
    <row r="1645" spans="1:4" x14ac:dyDescent="0.2">
      <c r="A1645" s="5">
        <v>1584</v>
      </c>
      <c r="B1645" s="138">
        <f>'Acct Summary 7-8'!E79</f>
        <v>1729932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1215553</v>
      </c>
      <c r="C1658" s="2" t="s">
        <v>594</v>
      </c>
      <c r="D1658" s="2" t="str">
        <f t="shared" si="24"/>
        <v>Error?</v>
      </c>
    </row>
    <row r="1659" spans="1:4" x14ac:dyDescent="0.2">
      <c r="A1659" s="5">
        <v>1598</v>
      </c>
      <c r="B1659" s="138">
        <f>'Acct Summary 7-8'!F79</f>
        <v>1045339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1148818</v>
      </c>
      <c r="C1672" s="2" t="s">
        <v>594</v>
      </c>
      <c r="D1672" s="2" t="str">
        <f t="shared" si="25"/>
        <v>Error?</v>
      </c>
    </row>
    <row r="1673" spans="1:4" x14ac:dyDescent="0.2">
      <c r="A1673" s="5">
        <v>1612</v>
      </c>
      <c r="B1673" s="138">
        <f>'Acct Summary 7-8'!G79</f>
        <v>452397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477826</v>
      </c>
      <c r="C1686" s="2" t="s">
        <v>594</v>
      </c>
      <c r="D1686" s="2" t="str">
        <f t="shared" si="25"/>
        <v>Error?</v>
      </c>
    </row>
    <row r="1687" spans="1:4" x14ac:dyDescent="0.2">
      <c r="A1687" s="5">
        <v>1626</v>
      </c>
      <c r="B1687" s="138">
        <f>'Acct Summary 7-8'!H79</f>
        <v>23081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486831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7233263</v>
      </c>
      <c r="C1744" s="2" t="s">
        <v>594</v>
      </c>
      <c r="D1744" s="2" t="str">
        <f t="shared" si="26"/>
        <v>Error?</v>
      </c>
    </row>
    <row r="1745" spans="1:5" x14ac:dyDescent="0.2">
      <c r="A1745" s="5">
        <v>1684</v>
      </c>
      <c r="B1745" s="138">
        <f>'Tax Sched 23'!B5</f>
        <v>1443787</v>
      </c>
      <c r="C1745" s="2" t="s">
        <v>594</v>
      </c>
      <c r="D1745" s="2" t="str">
        <f t="shared" si="26"/>
        <v>Error?</v>
      </c>
    </row>
    <row r="1746" spans="1:5" x14ac:dyDescent="0.2">
      <c r="A1746" s="5">
        <v>1685</v>
      </c>
      <c r="B1746" s="138">
        <f>'Tax Sched 23'!B6</f>
        <v>1123395</v>
      </c>
      <c r="C1746" s="2" t="s">
        <v>594</v>
      </c>
      <c r="D1746" s="2" t="str">
        <f t="shared" si="26"/>
        <v>Error?</v>
      </c>
    </row>
    <row r="1747" spans="1:5" x14ac:dyDescent="0.2">
      <c r="A1747" s="5">
        <v>1686</v>
      </c>
      <c r="B1747" s="138">
        <f>'Tax Sched 23'!B7</f>
        <v>520800</v>
      </c>
      <c r="C1747" s="2" t="s">
        <v>594</v>
      </c>
      <c r="D1747" s="2" t="str">
        <f t="shared" si="26"/>
        <v>Error?</v>
      </c>
    </row>
    <row r="1748" spans="1:5" x14ac:dyDescent="0.2">
      <c r="A1748" s="5">
        <v>1687</v>
      </c>
      <c r="B1748" s="138">
        <f>'Tax Sched 23'!B8</f>
        <v>242335</v>
      </c>
      <c r="C1748" s="2" t="s">
        <v>594</v>
      </c>
      <c r="D1748" s="2" t="str">
        <f t="shared" si="26"/>
        <v>Error?</v>
      </c>
    </row>
    <row r="1749" spans="1:5" x14ac:dyDescent="0.2">
      <c r="A1749" s="5">
        <v>1688</v>
      </c>
      <c r="B1749" s="138">
        <f>'Tax Sched 23'!B10</f>
        <v>220010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340702</v>
      </c>
      <c r="C1752" s="2" t="s">
        <v>594</v>
      </c>
      <c r="D1752" s="2" t="str">
        <f t="shared" si="26"/>
        <v>Error?</v>
      </c>
    </row>
    <row r="1753" spans="1:5" x14ac:dyDescent="0.2">
      <c r="A1753" s="5">
        <v>1692</v>
      </c>
      <c r="B1753" s="138">
        <f>'Tax Sched 23'!B12</f>
        <v>155821</v>
      </c>
      <c r="C1753" s="2" t="s">
        <v>594</v>
      </c>
      <c r="D1753" s="2" t="str">
        <f t="shared" si="26"/>
        <v>Error?</v>
      </c>
    </row>
    <row r="1754" spans="1:5" x14ac:dyDescent="0.2">
      <c r="A1754" s="5">
        <v>1693</v>
      </c>
      <c r="B1754" s="138">
        <f>'Tax Sched 23'!B14</f>
        <v>97368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11610285</v>
      </c>
      <c r="C1759" s="2" t="s">
        <v>594</v>
      </c>
      <c r="D1759" s="2" t="str">
        <f t="shared" si="26"/>
        <v>Error?</v>
      </c>
    </row>
    <row r="1760" spans="1:5" x14ac:dyDescent="0.2">
      <c r="A1760" s="5">
        <v>1699</v>
      </c>
      <c r="B1760" s="138">
        <f>'Tax Sched 23'!D4</f>
        <v>7233263</v>
      </c>
      <c r="C1760" s="2" t="s">
        <v>594</v>
      </c>
      <c r="D1760" s="2" t="str">
        <f t="shared" si="26"/>
        <v>Error?</v>
      </c>
    </row>
    <row r="1761" spans="1:5" x14ac:dyDescent="0.2">
      <c r="A1761" s="5">
        <v>1700</v>
      </c>
      <c r="B1761" s="138">
        <f>'Tax Sched 23'!D5</f>
        <v>1443787</v>
      </c>
      <c r="C1761" s="2" t="s">
        <v>594</v>
      </c>
      <c r="D1761" s="2" t="str">
        <f t="shared" si="26"/>
        <v>Error?</v>
      </c>
    </row>
    <row r="1762" spans="1:5" s="8" customFormat="1" x14ac:dyDescent="0.2">
      <c r="A1762" s="5">
        <v>1701</v>
      </c>
      <c r="B1762" s="138">
        <f>'Tax Sched 23'!D6</f>
        <v>1123395</v>
      </c>
      <c r="C1762" s="2" t="s">
        <v>594</v>
      </c>
      <c r="D1762" s="2" t="str">
        <f t="shared" si="26"/>
        <v>Error?</v>
      </c>
      <c r="E1762" s="9"/>
    </row>
    <row r="1763" spans="1:5" x14ac:dyDescent="0.2">
      <c r="A1763" s="5">
        <v>1702</v>
      </c>
      <c r="B1763" s="138">
        <f>'Tax Sched 23'!D7</f>
        <v>520800</v>
      </c>
      <c r="C1763" s="2" t="s">
        <v>594</v>
      </c>
      <c r="D1763" s="2" t="str">
        <f t="shared" si="26"/>
        <v>Error?</v>
      </c>
    </row>
    <row r="1764" spans="1:5" x14ac:dyDescent="0.2">
      <c r="A1764" s="5">
        <v>1703</v>
      </c>
      <c r="B1764" s="138">
        <f>'Tax Sched 23'!D8</f>
        <v>242335</v>
      </c>
      <c r="C1764" s="2" t="s">
        <v>594</v>
      </c>
      <c r="D1764" s="2" t="str">
        <f t="shared" si="26"/>
        <v>Error?</v>
      </c>
    </row>
    <row r="1765" spans="1:5" x14ac:dyDescent="0.2">
      <c r="A1765" s="5">
        <v>1704</v>
      </c>
      <c r="B1765" s="138">
        <f>'Tax Sched 23'!D10</f>
        <v>220010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340702</v>
      </c>
      <c r="C1768" s="2" t="s">
        <v>594</v>
      </c>
      <c r="D1768" s="2" t="str">
        <f t="shared" si="26"/>
        <v>Error?</v>
      </c>
    </row>
    <row r="1769" spans="1:5" x14ac:dyDescent="0.2">
      <c r="A1769" s="5">
        <v>1708</v>
      </c>
      <c r="B1769" s="138">
        <f>'Tax Sched 23'!D12</f>
        <v>155821</v>
      </c>
      <c r="C1769" s="2" t="s">
        <v>594</v>
      </c>
      <c r="D1769" s="2" t="str">
        <f t="shared" si="26"/>
        <v>Error?</v>
      </c>
    </row>
    <row r="1770" spans="1:5" x14ac:dyDescent="0.2">
      <c r="A1770" s="5">
        <v>1709</v>
      </c>
      <c r="B1770" s="138">
        <f>'Tax Sched 23'!D14</f>
        <v>97368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11610285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7499689</v>
      </c>
      <c r="C1792" s="2" t="s">
        <v>594</v>
      </c>
      <c r="D1792" s="2" t="str">
        <f t="shared" si="27"/>
        <v>Error?</v>
      </c>
    </row>
    <row r="1793" spans="1:4" x14ac:dyDescent="0.2">
      <c r="A1793" s="5">
        <v>1732</v>
      </c>
      <c r="B1793" s="138">
        <f>'Tax Sched 23'!F5</f>
        <v>1487594</v>
      </c>
      <c r="C1793" s="2" t="s">
        <v>594</v>
      </c>
      <c r="D1793" s="2" t="str">
        <f t="shared" si="27"/>
        <v>Error?</v>
      </c>
    </row>
    <row r="1794" spans="1:4" x14ac:dyDescent="0.2">
      <c r="A1794" s="5">
        <v>1733</v>
      </c>
      <c r="B1794" s="138">
        <f>'Tax Sched 23'!F6</f>
        <v>1148406.8700000001</v>
      </c>
      <c r="C1794" s="2" t="s">
        <v>594</v>
      </c>
      <c r="D1794" s="2" t="str">
        <f t="shared" si="27"/>
        <v>Error?</v>
      </c>
    </row>
    <row r="1795" spans="1:4" x14ac:dyDescent="0.2">
      <c r="A1795" s="5">
        <v>1734</v>
      </c>
      <c r="B1795" s="138">
        <f>'Tax Sched 23'!F7</f>
        <v>572496</v>
      </c>
      <c r="C1795" s="2" t="s">
        <v>594</v>
      </c>
      <c r="D1795" s="2" t="str">
        <f t="shared" si="27"/>
        <v>Error?</v>
      </c>
    </row>
    <row r="1796" spans="1:4" x14ac:dyDescent="0.2">
      <c r="A1796" s="5">
        <v>1735</v>
      </c>
      <c r="B1796" s="138">
        <f>'Tax Sched 23'!F8</f>
        <v>247932</v>
      </c>
      <c r="C1796" s="2" t="s">
        <v>594</v>
      </c>
      <c r="D1796" s="2" t="str">
        <f t="shared" si="27"/>
        <v>Error?</v>
      </c>
    </row>
    <row r="1797" spans="1:4" x14ac:dyDescent="0.2">
      <c r="A1797" s="5">
        <v>1736</v>
      </c>
      <c r="B1797" s="138">
        <f>'Tax Sched 23'!F10</f>
        <v>218252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347125</v>
      </c>
      <c r="C1800" s="2" t="s">
        <v>594</v>
      </c>
      <c r="D1800" s="2" t="str">
        <f t="shared" si="27"/>
        <v>Error?</v>
      </c>
    </row>
    <row r="1801" spans="1:4" x14ac:dyDescent="0.2">
      <c r="A1801" s="5">
        <v>1740</v>
      </c>
      <c r="B1801" s="138">
        <f>'Tax Sched 23'!F12</f>
        <v>184482</v>
      </c>
      <c r="C1801" s="2" t="s">
        <v>594</v>
      </c>
      <c r="D1801" s="2" t="str">
        <f t="shared" si="27"/>
        <v>Error?</v>
      </c>
    </row>
    <row r="1802" spans="1:4" x14ac:dyDescent="0.2">
      <c r="A1802" s="5">
        <v>1741</v>
      </c>
      <c r="B1802" s="138">
        <f>'Tax Sched 23'!F14</f>
        <v>99192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12038284.870000001</v>
      </c>
      <c r="C1807" s="2" t="s">
        <v>594</v>
      </c>
      <c r="D1807" s="2" t="str">
        <f t="shared" si="27"/>
        <v>Error?</v>
      </c>
    </row>
    <row r="1808" spans="1:4" x14ac:dyDescent="0.2">
      <c r="A1808" s="5">
        <v>1747</v>
      </c>
      <c r="B1808" s="138">
        <f>'Tax Sched 23'!E4</f>
        <v>7499689</v>
      </c>
      <c r="D1808" s="2" t="str">
        <f t="shared" si="27"/>
        <v>Error?</v>
      </c>
    </row>
    <row r="1809" spans="1:4" x14ac:dyDescent="0.2">
      <c r="A1809" s="5">
        <v>1748</v>
      </c>
      <c r="B1809" s="138">
        <f>'Tax Sched 23'!E5</f>
        <v>1487594</v>
      </c>
      <c r="D1809" s="2" t="str">
        <f t="shared" si="27"/>
        <v>Error?</v>
      </c>
    </row>
    <row r="1810" spans="1:4" x14ac:dyDescent="0.2">
      <c r="A1810" s="5">
        <v>1749</v>
      </c>
      <c r="B1810" s="138">
        <f>'Tax Sched 23'!E6</f>
        <v>1148406.8700000001</v>
      </c>
      <c r="D1810" s="2" t="str">
        <f t="shared" si="27"/>
        <v>Error?</v>
      </c>
    </row>
    <row r="1811" spans="1:4" x14ac:dyDescent="0.2">
      <c r="A1811" s="5">
        <v>1750</v>
      </c>
      <c r="B1811" s="138">
        <f>'Tax Sched 23'!E7</f>
        <v>572496</v>
      </c>
      <c r="D1811" s="2" t="str">
        <f t="shared" si="27"/>
        <v>Error?</v>
      </c>
    </row>
    <row r="1812" spans="1:4" x14ac:dyDescent="0.2">
      <c r="A1812" s="5">
        <v>1751</v>
      </c>
      <c r="B1812" s="138">
        <f>'Tax Sched 23'!E8</f>
        <v>247932</v>
      </c>
      <c r="D1812" s="2" t="str">
        <f t="shared" si="27"/>
        <v>Error?</v>
      </c>
    </row>
    <row r="1813" spans="1:4" x14ac:dyDescent="0.2">
      <c r="A1813" s="5">
        <v>1752</v>
      </c>
      <c r="B1813" s="138">
        <f>'Tax Sched 23'!E10</f>
        <v>218252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347125</v>
      </c>
      <c r="D1816" s="2" t="str">
        <f t="shared" si="27"/>
        <v>Error?</v>
      </c>
    </row>
    <row r="1817" spans="1:4" x14ac:dyDescent="0.2">
      <c r="A1817" s="5">
        <v>1756</v>
      </c>
      <c r="B1817" s="138">
        <f>'Tax Sched 23'!E12</f>
        <v>184482</v>
      </c>
      <c r="D1817" s="2" t="str">
        <f t="shared" si="27"/>
        <v>Error?</v>
      </c>
    </row>
    <row r="1818" spans="1:4" x14ac:dyDescent="0.2">
      <c r="A1818" s="5">
        <v>1757</v>
      </c>
      <c r="B1818" s="138">
        <f>'Tax Sched 23'!E14</f>
        <v>99192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12038284.870000001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4169712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97368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97368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97368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147429</v>
      </c>
      <c r="D2008" s="2" t="str">
        <f t="shared" si="30"/>
        <v>Error?</v>
      </c>
    </row>
    <row r="2009" spans="1:4" x14ac:dyDescent="0.2">
      <c r="A2009" s="5">
        <v>1948</v>
      </c>
      <c r="B2009" s="138">
        <f>'Cap Outlay Deprec 26'!C8</f>
        <v>33355721</v>
      </c>
      <c r="D2009" s="2" t="str">
        <f t="shared" si="30"/>
        <v>Error?</v>
      </c>
    </row>
    <row r="2010" spans="1:4" x14ac:dyDescent="0.2">
      <c r="A2010" s="5">
        <v>1949</v>
      </c>
      <c r="B2010" s="138">
        <f>'Cap Outlay Deprec 26'!C10</f>
        <v>2914423</v>
      </c>
      <c r="D2010" s="2" t="str">
        <f t="shared" si="30"/>
        <v>Error?</v>
      </c>
    </row>
    <row r="2011" spans="1:4" x14ac:dyDescent="0.2">
      <c r="A2011" s="5">
        <v>1950</v>
      </c>
      <c r="B2011" s="138">
        <f>'Cap Outlay Deprec 26'!C12</f>
        <v>4672243</v>
      </c>
      <c r="D2011" s="2" t="str">
        <f t="shared" si="30"/>
        <v>Error?</v>
      </c>
    </row>
    <row r="2012" spans="1:4" x14ac:dyDescent="0.2">
      <c r="A2012" s="5">
        <v>1951</v>
      </c>
      <c r="B2012" s="138">
        <f>'Cap Outlay Deprec 26'!C13</f>
        <v>169599</v>
      </c>
      <c r="D2012" s="2" t="str">
        <f t="shared" si="30"/>
        <v>Error?</v>
      </c>
    </row>
    <row r="2013" spans="1:4" x14ac:dyDescent="0.2">
      <c r="A2013" s="5">
        <v>1952</v>
      </c>
      <c r="B2013" s="138">
        <f>'Cap Outlay Deprec 26'!C16</f>
        <v>41259415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293449</v>
      </c>
      <c r="D2016" s="2" t="str">
        <f t="shared" si="30"/>
        <v>Error?</v>
      </c>
    </row>
    <row r="2017" spans="1:4" x14ac:dyDescent="0.2">
      <c r="A2017" s="5">
        <v>1956</v>
      </c>
      <c r="B2017" s="138">
        <f>'Cap Outlay Deprec 26'!D12</f>
        <v>25418</v>
      </c>
      <c r="D2017" s="2" t="str">
        <f t="shared" si="30"/>
        <v>Error?</v>
      </c>
    </row>
    <row r="2018" spans="1:4" x14ac:dyDescent="0.2">
      <c r="A2018" s="5">
        <v>1957</v>
      </c>
      <c r="B2018" s="138">
        <f>'Cap Outlay Deprec 26'!D13</f>
        <v>20211</v>
      </c>
      <c r="D2018" s="2" t="str">
        <f t="shared" si="30"/>
        <v>Error?</v>
      </c>
    </row>
    <row r="2019" spans="1:4" x14ac:dyDescent="0.2">
      <c r="A2019" s="5">
        <v>1958</v>
      </c>
      <c r="B2019" s="138">
        <f>'Cap Outlay Deprec 26'!D16</f>
        <v>339078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147429</v>
      </c>
      <c r="C2026" s="2" t="s">
        <v>594</v>
      </c>
      <c r="D2026" s="2" t="str">
        <f t="shared" si="30"/>
        <v>Error?</v>
      </c>
    </row>
    <row r="2027" spans="1:4" x14ac:dyDescent="0.2">
      <c r="A2027" s="5">
        <v>1966</v>
      </c>
      <c r="B2027" s="138">
        <f>'Cap Outlay Deprec 26'!F8</f>
        <v>33355721</v>
      </c>
      <c r="C2027" s="2" t="s">
        <v>594</v>
      </c>
      <c r="D2027" s="2" t="str">
        <f t="shared" si="30"/>
        <v>Error?</v>
      </c>
    </row>
    <row r="2028" spans="1:4" x14ac:dyDescent="0.2">
      <c r="A2028" s="5">
        <v>1967</v>
      </c>
      <c r="B2028" s="138">
        <f>'Cap Outlay Deprec 26'!F10</f>
        <v>3207872</v>
      </c>
      <c r="C2028" s="2" t="s">
        <v>594</v>
      </c>
      <c r="D2028" s="2" t="str">
        <f t="shared" si="30"/>
        <v>Error?</v>
      </c>
    </row>
    <row r="2029" spans="1:4" x14ac:dyDescent="0.2">
      <c r="A2029" s="5">
        <v>1968</v>
      </c>
      <c r="B2029" s="138">
        <f>'Cap Outlay Deprec 26'!F12</f>
        <v>4697661</v>
      </c>
      <c r="C2029" s="2" t="s">
        <v>594</v>
      </c>
      <c r="D2029" s="2" t="str">
        <f t="shared" si="30"/>
        <v>Error?</v>
      </c>
    </row>
    <row r="2030" spans="1:4" x14ac:dyDescent="0.2">
      <c r="A2030" s="5">
        <v>1969</v>
      </c>
      <c r="B2030" s="138">
        <f>'Cap Outlay Deprec 26'!F13</f>
        <v>189810</v>
      </c>
      <c r="C2030" s="2" t="s">
        <v>594</v>
      </c>
      <c r="D2030" s="2" t="str">
        <f t="shared" si="30"/>
        <v>Error?</v>
      </c>
    </row>
    <row r="2031" spans="1:4" x14ac:dyDescent="0.2">
      <c r="A2031" s="5">
        <v>1970</v>
      </c>
      <c r="B2031" s="138">
        <f>'Cap Outlay Deprec 26'!F16</f>
        <v>41598493</v>
      </c>
      <c r="C2031" s="2" t="s">
        <v>594</v>
      </c>
      <c r="D2031" s="2" t="str">
        <f t="shared" si="30"/>
        <v>Error?</v>
      </c>
    </row>
    <row r="2032" spans="1:4" x14ac:dyDescent="0.2">
      <c r="A2032" s="10">
        <v>1971</v>
      </c>
      <c r="D2032" s="2" t="str">
        <f t="shared" si="30"/>
        <v>OK</v>
      </c>
    </row>
    <row r="2033" spans="1:4" x14ac:dyDescent="0.2">
      <c r="A2033" s="5">
        <v>1972</v>
      </c>
      <c r="B2033" s="138">
        <f>'Cap Outlay Deprec 26'!H8</f>
        <v>33355721</v>
      </c>
      <c r="D2033" s="2" t="str">
        <f t="shared" si="30"/>
        <v>Error?</v>
      </c>
    </row>
    <row r="2034" spans="1:4" x14ac:dyDescent="0.2">
      <c r="A2034" s="5">
        <v>1973</v>
      </c>
      <c r="B2034" s="138">
        <f>'Cap Outlay Deprec 26'!H10</f>
        <v>2838775</v>
      </c>
      <c r="D2034" s="2" t="str">
        <f t="shared" si="30"/>
        <v>Error?</v>
      </c>
    </row>
    <row r="2035" spans="1:4" x14ac:dyDescent="0.2">
      <c r="A2035" s="5">
        <v>1974</v>
      </c>
      <c r="B2035" s="138">
        <f>'Cap Outlay Deprec 26'!H12</f>
        <v>4203531</v>
      </c>
      <c r="D2035" s="2" t="str">
        <f t="shared" si="30"/>
        <v>Error?</v>
      </c>
    </row>
    <row r="2036" spans="1:4" x14ac:dyDescent="0.2">
      <c r="A2036" s="5">
        <v>1975</v>
      </c>
      <c r="B2036" s="138">
        <f>'Cap Outlay Deprec 26'!H13</f>
        <v>169472</v>
      </c>
      <c r="D2036" s="2" t="str">
        <f t="shared" si="30"/>
        <v>Error?</v>
      </c>
    </row>
    <row r="2037" spans="1:4" x14ac:dyDescent="0.2">
      <c r="A2037" s="5">
        <v>1976</v>
      </c>
      <c r="B2037" s="138">
        <f>'Cap Outlay Deprec 26'!H16</f>
        <v>40567499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13099</v>
      </c>
      <c r="D2040" s="2" t="str">
        <f t="shared" si="30"/>
        <v>Error?</v>
      </c>
    </row>
    <row r="2041" spans="1:4" x14ac:dyDescent="0.2">
      <c r="A2041" s="5">
        <v>1980</v>
      </c>
      <c r="B2041" s="138">
        <f>'Cap Outlay Deprec 26'!I12</f>
        <v>110306</v>
      </c>
      <c r="D2041" s="2" t="str">
        <f t="shared" si="30"/>
        <v>Error?</v>
      </c>
    </row>
    <row r="2042" spans="1:4" x14ac:dyDescent="0.2">
      <c r="A2042" s="5">
        <v>1981</v>
      </c>
      <c r="B2042" s="138">
        <f>'Cap Outlay Deprec 26'!I13</f>
        <v>2822</v>
      </c>
      <c r="D2042" s="2" t="str">
        <f t="shared" si="30"/>
        <v>Error?</v>
      </c>
    </row>
    <row r="2043" spans="1:4" x14ac:dyDescent="0.2">
      <c r="A2043" s="5">
        <v>1982</v>
      </c>
      <c r="B2043" s="138">
        <f>'Cap Outlay Deprec 26'!I16</f>
        <v>126227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33355721</v>
      </c>
      <c r="C2051" s="2" t="s">
        <v>594</v>
      </c>
      <c r="D2051" s="2" t="str">
        <f t="shared" si="31"/>
        <v>Error?</v>
      </c>
    </row>
    <row r="2052" spans="1:4" x14ac:dyDescent="0.2">
      <c r="A2052" s="5">
        <v>1991</v>
      </c>
      <c r="B2052" s="138">
        <f>'Cap Outlay Deprec 26'!K10</f>
        <v>2851874</v>
      </c>
      <c r="C2052" s="2" t="s">
        <v>594</v>
      </c>
      <c r="D2052" s="2" t="str">
        <f t="shared" si="31"/>
        <v>Error?</v>
      </c>
    </row>
    <row r="2053" spans="1:4" x14ac:dyDescent="0.2">
      <c r="A2053" s="5">
        <v>1992</v>
      </c>
      <c r="B2053" s="138">
        <f>'Cap Outlay Deprec 26'!K12</f>
        <v>4313837</v>
      </c>
      <c r="C2053" s="2" t="s">
        <v>594</v>
      </c>
      <c r="D2053" s="2" t="str">
        <f t="shared" si="31"/>
        <v>Error?</v>
      </c>
    </row>
    <row r="2054" spans="1:4" x14ac:dyDescent="0.2">
      <c r="A2054" s="5">
        <v>1993</v>
      </c>
      <c r="B2054" s="138">
        <f>'Cap Outlay Deprec 26'!K13</f>
        <v>172294</v>
      </c>
      <c r="C2054" s="2" t="s">
        <v>594</v>
      </c>
      <c r="D2054" s="2" t="str">
        <f t="shared" si="31"/>
        <v>Error?</v>
      </c>
    </row>
    <row r="2055" spans="1:4" x14ac:dyDescent="0.2">
      <c r="A2055" s="5">
        <v>1994</v>
      </c>
      <c r="B2055" s="138">
        <f>'Cap Outlay Deprec 26'!K16</f>
        <v>40693726</v>
      </c>
      <c r="C2055" s="2" t="s">
        <v>594</v>
      </c>
      <c r="D2055" s="2" t="str">
        <f t="shared" si="31"/>
        <v>Error?</v>
      </c>
    </row>
    <row r="2056" spans="1:4" x14ac:dyDescent="0.2">
      <c r="A2056" s="5">
        <v>1995</v>
      </c>
      <c r="B2056" s="138">
        <f>'Cap Outlay Deprec 26'!L5</f>
        <v>147429</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355998</v>
      </c>
      <c r="C2058" s="2" t="s">
        <v>594</v>
      </c>
      <c r="D2058" s="2" t="str">
        <f t="shared" si="31"/>
        <v>Error?</v>
      </c>
    </row>
    <row r="2059" spans="1:4" x14ac:dyDescent="0.2">
      <c r="A2059" s="5">
        <v>1998</v>
      </c>
      <c r="B2059" s="138">
        <f>'Cap Outlay Deprec 26'!L12</f>
        <v>383824</v>
      </c>
      <c r="C2059" s="2" t="s">
        <v>594</v>
      </c>
      <c r="D2059" s="2" t="str">
        <f t="shared" si="31"/>
        <v>Error?</v>
      </c>
    </row>
    <row r="2060" spans="1:4" x14ac:dyDescent="0.2">
      <c r="A2060" s="5">
        <v>1999</v>
      </c>
      <c r="B2060" s="138">
        <f>'Cap Outlay Deprec 26'!L13</f>
        <v>17516</v>
      </c>
      <c r="C2060" s="2" t="s">
        <v>594</v>
      </c>
      <c r="D2060" s="2" t="str">
        <f t="shared" si="31"/>
        <v>Error?</v>
      </c>
    </row>
    <row r="2061" spans="1:4" x14ac:dyDescent="0.2">
      <c r="A2061" s="5">
        <v>2000</v>
      </c>
      <c r="B2061" s="138">
        <f>'Cap Outlay Deprec 26'!L16</f>
        <v>904767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404680</v>
      </c>
      <c r="C2088" s="2" t="s">
        <v>594</v>
      </c>
      <c r="D2088" s="2" t="str">
        <f t="shared" si="31"/>
        <v>Error?</v>
      </c>
    </row>
    <row r="2089" spans="1:4" x14ac:dyDescent="0.2">
      <c r="A2089" s="5">
        <v>2028</v>
      </c>
      <c r="B2089" s="138">
        <f>'Expenditures 15-22'!K92</f>
        <v>33930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594</v>
      </c>
      <c r="D2105" s="2" t="str">
        <f t="shared" si="31"/>
        <v>Error?</v>
      </c>
    </row>
    <row r="2106" spans="1:4" x14ac:dyDescent="0.2">
      <c r="A2106" s="5">
        <v>2045</v>
      </c>
      <c r="B2106" s="138">
        <f>'Acct Summary 7-8'!I48</f>
        <v>9000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8427270</v>
      </c>
      <c r="C2551" s="2" t="s">
        <v>594</v>
      </c>
      <c r="D2551" s="2" t="str">
        <f t="shared" si="38"/>
        <v>Error?</v>
      </c>
    </row>
    <row r="2552" spans="1:4" x14ac:dyDescent="0.2">
      <c r="A2552" s="10">
        <v>2491</v>
      </c>
      <c r="D2552" s="2" t="str">
        <f t="shared" si="38"/>
        <v>OK</v>
      </c>
    </row>
    <row r="2553" spans="1:4" x14ac:dyDescent="0.2">
      <c r="A2553" s="5">
        <v>2492</v>
      </c>
      <c r="B2553" s="138">
        <f>'Acct Summary 7-8'!C6</f>
        <v>2407926</v>
      </c>
      <c r="C2553" s="2" t="s">
        <v>594</v>
      </c>
      <c r="D2553" s="2" t="str">
        <f t="shared" si="38"/>
        <v>Error?</v>
      </c>
    </row>
    <row r="2554" spans="1:4" x14ac:dyDescent="0.2">
      <c r="A2554" s="5">
        <v>2493</v>
      </c>
      <c r="B2554" s="138">
        <f>'Acct Summary 7-8'!C7</f>
        <v>1163203</v>
      </c>
      <c r="C2554" s="2" t="s">
        <v>594</v>
      </c>
      <c r="D2554" s="2" t="str">
        <f t="shared" si="38"/>
        <v>Error?</v>
      </c>
    </row>
    <row r="2555" spans="1:4" x14ac:dyDescent="0.2">
      <c r="A2555" s="5">
        <v>2494</v>
      </c>
      <c r="B2555" s="138">
        <f>'Acct Summary 7-8'!C8</f>
        <v>11998399</v>
      </c>
      <c r="C2555" s="2" t="s">
        <v>594</v>
      </c>
      <c r="D2555" s="2" t="str">
        <f t="shared" si="38"/>
        <v>Error?</v>
      </c>
    </row>
    <row r="2556" spans="1:4" x14ac:dyDescent="0.2">
      <c r="A2556" s="5">
        <v>2495</v>
      </c>
      <c r="B2556" s="138">
        <f>'Acct Summary 7-8'!C12</f>
        <v>8259819</v>
      </c>
      <c r="C2556" s="2" t="s">
        <v>594</v>
      </c>
      <c r="D2556" s="2" t="str">
        <f t="shared" si="38"/>
        <v>Error?</v>
      </c>
    </row>
    <row r="2557" spans="1:4" x14ac:dyDescent="0.2">
      <c r="A2557" s="5">
        <v>2496</v>
      </c>
      <c r="B2557" s="138">
        <f>'Acct Summary 7-8'!C13</f>
        <v>2957999</v>
      </c>
      <c r="C2557" s="2" t="s">
        <v>594</v>
      </c>
      <c r="D2557" s="2" t="str">
        <f t="shared" si="38"/>
        <v>Error?</v>
      </c>
    </row>
    <row r="2558" spans="1:4" x14ac:dyDescent="0.2">
      <c r="A2558" s="5">
        <v>2497</v>
      </c>
      <c r="B2558" s="138">
        <f>'Acct Summary 7-8'!C14</f>
        <v>7105</v>
      </c>
      <c r="C2558" s="2" t="s">
        <v>594</v>
      </c>
      <c r="D2558" s="2" t="str">
        <f t="shared" si="38"/>
        <v>Error?</v>
      </c>
    </row>
    <row r="2559" spans="1:4" x14ac:dyDescent="0.2">
      <c r="A2559" s="5">
        <v>2498</v>
      </c>
      <c r="B2559" s="138">
        <f>'Acct Summary 7-8'!C15</f>
        <v>438610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11663533</v>
      </c>
      <c r="C2561" s="2" t="s">
        <v>594</v>
      </c>
      <c r="D2561" s="2" t="str">
        <f t="shared" si="39"/>
        <v>Error?</v>
      </c>
    </row>
    <row r="2562" spans="1:4" x14ac:dyDescent="0.2">
      <c r="A2562" s="5">
        <v>2501</v>
      </c>
      <c r="B2562" s="138">
        <f>'Acct Summary 7-8'!C20</f>
        <v>334866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1479621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1479621</v>
      </c>
      <c r="C2568" s="2" t="s">
        <v>594</v>
      </c>
      <c r="D2568" s="2" t="str">
        <f t="shared" si="39"/>
        <v>Error?</v>
      </c>
    </row>
    <row r="2569" spans="1:4" x14ac:dyDescent="0.2">
      <c r="A2569" s="5">
        <v>2508</v>
      </c>
      <c r="B2569" s="138">
        <f>'Acct Summary 7-8'!D13</f>
        <v>1258576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213</v>
      </c>
      <c r="C2572" s="2" t="s">
        <v>594</v>
      </c>
      <c r="D2572" s="2" t="str">
        <f t="shared" si="39"/>
        <v>Error?</v>
      </c>
    </row>
    <row r="2573" spans="1:4" x14ac:dyDescent="0.2">
      <c r="A2573" s="5">
        <v>2512</v>
      </c>
      <c r="B2573" s="138">
        <f>'Acct Summary 7-8'!D17</f>
        <v>1258789</v>
      </c>
      <c r="C2573" s="2" t="s">
        <v>594</v>
      </c>
      <c r="D2573" s="2" t="str">
        <f t="shared" si="39"/>
        <v>Error?</v>
      </c>
    </row>
    <row r="2574" spans="1:4" x14ac:dyDescent="0.2">
      <c r="A2574" s="5">
        <v>2513</v>
      </c>
      <c r="B2574" s="138">
        <f>'Acct Summary 7-8'!D20</f>
        <v>220832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530458</v>
      </c>
      <c r="C2591" s="2" t="s">
        <v>594</v>
      </c>
      <c r="D2591" s="2" t="str">
        <f t="shared" si="39"/>
        <v>Error?</v>
      </c>
    </row>
    <row r="2592" spans="1:4" x14ac:dyDescent="0.2">
      <c r="A2592" s="10">
        <v>2531</v>
      </c>
      <c r="D2592" s="2" t="str">
        <f t="shared" si="39"/>
        <v>OK</v>
      </c>
    </row>
    <row r="2593" spans="1:4" x14ac:dyDescent="0.2">
      <c r="A2593" s="5">
        <v>2532</v>
      </c>
      <c r="B2593" s="138">
        <f>'Acct Summary 7-8'!F6</f>
        <v>310063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840521</v>
      </c>
      <c r="C2595" s="2" t="s">
        <v>594</v>
      </c>
      <c r="D2595" s="2" t="str">
        <f t="shared" si="39"/>
        <v>Error?</v>
      </c>
    </row>
    <row r="2596" spans="1:4" x14ac:dyDescent="0.2">
      <c r="A2596" s="5">
        <v>2535</v>
      </c>
      <c r="B2596" s="138">
        <f>'Acct Summary 7-8'!F13</f>
        <v>737042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737042</v>
      </c>
      <c r="C2600" s="2" t="s">
        <v>594</v>
      </c>
      <c r="D2600" s="2" t="str">
        <f t="shared" si="39"/>
        <v>Error?</v>
      </c>
    </row>
    <row r="2601" spans="1:4" x14ac:dyDescent="0.2">
      <c r="A2601" s="5">
        <v>2540</v>
      </c>
      <c r="B2601" s="138">
        <f>'Acct Summary 7-8'!F20</f>
        <v>103479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497092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497092</v>
      </c>
      <c r="C2606" s="2" t="s">
        <v>594</v>
      </c>
      <c r="D2606" s="2" t="str">
        <f t="shared" si="39"/>
        <v>Error?</v>
      </c>
    </row>
    <row r="2607" spans="1:4" x14ac:dyDescent="0.2">
      <c r="A2607" s="5">
        <v>2546</v>
      </c>
      <c r="B2607" s="138">
        <f>'Acct Summary 7-8'!G12</f>
        <v>245782</v>
      </c>
      <c r="C2607" s="2" t="s">
        <v>594</v>
      </c>
      <c r="D2607" s="2" t="str">
        <f t="shared" si="39"/>
        <v>Error?</v>
      </c>
    </row>
    <row r="2608" spans="1:4" x14ac:dyDescent="0.2">
      <c r="A2608" s="5">
        <v>2547</v>
      </c>
      <c r="B2608" s="138">
        <f>'Acct Summary 7-8'!G13</f>
        <v>225881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471663</v>
      </c>
      <c r="C2612" s="2" t="s">
        <v>594</v>
      </c>
      <c r="D2612" s="2" t="str">
        <f t="shared" si="39"/>
        <v>Error?</v>
      </c>
    </row>
    <row r="2613" spans="1:4" x14ac:dyDescent="0.2">
      <c r="A2613" s="5">
        <v>2552</v>
      </c>
      <c r="B2613" s="138">
        <f>'Acct Summary 7-8'!G20</f>
        <v>25429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1601036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1601036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2115415</v>
      </c>
      <c r="C2634" s="2" t="s">
        <v>594</v>
      </c>
      <c r="D2634" s="2" t="str">
        <f t="shared" si="40"/>
        <v>Error?</v>
      </c>
    </row>
    <row r="2635" spans="1:4" x14ac:dyDescent="0.2">
      <c r="A2635" s="5">
        <v>2574</v>
      </c>
      <c r="B2635" s="138">
        <f>'Acct Summary 7-8'!E17</f>
        <v>2115415</v>
      </c>
      <c r="C2635" s="2" t="s">
        <v>594</v>
      </c>
      <c r="D2635" s="2" t="str">
        <f t="shared" si="40"/>
        <v>Error?</v>
      </c>
    </row>
    <row r="2636" spans="1:4" x14ac:dyDescent="0.2">
      <c r="A2636" s="5">
        <v>2575</v>
      </c>
      <c r="B2636" s="138">
        <f>'Acct Summary 7-8'!E20</f>
        <v>-514379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526260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526260</v>
      </c>
      <c r="C2658" s="2" t="s">
        <v>594</v>
      </c>
      <c r="D2658" s="2" t="str">
        <f t="shared" si="40"/>
        <v>Error?</v>
      </c>
    </row>
    <row r="2659" spans="1:4" x14ac:dyDescent="0.2">
      <c r="A2659" s="5">
        <v>2598</v>
      </c>
      <c r="B2659" s="138">
        <f>'Acct Summary 7-8'!H13</f>
        <v>62510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62510</v>
      </c>
      <c r="C2661" s="2" t="s">
        <v>594</v>
      </c>
      <c r="D2661" s="2" t="str">
        <f t="shared" si="40"/>
        <v>Error?</v>
      </c>
    </row>
    <row r="2662" spans="1:4" x14ac:dyDescent="0.2">
      <c r="A2662" s="5">
        <v>2601</v>
      </c>
      <c r="B2662" s="138">
        <f>'Acct Summary 7-8'!H20</f>
        <v>463750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404680</v>
      </c>
      <c r="C2789" s="2" t="s">
        <v>594</v>
      </c>
      <c r="D2789" s="2" t="str">
        <f t="shared" si="42"/>
        <v>Error?</v>
      </c>
    </row>
    <row r="2790" spans="1:4" x14ac:dyDescent="0.2">
      <c r="A2790" s="5">
        <v>2729</v>
      </c>
      <c r="B2790" s="138">
        <f>'Expenditures 15-22'!E102</f>
        <v>404680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2016775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432398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2016775</v>
      </c>
      <c r="D2912" s="2" t="str">
        <f t="shared" si="44"/>
        <v>Error?</v>
      </c>
    </row>
    <row r="2913" spans="1:4" x14ac:dyDescent="0.2">
      <c r="A2913" s="5">
        <v>2852</v>
      </c>
      <c r="B2913" s="138">
        <f>'Assets-Liab 5-6'!I41</f>
        <v>2016775</v>
      </c>
      <c r="C2913" s="2" t="s">
        <v>594</v>
      </c>
      <c r="D2913" s="2" t="str">
        <f t="shared" si="44"/>
        <v>Error?</v>
      </c>
    </row>
    <row r="2914" spans="1:4" x14ac:dyDescent="0.2">
      <c r="A2914" s="5">
        <v>2853</v>
      </c>
      <c r="B2914" s="138">
        <f>'Assets-Liab 5-6'!L33</f>
        <v>432398</v>
      </c>
      <c r="D2914" s="2" t="str">
        <f t="shared" si="44"/>
        <v>Error?</v>
      </c>
    </row>
    <row r="2915" spans="1:4" x14ac:dyDescent="0.2">
      <c r="A2915" s="10">
        <v>2854</v>
      </c>
      <c r="D2915" s="2" t="str">
        <f t="shared" si="44"/>
        <v>OK</v>
      </c>
    </row>
    <row r="2916" spans="1:4" x14ac:dyDescent="0.2">
      <c r="A2916" s="5">
        <v>2855</v>
      </c>
      <c r="B2916" s="138">
        <f>'Assets-Liab 5-6'!L34</f>
        <v>432398</v>
      </c>
      <c r="C2916" s="2" t="s">
        <v>594</v>
      </c>
      <c r="D2916" s="2" t="str">
        <f t="shared" si="44"/>
        <v>Error?</v>
      </c>
    </row>
    <row r="2917" spans="1:4" x14ac:dyDescent="0.2">
      <c r="A2917" s="5">
        <v>2856</v>
      </c>
      <c r="B2917" s="138">
        <f>'Assets-Liab 5-6'!L41</f>
        <v>432398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400739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3941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400739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3941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318154</v>
      </c>
      <c r="D3055" s="2" t="str">
        <f t="shared" si="46"/>
        <v>Error?</v>
      </c>
    </row>
    <row r="3056" spans="1:4" x14ac:dyDescent="0.2">
      <c r="A3056" s="5">
        <v>2995</v>
      </c>
      <c r="B3056" s="138">
        <f>'Expenditures 15-22'!D10</f>
        <v>95112</v>
      </c>
      <c r="D3056" s="2" t="str">
        <f t="shared" si="46"/>
        <v>Error?</v>
      </c>
    </row>
    <row r="3057" spans="1:4" x14ac:dyDescent="0.2">
      <c r="A3057" s="5">
        <v>2996</v>
      </c>
      <c r="B3057" s="138">
        <f>'Expenditures 15-22'!E10</f>
        <v>72268</v>
      </c>
      <c r="D3057" s="2" t="str">
        <f t="shared" si="46"/>
        <v>Error?</v>
      </c>
    </row>
    <row r="3058" spans="1:4" x14ac:dyDescent="0.2">
      <c r="A3058" s="5">
        <v>2997</v>
      </c>
      <c r="B3058" s="138">
        <f>'Expenditures 15-22'!F10</f>
        <v>148963</v>
      </c>
      <c r="D3058" s="2" t="str">
        <f t="shared" si="46"/>
        <v>Error?</v>
      </c>
    </row>
    <row r="3059" spans="1:4" x14ac:dyDescent="0.2">
      <c r="A3059" s="5">
        <v>2998</v>
      </c>
      <c r="B3059" s="138">
        <f>'Expenditures 15-22'!G10</f>
        <v>35687</v>
      </c>
      <c r="D3059" s="2" t="str">
        <f t="shared" si="46"/>
        <v>Error?</v>
      </c>
    </row>
    <row r="3060" spans="1:4" x14ac:dyDescent="0.2">
      <c r="A3060" s="5">
        <v>2999</v>
      </c>
      <c r="B3060" s="138">
        <f>'Expenditures 15-22'!H10</f>
        <v>2423</v>
      </c>
      <c r="D3060" s="2" t="str">
        <f t="shared" si="46"/>
        <v>Error?</v>
      </c>
    </row>
    <row r="3061" spans="1:4" x14ac:dyDescent="0.2">
      <c r="A3061" s="10">
        <v>3000</v>
      </c>
      <c r="D3061" s="2" t="str">
        <f t="shared" si="46"/>
        <v>OK</v>
      </c>
    </row>
    <row r="3062" spans="1:4" x14ac:dyDescent="0.2">
      <c r="A3062" s="5">
        <v>3001</v>
      </c>
      <c r="B3062" s="138">
        <f>'Expenditures 15-22'!K10</f>
        <v>672607</v>
      </c>
      <c r="C3062" s="2" t="s">
        <v>594</v>
      </c>
      <c r="D3062" s="2" t="str">
        <f t="shared" si="46"/>
        <v>Error?</v>
      </c>
    </row>
    <row r="3063" spans="1:4" x14ac:dyDescent="0.2">
      <c r="A3063" s="10">
        <v>3002</v>
      </c>
      <c r="D3063" s="2" t="str">
        <f t="shared" si="46"/>
        <v>OK</v>
      </c>
    </row>
    <row r="3064" spans="1:4" x14ac:dyDescent="0.2">
      <c r="A3064" s="5">
        <v>3003</v>
      </c>
      <c r="B3064" s="138">
        <f>'Expenditures 15-22'!D219</f>
        <v>26611</v>
      </c>
      <c r="D3064" s="2" t="str">
        <f t="shared" si="46"/>
        <v>Error?</v>
      </c>
    </row>
    <row r="3065" spans="1:4" x14ac:dyDescent="0.2">
      <c r="A3065" s="5">
        <v>3004</v>
      </c>
      <c r="B3065" s="138">
        <f>'Expenditures 15-22'!K219</f>
        <v>26611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231496</v>
      </c>
      <c r="C3225" s="2" t="s">
        <v>594</v>
      </c>
      <c r="D3225" s="2" t="str">
        <f t="shared" si="49"/>
        <v>Error?</v>
      </c>
    </row>
    <row r="3226" spans="1:4" x14ac:dyDescent="0.2">
      <c r="A3226" s="5">
        <v>3165</v>
      </c>
      <c r="B3226" s="138">
        <f>'Acct Summary 7-8'!I8</f>
        <v>231496</v>
      </c>
      <c r="C3226" s="2" t="s">
        <v>594</v>
      </c>
      <c r="D3226" s="2" t="str">
        <f t="shared" si="49"/>
        <v>Error?</v>
      </c>
    </row>
    <row r="3227" spans="1:4" x14ac:dyDescent="0.2">
      <c r="A3227" s="5">
        <v>3166</v>
      </c>
      <c r="B3227" s="138">
        <f>'Acct Summary 7-8'!I20</f>
        <v>231496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209000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209000</v>
      </c>
      <c r="C3232" s="2" t="s">
        <v>594</v>
      </c>
      <c r="D3232" s="2" t="str">
        <f t="shared" si="49"/>
        <v>Error?</v>
      </c>
    </row>
    <row r="3233" spans="1:4" x14ac:dyDescent="0.2">
      <c r="A3233" s="5">
        <v>3172</v>
      </c>
      <c r="B3233" s="138">
        <f>'Acct Summary 7-8'!C78</f>
        <v>543866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220832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103479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25429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-514379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463750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209000</v>
      </c>
      <c r="C3318" s="2" t="s">
        <v>594</v>
      </c>
      <c r="D3318" s="2" t="str">
        <f t="shared" si="50"/>
        <v>Error?</v>
      </c>
    </row>
    <row r="3319" spans="1:4" x14ac:dyDescent="0.2">
      <c r="A3319" s="5">
        <v>3258</v>
      </c>
      <c r="B3319" s="138">
        <f>'Acct Summary 7-8'!I77</f>
        <v>-209000</v>
      </c>
      <c r="C3319" s="2" t="s">
        <v>594</v>
      </c>
      <c r="D3319" s="2" t="str">
        <f t="shared" si="50"/>
        <v>Error?</v>
      </c>
    </row>
    <row r="3320" spans="1:4" x14ac:dyDescent="0.2">
      <c r="A3320" s="5">
        <v>3259</v>
      </c>
      <c r="B3320" s="138">
        <f>'Acct Summary 7-8'!I78</f>
        <v>22496</v>
      </c>
      <c r="C3320" s="2" t="s">
        <v>594</v>
      </c>
      <c r="D3320" s="2" t="str">
        <f t="shared" si="50"/>
        <v>Error?</v>
      </c>
    </row>
    <row r="3321" spans="1:4" x14ac:dyDescent="0.2">
      <c r="A3321" s="5">
        <v>3260</v>
      </c>
      <c r="B3321" s="138">
        <f>'Acct Summary 7-8'!I79</f>
        <v>1994279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2016775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840103</v>
      </c>
      <c r="D3366" s="2" t="str">
        <f t="shared" si="51"/>
        <v>Error?</v>
      </c>
    </row>
    <row r="3367" spans="1:4" x14ac:dyDescent="0.2">
      <c r="A3367" s="5">
        <v>3306</v>
      </c>
      <c r="B3367" s="138">
        <f>'Expenditures 15-22'!C19</f>
        <v>45464</v>
      </c>
      <c r="D3367" s="2" t="str">
        <f t="shared" si="51"/>
        <v>Error?</v>
      </c>
    </row>
    <row r="3368" spans="1:4" x14ac:dyDescent="0.2">
      <c r="A3368" s="5">
        <v>3307</v>
      </c>
      <c r="B3368" s="138">
        <f>'Expenditures 15-22'!D8</f>
        <v>206870</v>
      </c>
      <c r="D3368" s="2" t="str">
        <f t="shared" si="51"/>
        <v>Error?</v>
      </c>
    </row>
    <row r="3369" spans="1:4" x14ac:dyDescent="0.2">
      <c r="A3369" s="5">
        <v>3308</v>
      </c>
      <c r="B3369" s="138">
        <f>'Expenditures 15-22'!D19</f>
        <v>8062</v>
      </c>
      <c r="D3369" s="2" t="str">
        <f t="shared" si="51"/>
        <v>Error?</v>
      </c>
    </row>
    <row r="3370" spans="1:4" x14ac:dyDescent="0.2">
      <c r="A3370" s="5">
        <v>3309</v>
      </c>
      <c r="B3370" s="138">
        <f>'Expenditures 15-22'!E8</f>
        <v>84556</v>
      </c>
      <c r="D3370" s="2" t="str">
        <f t="shared" si="51"/>
        <v>Error?</v>
      </c>
    </row>
    <row r="3371" spans="1:4" x14ac:dyDescent="0.2">
      <c r="A3371" s="5">
        <v>3310</v>
      </c>
      <c r="B3371" s="138">
        <f>'Expenditures 15-22'!E19</f>
        <v>1445</v>
      </c>
      <c r="D3371" s="2" t="str">
        <f t="shared" si="51"/>
        <v>Error?</v>
      </c>
    </row>
    <row r="3372" spans="1:4" x14ac:dyDescent="0.2">
      <c r="A3372" s="5">
        <v>3311</v>
      </c>
      <c r="B3372" s="138">
        <f>'Expenditures 15-22'!F8</f>
        <v>6736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557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6420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1138822</v>
      </c>
      <c r="C3380" s="2" t="s">
        <v>594</v>
      </c>
      <c r="D3380" s="2" t="str">
        <f t="shared" si="51"/>
        <v>Error?</v>
      </c>
    </row>
    <row r="3381" spans="1:4" x14ac:dyDescent="0.2">
      <c r="A3381" s="5">
        <v>3320</v>
      </c>
      <c r="B3381" s="138">
        <f>'Expenditures 15-22'!K19</f>
        <v>61391</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72290</v>
      </c>
      <c r="D3387" s="2" t="str">
        <f t="shared" si="51"/>
        <v>Error?</v>
      </c>
    </row>
    <row r="3388" spans="1:4" x14ac:dyDescent="0.2">
      <c r="A3388" s="5">
        <v>3327</v>
      </c>
      <c r="B3388" s="138">
        <f>'Expenditures 15-22'!D217</f>
        <v>27020</v>
      </c>
      <c r="D3388" s="2" t="str">
        <f t="shared" si="51"/>
        <v>Error?</v>
      </c>
    </row>
    <row r="3389" spans="1:4" x14ac:dyDescent="0.2">
      <c r="A3389" s="5">
        <v>3328</v>
      </c>
      <c r="B3389" s="138">
        <f>'Expenditures 15-22'!D228</f>
        <v>10194</v>
      </c>
      <c r="D3389" s="2" t="str">
        <f t="shared" si="51"/>
        <v>Error?</v>
      </c>
    </row>
    <row r="3390" spans="1:4" x14ac:dyDescent="0.2">
      <c r="A3390" s="5">
        <v>3329</v>
      </c>
      <c r="B3390" s="138">
        <f>'Expenditures 15-22'!K215</f>
        <v>72290</v>
      </c>
      <c r="C3390" s="2" t="s">
        <v>594</v>
      </c>
      <c r="D3390" s="2" t="str">
        <f t="shared" si="51"/>
        <v>Error?</v>
      </c>
    </row>
    <row r="3391" spans="1:4" x14ac:dyDescent="0.2">
      <c r="A3391" s="5">
        <v>3330</v>
      </c>
      <c r="B3391" s="138">
        <f>'Expenditures 15-22'!K217</f>
        <v>27020</v>
      </c>
      <c r="C3391" s="2" t="s">
        <v>594</v>
      </c>
      <c r="D3391" s="2" t="str">
        <f t="shared" ref="D3391:D3454" si="52">IF(ISBLANK(B3391),"OK",IF(A3391-B3391=0,"OK","Error?"))</f>
        <v>Error?</v>
      </c>
    </row>
    <row r="3392" spans="1:4" x14ac:dyDescent="0.2">
      <c r="A3392" s="5">
        <v>3331</v>
      </c>
      <c r="B3392" s="138">
        <f>'Expenditures 15-22'!K228</f>
        <v>10194</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3064417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1229521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1215553</v>
      </c>
      <c r="D3417" s="2" t="str">
        <f t="shared" si="52"/>
        <v>Error?</v>
      </c>
    </row>
    <row r="3418" spans="1:4" x14ac:dyDescent="0.2">
      <c r="A3418" s="10">
        <v>3357</v>
      </c>
      <c r="D3418" s="2" t="str">
        <f t="shared" si="52"/>
        <v>OK</v>
      </c>
    </row>
    <row r="3419" spans="1:4" x14ac:dyDescent="0.2">
      <c r="A3419" s="5">
        <v>3358</v>
      </c>
      <c r="B3419" s="138">
        <f>'Assets-Liab 5-6'!F4</f>
        <v>1148818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477826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486831</v>
      </c>
      <c r="D3425" s="2" t="str">
        <f t="shared" si="52"/>
        <v>Error?</v>
      </c>
    </row>
    <row r="3426" spans="1:4" x14ac:dyDescent="0.2">
      <c r="A3426" s="10">
        <v>3365</v>
      </c>
      <c r="D3426" s="2" t="str">
        <f t="shared" si="52"/>
        <v>OK</v>
      </c>
    </row>
    <row r="3427" spans="1:4" x14ac:dyDescent="0.2">
      <c r="A3427" s="5">
        <v>3366</v>
      </c>
      <c r="B3427" s="138">
        <f>'Assets-Liab 5-6'!I4</f>
        <v>2016775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432398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232804</v>
      </c>
      <c r="C3446" s="2" t="s">
        <v>594</v>
      </c>
      <c r="D3446" s="2" t="str">
        <f t="shared" si="52"/>
        <v>Error?</v>
      </c>
    </row>
    <row r="3447" spans="1:4" x14ac:dyDescent="0.2">
      <c r="A3447" s="5">
        <v>3386</v>
      </c>
      <c r="B3447" s="138">
        <f>'Tax Sched 23'!D16</f>
        <v>232804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233116</v>
      </c>
      <c r="C3449" s="2" t="s">
        <v>594</v>
      </c>
      <c r="D3449" s="2" t="str">
        <f t="shared" si="52"/>
        <v>Error?</v>
      </c>
    </row>
    <row r="3450" spans="1:4" x14ac:dyDescent="0.2">
      <c r="A3450" s="5">
        <v>3389</v>
      </c>
      <c r="B3450" s="138">
        <f>'Tax Sched 23'!E16</f>
        <v>233116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202937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202937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202937</v>
      </c>
      <c r="D3567" s="2" t="str">
        <f t="shared" si="54"/>
        <v>Error?</v>
      </c>
    </row>
    <row r="3568" spans="1:4" x14ac:dyDescent="0.2">
      <c r="A3568" s="5">
        <v>3507</v>
      </c>
      <c r="B3568" s="138">
        <f>'Assets-Liab 5-6'!K41</f>
        <v>202937</v>
      </c>
      <c r="C3568" s="2" t="s">
        <v>594</v>
      </c>
      <c r="D3568" s="2" t="str">
        <f t="shared" si="54"/>
        <v>Error?</v>
      </c>
    </row>
    <row r="3569" spans="1:4" x14ac:dyDescent="0.2">
      <c r="A3569" s="5">
        <v>3508</v>
      </c>
      <c r="B3569" s="138">
        <f>'Acct Summary 7-8'!K4</f>
        <v>157283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157283</v>
      </c>
      <c r="C3571" s="2" t="s">
        <v>594</v>
      </c>
      <c r="D3571" s="2" t="str">
        <f t="shared" si="54"/>
        <v>Error?</v>
      </c>
    </row>
    <row r="3572" spans="1:4" x14ac:dyDescent="0.2">
      <c r="A3572" s="5">
        <v>3511</v>
      </c>
      <c r="B3572" s="138">
        <f>'Acct Summary 7-8'!K13</f>
        <v>230938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230938</v>
      </c>
      <c r="C3575" s="2" t="s">
        <v>594</v>
      </c>
      <c r="D3575" s="2" t="str">
        <f t="shared" si="54"/>
        <v>Error?</v>
      </c>
    </row>
    <row r="3576" spans="1:4" x14ac:dyDescent="0.2">
      <c r="A3576" s="5">
        <v>3515</v>
      </c>
      <c r="B3576" s="138">
        <f>'Acct Summary 7-8'!K20</f>
        <v>-73655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-73655</v>
      </c>
      <c r="C3588" s="2" t="s">
        <v>594</v>
      </c>
      <c r="D3588" s="2" t="str">
        <f t="shared" si="55"/>
        <v>Error?</v>
      </c>
    </row>
    <row r="3589" spans="1:4" x14ac:dyDescent="0.2">
      <c r="A3589" s="5">
        <v>3528</v>
      </c>
      <c r="B3589" s="138">
        <f>'Acct Summary 7-8'!K79</f>
        <v>276592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202937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230938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230938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230938</v>
      </c>
      <c r="C3635" s="2" t="s">
        <v>594</v>
      </c>
      <c r="D3635" s="2" t="str">
        <f t="shared" si="55"/>
        <v>Error?</v>
      </c>
    </row>
    <row r="3636" spans="1:4" x14ac:dyDescent="0.2">
      <c r="A3636" s="5">
        <v>3575</v>
      </c>
      <c r="B3636" s="138">
        <f>'Expenditures 15-22'!E367</f>
        <v>230938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230938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230938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230938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230938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-73655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192263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736881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12735280</v>
      </c>
      <c r="C4122" s="2" t="s">
        <v>594</v>
      </c>
      <c r="D4122" s="2" t="str">
        <f t="shared" si="63"/>
        <v>Error?</v>
      </c>
    </row>
    <row r="4123" spans="1:4" x14ac:dyDescent="0.2">
      <c r="A4123" s="5">
        <v>4062</v>
      </c>
      <c r="B4123" s="138">
        <f>'Acct Summary 7-8'!D10</f>
        <v>1479621</v>
      </c>
      <c r="C4123" s="2" t="s">
        <v>594</v>
      </c>
      <c r="D4123" s="2" t="str">
        <f t="shared" si="63"/>
        <v>Error?</v>
      </c>
    </row>
    <row r="4124" spans="1:4" x14ac:dyDescent="0.2">
      <c r="A4124" s="5">
        <v>4063</v>
      </c>
      <c r="B4124" s="138">
        <f>'Acct Summary 7-8'!E10</f>
        <v>1601036</v>
      </c>
      <c r="C4124" s="2" t="s">
        <v>594</v>
      </c>
      <c r="D4124" s="2" t="str">
        <f t="shared" si="63"/>
        <v>Error?</v>
      </c>
    </row>
    <row r="4125" spans="1:4" x14ac:dyDescent="0.2">
      <c r="A4125" s="5">
        <v>4064</v>
      </c>
      <c r="B4125" s="138">
        <f>'Acct Summary 7-8'!F10</f>
        <v>840521</v>
      </c>
      <c r="C4125" s="2" t="s">
        <v>594</v>
      </c>
      <c r="D4125" s="2" t="str">
        <f t="shared" si="63"/>
        <v>Error?</v>
      </c>
    </row>
    <row r="4126" spans="1:4" x14ac:dyDescent="0.2">
      <c r="A4126" s="5">
        <v>4065</v>
      </c>
      <c r="B4126" s="138">
        <f>'Acct Summary 7-8'!G10</f>
        <v>497092</v>
      </c>
      <c r="C4126" s="2" t="s">
        <v>594</v>
      </c>
      <c r="D4126" s="2" t="str">
        <f t="shared" si="63"/>
        <v>Error?</v>
      </c>
    </row>
    <row r="4127" spans="1:4" x14ac:dyDescent="0.2">
      <c r="A4127" s="5">
        <v>4066</v>
      </c>
      <c r="B4127" s="138">
        <f>'Acct Summary 7-8'!H10</f>
        <v>526260</v>
      </c>
      <c r="C4127" s="2" t="s">
        <v>594</v>
      </c>
      <c r="D4127" s="2" t="str">
        <f t="shared" si="63"/>
        <v>Error?</v>
      </c>
    </row>
    <row r="4128" spans="1:4" x14ac:dyDescent="0.2">
      <c r="A4128" s="5">
        <v>4067</v>
      </c>
      <c r="B4128" s="138">
        <f>'Acct Summary 7-8'!I10</f>
        <v>231496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157283</v>
      </c>
      <c r="C4130" s="2" t="s">
        <v>594</v>
      </c>
      <c r="D4130" s="2" t="str">
        <f t="shared" si="63"/>
        <v>Error?</v>
      </c>
    </row>
    <row r="4131" spans="1:4" x14ac:dyDescent="0.2">
      <c r="A4131" s="5">
        <v>4070</v>
      </c>
      <c r="B4131" s="138">
        <f>'Acct Summary 7-8'!C18</f>
        <v>736881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12400414</v>
      </c>
      <c r="C4136" s="2" t="s">
        <v>594</v>
      </c>
      <c r="D4136" s="2" t="str">
        <f t="shared" si="63"/>
        <v>Error?</v>
      </c>
    </row>
    <row r="4137" spans="1:4" x14ac:dyDescent="0.2">
      <c r="A4137" s="5">
        <v>4076</v>
      </c>
      <c r="B4137" s="138">
        <f>'Acct Summary 7-8'!D19</f>
        <v>1258789</v>
      </c>
      <c r="C4137" s="2" t="s">
        <v>594</v>
      </c>
      <c r="D4137" s="2" t="str">
        <f t="shared" si="63"/>
        <v>Error?</v>
      </c>
    </row>
    <row r="4138" spans="1:4" x14ac:dyDescent="0.2">
      <c r="A4138" s="5">
        <v>4077</v>
      </c>
      <c r="B4138" s="138">
        <f>'Acct Summary 7-8'!E19</f>
        <v>2115415</v>
      </c>
      <c r="C4138" s="2" t="s">
        <v>594</v>
      </c>
      <c r="D4138" s="2" t="str">
        <f t="shared" si="63"/>
        <v>Error?</v>
      </c>
    </row>
    <row r="4139" spans="1:4" x14ac:dyDescent="0.2">
      <c r="A4139" s="5">
        <v>4078</v>
      </c>
      <c r="B4139" s="138">
        <f>'Acct Summary 7-8'!F19</f>
        <v>737042</v>
      </c>
      <c r="C4139" s="2" t="s">
        <v>594</v>
      </c>
      <c r="D4139" s="2" t="str">
        <f t="shared" si="63"/>
        <v>Error?</v>
      </c>
    </row>
    <row r="4140" spans="1:4" x14ac:dyDescent="0.2">
      <c r="A4140" s="5">
        <v>4079</v>
      </c>
      <c r="B4140" s="138">
        <f>'Acct Summary 7-8'!G19</f>
        <v>471663</v>
      </c>
      <c r="C4140" s="2" t="s">
        <v>594</v>
      </c>
      <c r="D4140" s="2" t="str">
        <f t="shared" si="63"/>
        <v>Error?</v>
      </c>
    </row>
    <row r="4141" spans="1:4" x14ac:dyDescent="0.2">
      <c r="A4141" s="5">
        <v>4080</v>
      </c>
      <c r="B4141" s="138">
        <f>'Acct Summary 7-8'!H19</f>
        <v>62510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230938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2422525</v>
      </c>
      <c r="C4171" s="2" t="s">
        <v>594</v>
      </c>
      <c r="D4171" s="2" t="str">
        <f t="shared" si="64"/>
        <v>Error?</v>
      </c>
    </row>
    <row r="4172" spans="1:4" x14ac:dyDescent="0.2">
      <c r="A4172" s="5">
        <v>4111</v>
      </c>
      <c r="B4172" s="138">
        <f>'Short-Term Long-Term Debt 24'!J49</f>
        <v>1206972</v>
      </c>
      <c r="C4172" s="2" t="s">
        <v>594</v>
      </c>
      <c r="D4172" s="2" t="str">
        <f t="shared" si="64"/>
        <v>Error?</v>
      </c>
    </row>
    <row r="4173" spans="1:4" x14ac:dyDescent="0.2">
      <c r="A4173" s="5">
        <v>4112</v>
      </c>
      <c r="B4173" s="138">
        <f>'Short-Term Long-Term Debt 24'!H49</f>
        <v>1747187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1559.03</v>
      </c>
      <c r="C4265" s="2" t="s">
        <v>594</v>
      </c>
      <c r="D4265" s="2" t="str">
        <f t="shared" si="65"/>
        <v>Error?</v>
      </c>
      <c r="E4265" s="128"/>
    </row>
    <row r="4266" spans="1:5" x14ac:dyDescent="0.2">
      <c r="A4266" s="12">
        <v>4205</v>
      </c>
      <c r="B4266" s="138">
        <f>('FP Info 3'!F10)*100000</f>
        <v>309.24</v>
      </c>
      <c r="C4266" s="2" t="s">
        <v>594</v>
      </c>
      <c r="D4266" s="2" t="str">
        <f t="shared" si="65"/>
        <v>Error?</v>
      </c>
      <c r="E4266" s="128"/>
    </row>
    <row r="4267" spans="1:5" x14ac:dyDescent="0.2">
      <c r="A4267" s="12">
        <v>4206</v>
      </c>
      <c r="B4267" s="138">
        <f>('FP Info 3'!H10)*100000</f>
        <v>119.00999999999999</v>
      </c>
      <c r="C4267" s="2" t="s">
        <v>594</v>
      </c>
      <c r="D4267" s="2" t="str">
        <f t="shared" si="65"/>
        <v>Error?</v>
      </c>
      <c r="E4267" s="128"/>
    </row>
    <row r="4268" spans="1:5" x14ac:dyDescent="0.2">
      <c r="A4268" s="12">
        <v>4207</v>
      </c>
      <c r="B4268" s="138">
        <f>('FP Info 3'!J10)*100000</f>
        <v>1986.9999999999998</v>
      </c>
      <c r="C4268" s="2" t="s">
        <v>594</v>
      </c>
      <c r="D4268" s="2" t="str">
        <f t="shared" si="65"/>
        <v>Error?</v>
      </c>
    </row>
    <row r="4269" spans="1:5" x14ac:dyDescent="0.2">
      <c r="A4269" s="12">
        <v>4208</v>
      </c>
      <c r="B4269" s="138">
        <f>'FP Info 3'!J16</f>
        <v>7480363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17569</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30558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31313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27036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23737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3579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481048410</v>
      </c>
      <c r="D4995" s="2" t="str">
        <f t="shared" si="77"/>
        <v>Error?</v>
      </c>
    </row>
    <row r="4996" spans="1:4" x14ac:dyDescent="0.2">
      <c r="A4996" s="12">
        <v>4935</v>
      </c>
      <c r="B4996" s="138">
        <f>'FP Info 3'!H31</f>
        <v>33192340.290000003</v>
      </c>
      <c r="D4996" s="2" t="str">
        <f t="shared" si="77"/>
        <v>Error?</v>
      </c>
    </row>
    <row r="4997" spans="1:4" x14ac:dyDescent="0.2">
      <c r="A4997" s="12">
        <v>4936</v>
      </c>
      <c r="B4997" s="138">
        <f>'FP Info 3'!H37</f>
        <v>2422525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7233263</v>
      </c>
      <c r="D5061" s="2" t="str">
        <f t="shared" si="78"/>
        <v>Error?</v>
      </c>
    </row>
    <row r="5062" spans="1:4" x14ac:dyDescent="0.2">
      <c r="A5062" s="10">
        <v>5001</v>
      </c>
      <c r="D5062" s="2" t="str">
        <f t="shared" si="78"/>
        <v>OK</v>
      </c>
    </row>
    <row r="5063" spans="1:4" x14ac:dyDescent="0.2">
      <c r="A5063" s="5">
        <v>5002</v>
      </c>
      <c r="B5063" s="138">
        <f>'Revenues 9-14'!C7</f>
        <v>97368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7330631</v>
      </c>
      <c r="C5066" s="2" t="s">
        <v>594</v>
      </c>
      <c r="D5066" s="2" t="str">
        <f t="shared" si="78"/>
        <v>Error?</v>
      </c>
    </row>
    <row r="5067" spans="1:4" x14ac:dyDescent="0.2">
      <c r="A5067" s="5">
        <v>5006</v>
      </c>
      <c r="B5067" s="138">
        <f>'Revenues 9-14'!C14</f>
        <v>16807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647656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664463</v>
      </c>
      <c r="C5071" s="2" t="s">
        <v>594</v>
      </c>
      <c r="D5071" s="2" t="str">
        <f t="shared" si="78"/>
        <v>Error?</v>
      </c>
    </row>
    <row r="5072" spans="1:4" x14ac:dyDescent="0.2">
      <c r="A5072" s="5">
        <v>5011</v>
      </c>
      <c r="B5072" s="138">
        <f>'Revenues 9-14'!C20</f>
        <v>21292</v>
      </c>
      <c r="D5072" s="2" t="str">
        <f t="shared" si="78"/>
        <v>Error?</v>
      </c>
    </row>
    <row r="5073" spans="1:4" x14ac:dyDescent="0.2">
      <c r="A5073" s="5">
        <v>5012</v>
      </c>
      <c r="B5073" s="138">
        <f>'Revenues 9-14'!C21</f>
        <v>189592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213787</v>
      </c>
      <c r="C5087" s="2" t="s">
        <v>594</v>
      </c>
      <c r="D5087" s="2" t="str">
        <f t="shared" si="78"/>
        <v>Error?</v>
      </c>
    </row>
    <row r="5088" spans="1:4" x14ac:dyDescent="0.2">
      <c r="A5088" s="5">
        <v>5027</v>
      </c>
      <c r="B5088" s="138">
        <f>'Revenues 9-14'!C65</f>
        <v>20531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20531</v>
      </c>
      <c r="C5090" s="2" t="s">
        <v>594</v>
      </c>
      <c r="D5090" s="2" t="str">
        <f t="shared" si="78"/>
        <v>Error?</v>
      </c>
    </row>
    <row r="5091" spans="1:4" x14ac:dyDescent="0.2">
      <c r="A5091" s="5">
        <v>5030</v>
      </c>
      <c r="B5091" s="138">
        <f>'Revenues 9-14'!C70</f>
        <v>13036</v>
      </c>
      <c r="D5091" s="2" t="str">
        <f t="shared" si="78"/>
        <v>Error?</v>
      </c>
    </row>
    <row r="5092" spans="1:4" x14ac:dyDescent="0.2">
      <c r="A5092" s="5">
        <v>5031</v>
      </c>
      <c r="B5092" s="138">
        <f>'Revenues 9-14'!C71</f>
        <v>2063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8965</v>
      </c>
      <c r="D5094" s="2" t="str">
        <f t="shared" si="78"/>
        <v>Error?</v>
      </c>
    </row>
    <row r="5095" spans="1:4" x14ac:dyDescent="0.2">
      <c r="A5095" s="5">
        <v>5034</v>
      </c>
      <c r="B5095" s="138">
        <f>'Revenues 9-14'!C74</f>
        <v>2686</v>
      </c>
      <c r="D5095" s="2" t="str">
        <f t="shared" si="78"/>
        <v>Error?</v>
      </c>
    </row>
    <row r="5096" spans="1:4" x14ac:dyDescent="0.2">
      <c r="A5096" s="5">
        <v>5035</v>
      </c>
      <c r="B5096" s="138">
        <f>'Revenues 9-14'!C75</f>
        <v>117012</v>
      </c>
      <c r="C5096" s="2" t="s">
        <v>594</v>
      </c>
      <c r="D5096" s="2" t="str">
        <f t="shared" si="78"/>
        <v>Error?</v>
      </c>
    </row>
    <row r="5097" spans="1:4" x14ac:dyDescent="0.2">
      <c r="A5097" s="5">
        <v>5036</v>
      </c>
      <c r="B5097" s="138">
        <f>'Revenues 9-14'!C77</f>
        <v>25114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2155</v>
      </c>
      <c r="D5099" s="2" t="str">
        <f t="shared" si="78"/>
        <v>Error?</v>
      </c>
    </row>
    <row r="5100" spans="1:4" x14ac:dyDescent="0.2">
      <c r="A5100" s="5">
        <v>5039</v>
      </c>
      <c r="B5100" s="138">
        <f>'Revenues 9-14'!C80</f>
        <v>2091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29360</v>
      </c>
      <c r="C5102" s="2" t="s">
        <v>594</v>
      </c>
      <c r="D5102" s="2" t="str">
        <f t="shared" si="78"/>
        <v>Error?</v>
      </c>
    </row>
    <row r="5103" spans="1:4" x14ac:dyDescent="0.2">
      <c r="A5103" s="5">
        <v>5042</v>
      </c>
      <c r="B5103" s="138">
        <f>'Revenues 9-14'!C84</f>
        <v>130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130</v>
      </c>
      <c r="C5112" s="2" t="s">
        <v>594</v>
      </c>
      <c r="D5112" s="2" t="str">
        <f t="shared" si="78"/>
        <v>Error?</v>
      </c>
    </row>
    <row r="5113" spans="1:4" x14ac:dyDescent="0.2">
      <c r="A5113" s="5">
        <v>5052</v>
      </c>
      <c r="B5113" s="138">
        <f>'Revenues 9-14'!C95</f>
        <v>6780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41016</v>
      </c>
      <c r="D5119" s="2" t="str">
        <f t="shared" ref="D5119:D5182" si="79">IF(ISBLANK(B5119),"OK",IF(A5119-B5119=0,"OK","Error?"))</f>
        <v>Error?</v>
      </c>
    </row>
    <row r="5120" spans="1:4" x14ac:dyDescent="0.2">
      <c r="A5120" s="5">
        <v>5059</v>
      </c>
      <c r="B5120" s="138">
        <f>'Revenues 9-14'!C108</f>
        <v>51356</v>
      </c>
      <c r="C5120" s="2" t="s">
        <v>594</v>
      </c>
      <c r="D5120" s="2" t="str">
        <f t="shared" si="79"/>
        <v>Error?</v>
      </c>
    </row>
    <row r="5121" spans="1:4" x14ac:dyDescent="0.2">
      <c r="A5121" s="5">
        <v>5060</v>
      </c>
      <c r="B5121" s="138">
        <f>'Revenues 9-14'!C109</f>
        <v>8427270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1494114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1494114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67801</v>
      </c>
      <c r="D5134" s="2" t="str">
        <f t="shared" si="79"/>
        <v>Error?</v>
      </c>
    </row>
    <row r="5135" spans="1:4" x14ac:dyDescent="0.2">
      <c r="A5135" s="5">
        <v>5074</v>
      </c>
      <c r="B5135" s="138">
        <f>'Revenues 9-14'!C126</f>
        <v>70333</v>
      </c>
      <c r="D5135" s="2" t="str">
        <f t="shared" si="79"/>
        <v>Error?</v>
      </c>
    </row>
    <row r="5136" spans="1:4" x14ac:dyDescent="0.2">
      <c r="A5136" s="10">
        <v>5075</v>
      </c>
      <c r="D5136" s="2" t="str">
        <f t="shared" si="79"/>
        <v>OK</v>
      </c>
    </row>
    <row r="5137" spans="1:4" x14ac:dyDescent="0.2">
      <c r="A5137" s="5">
        <v>5076</v>
      </c>
      <c r="B5137" s="138">
        <f>'Revenues 9-14'!C127</f>
        <v>18696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174399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10555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24379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4634</v>
      </c>
      <c r="D5167" s="2" t="str">
        <f t="shared" si="79"/>
        <v>Error?</v>
      </c>
    </row>
    <row r="5168" spans="1:4" x14ac:dyDescent="0.2">
      <c r="A5168" s="5">
        <v>5107</v>
      </c>
      <c r="B5168" s="138">
        <f>'Revenues 9-14'!C147</f>
        <v>36779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310812</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103298</v>
      </c>
      <c r="D5194" s="2" t="str">
        <f t="shared" si="80"/>
        <v>Error?</v>
      </c>
    </row>
    <row r="5195" spans="1:4" x14ac:dyDescent="0.2">
      <c r="A5195" s="10">
        <v>5134</v>
      </c>
      <c r="D5195" s="2" t="str">
        <f t="shared" si="80"/>
        <v>OK</v>
      </c>
    </row>
    <row r="5196" spans="1:4" x14ac:dyDescent="0.2">
      <c r="A5196" s="5">
        <v>5135</v>
      </c>
      <c r="B5196" s="138">
        <f>'Revenues 9-14'!C158</f>
        <v>235774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913812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2407926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250084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100510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350594</v>
      </c>
      <c r="C5246" s="2" t="s">
        <v>594</v>
      </c>
      <c r="D5246" s="2" t="str">
        <f t="shared" si="80"/>
        <v>Error?</v>
      </c>
    </row>
    <row r="5247" spans="1:4" x14ac:dyDescent="0.2">
      <c r="A5247" s="5">
        <v>5186</v>
      </c>
      <c r="B5247" s="138">
        <f>'Revenues 9-14'!C203</f>
        <v>591083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591083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66500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66500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62540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1163203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1163203</v>
      </c>
      <c r="C5326" s="2" t="s">
        <v>594</v>
      </c>
      <c r="D5326" s="2" t="str">
        <f t="shared" si="82"/>
        <v>Error?</v>
      </c>
    </row>
    <row r="5327" spans="1:4" x14ac:dyDescent="0.2">
      <c r="A5327" s="5">
        <v>5266</v>
      </c>
      <c r="B5327" s="138">
        <f>'Revenues 9-14'!C275</f>
        <v>11998399</v>
      </c>
      <c r="C5327" s="2" t="s">
        <v>594</v>
      </c>
      <c r="D5327" s="2" t="str">
        <f t="shared" si="82"/>
        <v>Error?</v>
      </c>
    </row>
    <row r="5328" spans="1:4" x14ac:dyDescent="0.2">
      <c r="A5328" s="5">
        <v>5267</v>
      </c>
      <c r="B5328" s="138">
        <f>'Revenues 9-14'!D5</f>
        <v>1443787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1443787</v>
      </c>
      <c r="C5334" s="2" t="s">
        <v>594</v>
      </c>
      <c r="D5334" s="2" t="str">
        <f t="shared" si="82"/>
        <v>Error?</v>
      </c>
    </row>
    <row r="5335" spans="1:4" x14ac:dyDescent="0.2">
      <c r="A5335" s="5">
        <v>5274</v>
      </c>
      <c r="B5335" s="138">
        <f>'Revenues 9-14'!D14</f>
        <v>3310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3310</v>
      </c>
      <c r="C5339" s="2" t="s">
        <v>594</v>
      </c>
      <c r="D5339" s="2" t="str">
        <f t="shared" si="82"/>
        <v>Error?</v>
      </c>
    </row>
    <row r="5340" spans="1:4" x14ac:dyDescent="0.2">
      <c r="A5340" s="5">
        <v>5279</v>
      </c>
      <c r="B5340" s="138">
        <f>'Revenues 9-14'!D65</f>
        <v>6826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25498</v>
      </c>
      <c r="D5349" s="2" t="str">
        <f t="shared" si="82"/>
        <v>Error?</v>
      </c>
    </row>
    <row r="5350" spans="1:4" x14ac:dyDescent="0.2">
      <c r="A5350" s="5">
        <v>5289</v>
      </c>
      <c r="B5350" s="138">
        <f>'Revenues 9-14'!D96</f>
        <v>200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25698</v>
      </c>
      <c r="C5355" s="2" t="s">
        <v>594</v>
      </c>
      <c r="D5355" s="2" t="str">
        <f t="shared" si="82"/>
        <v>Error?</v>
      </c>
    </row>
    <row r="5356" spans="1:4" x14ac:dyDescent="0.2">
      <c r="A5356" s="5">
        <v>5295</v>
      </c>
      <c r="B5356" s="138">
        <f>'Revenues 9-14'!D109</f>
        <v>1479621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1479621</v>
      </c>
      <c r="C5508" s="2" t="s">
        <v>594</v>
      </c>
      <c r="D5508" s="2" t="str">
        <f t="shared" si="85"/>
        <v>Error?</v>
      </c>
    </row>
    <row r="5509" spans="1:4" x14ac:dyDescent="0.2">
      <c r="A5509" s="5">
        <v>5448</v>
      </c>
      <c r="B5509" s="138">
        <f>'Revenues 9-14'!E5</f>
        <v>1123395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1123395</v>
      </c>
      <c r="C5513" s="2" t="s">
        <v>594</v>
      </c>
      <c r="D5513" s="2" t="str">
        <f t="shared" si="85"/>
        <v>Error?</v>
      </c>
    </row>
    <row r="5514" spans="1:4" x14ac:dyDescent="0.2">
      <c r="A5514" s="5">
        <v>5453</v>
      </c>
      <c r="B5514" s="138">
        <f>'Revenues 9-14'!E14</f>
        <v>2580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2580</v>
      </c>
      <c r="C5518" s="2" t="s">
        <v>594</v>
      </c>
      <c r="D5518" s="2" t="str">
        <f t="shared" si="85"/>
        <v>Error?</v>
      </c>
    </row>
    <row r="5519" spans="1:4" x14ac:dyDescent="0.2">
      <c r="A5519" s="5">
        <v>5458</v>
      </c>
      <c r="B5519" s="138">
        <f>'Revenues 9-14'!E65</f>
        <v>7811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467250</v>
      </c>
      <c r="D5525" s="2" t="str">
        <f t="shared" si="85"/>
        <v>Error?</v>
      </c>
    </row>
    <row r="5526" spans="1:4" x14ac:dyDescent="0.2">
      <c r="A5526" s="5">
        <v>5465</v>
      </c>
      <c r="B5526" s="138">
        <f>'Revenues 9-14'!E108</f>
        <v>467250</v>
      </c>
      <c r="C5526" s="2" t="s">
        <v>594</v>
      </c>
      <c r="D5526" s="2" t="str">
        <f t="shared" si="85"/>
        <v>Error?</v>
      </c>
    </row>
    <row r="5527" spans="1:4" x14ac:dyDescent="0.2">
      <c r="A5527" s="5">
        <v>5466</v>
      </c>
      <c r="B5527" s="138">
        <f>'Revenues 9-14'!E109</f>
        <v>1601036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1601036</v>
      </c>
      <c r="C5552" s="2" t="s">
        <v>594</v>
      </c>
      <c r="D5552" s="2" t="str">
        <f t="shared" si="85"/>
        <v>Error?</v>
      </c>
    </row>
    <row r="5553" spans="1:4" x14ac:dyDescent="0.2">
      <c r="A5553" s="5">
        <v>5492</v>
      </c>
      <c r="B5553" s="138">
        <f>'Revenues 9-14'!F5</f>
        <v>520800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520800</v>
      </c>
      <c r="C5557" s="2" t="s">
        <v>594</v>
      </c>
      <c r="D5557" s="2" t="str">
        <f t="shared" si="85"/>
        <v>Error?</v>
      </c>
    </row>
    <row r="5558" spans="1:4" x14ac:dyDescent="0.2">
      <c r="A5558" s="5">
        <v>5497</v>
      </c>
      <c r="B5558" s="138">
        <f>'Revenues 9-14'!F14</f>
        <v>1194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1194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775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1250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2025</v>
      </c>
      <c r="C5579" s="2" t="s">
        <v>594</v>
      </c>
      <c r="D5579" s="2" t="str">
        <f t="shared" si="86"/>
        <v>Error?</v>
      </c>
    </row>
    <row r="5580" spans="1:4" x14ac:dyDescent="0.2">
      <c r="A5580" s="5">
        <v>5519</v>
      </c>
      <c r="B5580" s="138">
        <f>'Revenues 9-14'!F65</f>
        <v>6439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6439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530458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145417</v>
      </c>
      <c r="D5615" s="2" t="str">
        <f t="shared" si="86"/>
        <v>Error?</v>
      </c>
    </row>
    <row r="5616" spans="1:4" x14ac:dyDescent="0.2">
      <c r="A5616" s="10">
        <v>5555</v>
      </c>
      <c r="D5616" s="2" t="str">
        <f t="shared" si="86"/>
        <v>OK</v>
      </c>
    </row>
    <row r="5617" spans="1:4" x14ac:dyDescent="0.2">
      <c r="A5617" s="5">
        <v>5556</v>
      </c>
      <c r="B5617" s="138">
        <f>'Revenues 9-14'!F152</f>
        <v>164646</v>
      </c>
      <c r="D5617" s="2" t="str">
        <f t="shared" si="86"/>
        <v>Error?</v>
      </c>
    </row>
    <row r="5618" spans="1:4" x14ac:dyDescent="0.2">
      <c r="A5618" s="5">
        <v>5557</v>
      </c>
      <c r="B5618" s="138">
        <f>'Revenues 9-14'!F154</f>
        <v>310063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310063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310063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840521</v>
      </c>
      <c r="C5720" s="2" t="s">
        <v>594</v>
      </c>
      <c r="D5720" s="2" t="str">
        <f t="shared" si="88"/>
        <v>Error?</v>
      </c>
    </row>
    <row r="5721" spans="1:4" x14ac:dyDescent="0.2">
      <c r="A5721" s="5">
        <v>5660</v>
      </c>
      <c r="B5721" s="138">
        <f>'Revenues 9-14'!G5</f>
        <v>242335</v>
      </c>
      <c r="D5721" s="2" t="str">
        <f t="shared" si="88"/>
        <v>Error?</v>
      </c>
    </row>
    <row r="5722" spans="1:4" x14ac:dyDescent="0.2">
      <c r="A5722" s="5">
        <v>5661</v>
      </c>
      <c r="B5722" s="138">
        <f>'Revenues 9-14'!G7</f>
        <v>0</v>
      </c>
      <c r="D5722" s="2" t="str">
        <f t="shared" si="88"/>
        <v>Error?</v>
      </c>
    </row>
    <row r="5723" spans="1:4" x14ac:dyDescent="0.2">
      <c r="A5723" s="5">
        <v>5662</v>
      </c>
      <c r="B5723" s="138">
        <f>'Revenues 9-14'!G8</f>
        <v>232804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475139</v>
      </c>
      <c r="C5725" s="2" t="s">
        <v>594</v>
      </c>
      <c r="D5725" s="2" t="str">
        <f t="shared" si="88"/>
        <v>Error?</v>
      </c>
    </row>
    <row r="5726" spans="1:4" x14ac:dyDescent="0.2">
      <c r="A5726" s="5">
        <v>5665</v>
      </c>
      <c r="B5726" s="138">
        <f>'Revenues 9-14'!G14</f>
        <v>1089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19089</v>
      </c>
      <c r="C5730" s="2" t="s">
        <v>594</v>
      </c>
      <c r="D5730" s="2" t="str">
        <f t="shared" si="88"/>
        <v>Error?</v>
      </c>
    </row>
    <row r="5731" spans="1:4" x14ac:dyDescent="0.2">
      <c r="A5731" s="5">
        <v>5670</v>
      </c>
      <c r="B5731" s="138">
        <f>'Revenues 9-14'!G65</f>
        <v>2864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497092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738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525522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526260</v>
      </c>
      <c r="C5915" s="2" t="s">
        <v>594</v>
      </c>
      <c r="D5915" s="2" t="str">
        <f t="shared" si="91"/>
        <v>Error?</v>
      </c>
    </row>
    <row r="5916" spans="1:4" x14ac:dyDescent="0.2">
      <c r="A5916" s="5">
        <v>5855</v>
      </c>
      <c r="B5916" s="138">
        <f>'Revenues 9-14'!I5</f>
        <v>220010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220010</v>
      </c>
      <c r="C5918" s="2" t="s">
        <v>594</v>
      </c>
      <c r="D5918" s="2" t="str">
        <f t="shared" si="91"/>
        <v>Error?</v>
      </c>
    </row>
    <row r="5919" spans="1:4" x14ac:dyDescent="0.2">
      <c r="A5919" s="5">
        <v>5858</v>
      </c>
      <c r="B5919" s="138">
        <f>'Revenues 9-14'!I14</f>
        <v>504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504</v>
      </c>
      <c r="C5923" s="2" t="s">
        <v>594</v>
      </c>
      <c r="D5923" s="2" t="str">
        <f t="shared" si="91"/>
        <v>Error?</v>
      </c>
    </row>
    <row r="5924" spans="1:4" x14ac:dyDescent="0.2">
      <c r="A5924" s="5">
        <v>5863</v>
      </c>
      <c r="B5924" s="138">
        <f>'Revenues 9-14'!I65</f>
        <v>10982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231496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155821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155821</v>
      </c>
      <c r="C5987" s="2" t="s">
        <v>594</v>
      </c>
      <c r="D5987" s="2" t="str">
        <f t="shared" si="92"/>
        <v>Error?</v>
      </c>
    </row>
    <row r="5988" spans="1:4" x14ac:dyDescent="0.2">
      <c r="A5988" s="5">
        <v>5927</v>
      </c>
      <c r="B5988" s="138">
        <f>'Revenues 9-14'!K14</f>
        <v>357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357</v>
      </c>
      <c r="C5992" s="2" t="s">
        <v>594</v>
      </c>
      <c r="D5992" s="2" t="str">
        <f t="shared" si="92"/>
        <v>Error?</v>
      </c>
    </row>
    <row r="5993" spans="1:4" x14ac:dyDescent="0.2">
      <c r="A5993" s="5">
        <v>5932</v>
      </c>
      <c r="B5993" s="138">
        <f>'Revenues 9-14'!K65</f>
        <v>1105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1105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157283</v>
      </c>
      <c r="C6023" s="2" t="s">
        <v>594</v>
      </c>
      <c r="D6023" s="2" t="str">
        <f t="shared" si="93"/>
        <v>Error?</v>
      </c>
    </row>
    <row r="6024" spans="1:5" x14ac:dyDescent="0.2">
      <c r="A6024" s="5">
        <v>5963</v>
      </c>
      <c r="B6024" s="138">
        <f>'Revenues 9-14'!G109</f>
        <v>497092</v>
      </c>
      <c r="C6024" s="2" t="s">
        <v>594</v>
      </c>
      <c r="D6024" s="2" t="str">
        <f t="shared" si="93"/>
        <v>Error?</v>
      </c>
    </row>
    <row r="6025" spans="1:5" x14ac:dyDescent="0.2">
      <c r="A6025" s="5">
        <v>5964</v>
      </c>
      <c r="B6025" s="138">
        <f>'Revenues 9-14'!H109</f>
        <v>526260</v>
      </c>
      <c r="C6025" s="2" t="s">
        <v>594</v>
      </c>
      <c r="D6025" s="2" t="str">
        <f t="shared" si="93"/>
        <v>Error?</v>
      </c>
    </row>
    <row r="6026" spans="1:5" x14ac:dyDescent="0.2">
      <c r="A6026" s="5">
        <v>5965</v>
      </c>
      <c r="B6026" s="138">
        <f>'Revenues 9-14'!I109</f>
        <v>231496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157283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90262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69922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961.46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98589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-20822</v>
      </c>
      <c r="D6169" s="2" t="str">
        <f t="shared" si="95"/>
        <v>Error?</v>
      </c>
      <c r="E6169" s="2" t="s">
        <v>199</v>
      </c>
    </row>
    <row r="6170" spans="1:5" x14ac:dyDescent="0.2">
      <c r="A6170">
        <v>6109</v>
      </c>
      <c r="B6170" s="138">
        <f>'Assets-Liab 5-6'!D30</f>
        <v>-10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98589</v>
      </c>
      <c r="D6215" s="2" t="str">
        <f t="shared" si="96"/>
        <v>Error?</v>
      </c>
      <c r="E6215" s="2" t="s">
        <v>199</v>
      </c>
    </row>
    <row r="6216" spans="1:5" x14ac:dyDescent="0.2">
      <c r="A6216">
        <v>6155</v>
      </c>
      <c r="B6216" s="138">
        <f>'Assets-Liab 5-6'!J41</f>
        <v>98589</v>
      </c>
      <c r="D6216" s="2" t="str">
        <f t="shared" si="96"/>
        <v>Error?</v>
      </c>
      <c r="E6216" s="2" t="s">
        <v>199</v>
      </c>
    </row>
    <row r="6217" spans="1:5" x14ac:dyDescent="0.2">
      <c r="A6217">
        <v>6156</v>
      </c>
      <c r="B6217" s="138">
        <f>'Assets-Liab 5-6'!J4</f>
        <v>98589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342525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342525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342525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343747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343747</v>
      </c>
      <c r="D6229" s="2" t="str">
        <f t="shared" si="96"/>
        <v>Error?</v>
      </c>
      <c r="E6229" s="2" t="s">
        <v>199</v>
      </c>
    </row>
    <row r="6230" spans="1:5" x14ac:dyDescent="0.2">
      <c r="A6230">
        <v>6169</v>
      </c>
      <c r="B6230" s="138">
        <f>'Acct Summary 7-8'!J20</f>
        <v>-1222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-1222</v>
      </c>
      <c r="D6263" s="2" t="str">
        <f t="shared" si="96"/>
        <v>Error?</v>
      </c>
      <c r="E6263" s="2" t="s">
        <v>199</v>
      </c>
    </row>
    <row r="6264" spans="1:5" x14ac:dyDescent="0.2">
      <c r="A6264">
        <v>6203</v>
      </c>
      <c r="B6264" s="138">
        <f>'Acct Summary 7-8'!J79</f>
        <v>99811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98589</v>
      </c>
      <c r="D6266" s="2" t="str">
        <f t="shared" si="96"/>
        <v>Error?</v>
      </c>
      <c r="E6266" s="2" t="s">
        <v>199</v>
      </c>
    </row>
    <row r="6267" spans="1:5" x14ac:dyDescent="0.2">
      <c r="A6267">
        <v>6206</v>
      </c>
      <c r="B6267" s="138">
        <f>'Acct Summary 7-8'!C82</f>
        <v>543866</v>
      </c>
      <c r="D6267" s="2" t="str">
        <f t="shared" si="96"/>
        <v>Error?</v>
      </c>
      <c r="E6267" s="2" t="s">
        <v>199</v>
      </c>
    </row>
    <row r="6268" spans="1:5" x14ac:dyDescent="0.2">
      <c r="A6268">
        <v>6207</v>
      </c>
      <c r="B6268" s="138">
        <f>'Acct Summary 7-8'!D82</f>
        <v>220832</v>
      </c>
      <c r="D6268" s="2" t="str">
        <f t="shared" si="96"/>
        <v>Error?</v>
      </c>
      <c r="E6268" s="2" t="s">
        <v>199</v>
      </c>
    </row>
    <row r="6269" spans="1:5" x14ac:dyDescent="0.2">
      <c r="A6269">
        <v>6208</v>
      </c>
      <c r="B6269" s="138">
        <f>'Acct Summary 7-8'!E82</f>
        <v>-514379</v>
      </c>
      <c r="D6269" s="2" t="str">
        <f t="shared" si="96"/>
        <v>Error?</v>
      </c>
      <c r="E6269" s="2" t="s">
        <v>199</v>
      </c>
    </row>
    <row r="6270" spans="1:5" x14ac:dyDescent="0.2">
      <c r="A6270">
        <v>6209</v>
      </c>
      <c r="B6270" s="138">
        <f>'Acct Summary 7-8'!F82</f>
        <v>103479</v>
      </c>
      <c r="D6270" s="2" t="str">
        <f t="shared" si="96"/>
        <v>Error?</v>
      </c>
      <c r="E6270" s="2" t="s">
        <v>199</v>
      </c>
    </row>
    <row r="6271" spans="1:5" x14ac:dyDescent="0.2">
      <c r="A6271">
        <v>6210</v>
      </c>
      <c r="B6271" s="138">
        <f>'Acct Summary 7-8'!G82</f>
        <v>25429</v>
      </c>
      <c r="D6271" s="2" t="str">
        <f t="shared" ref="D6271:D6334" si="97">IF(ISBLANK(B6271),"OK",IF(A6271-B6271=0,"OK","Error?"))</f>
        <v>Error?</v>
      </c>
      <c r="E6271" s="2" t="s">
        <v>199</v>
      </c>
    </row>
    <row r="6272" spans="1:5" x14ac:dyDescent="0.2">
      <c r="A6272">
        <v>6211</v>
      </c>
      <c r="B6272" s="138">
        <f>'Acct Summary 7-8'!H82</f>
        <v>463750</v>
      </c>
      <c r="D6272" s="2" t="str">
        <f t="shared" si="97"/>
        <v>Error?</v>
      </c>
      <c r="E6272" s="2" t="s">
        <v>199</v>
      </c>
    </row>
    <row r="6273" spans="1:5" x14ac:dyDescent="0.2">
      <c r="A6273">
        <v>6212</v>
      </c>
      <c r="B6273" s="138">
        <f>'Acct Summary 7-8'!I82</f>
        <v>22496</v>
      </c>
      <c r="D6273" s="2" t="str">
        <f t="shared" si="97"/>
        <v>Error?</v>
      </c>
      <c r="E6273" s="2" t="s">
        <v>199</v>
      </c>
    </row>
    <row r="6274" spans="1:5" x14ac:dyDescent="0.2">
      <c r="A6274">
        <v>6213</v>
      </c>
      <c r="B6274" s="138">
        <f>'Acct Summary 7-8'!J82</f>
        <v>-1222</v>
      </c>
      <c r="D6274" s="2" t="str">
        <f t="shared" si="97"/>
        <v>Error?</v>
      </c>
      <c r="E6274" s="2" t="s">
        <v>199</v>
      </c>
    </row>
    <row r="6275" spans="1:5" x14ac:dyDescent="0.2">
      <c r="A6275">
        <v>6214</v>
      </c>
      <c r="B6275" s="138">
        <f>'Acct Summary 7-8'!K82</f>
        <v>-73655</v>
      </c>
      <c r="D6275" s="2" t="str">
        <f t="shared" si="97"/>
        <v>Error?</v>
      </c>
      <c r="E6275" s="2" t="s">
        <v>199</v>
      </c>
    </row>
    <row r="6276" spans="1:5" x14ac:dyDescent="0.2">
      <c r="A6276">
        <v>6215</v>
      </c>
      <c r="B6276" s="138">
        <f>'Acct Summary 7-8'!C83</f>
        <v>0.17628002239048579</v>
      </c>
      <c r="D6276" s="2" t="str">
        <f t="shared" si="97"/>
        <v>Error?</v>
      </c>
      <c r="E6276" s="2" t="s">
        <v>199</v>
      </c>
    </row>
    <row r="6277" spans="1:5" x14ac:dyDescent="0.2">
      <c r="A6277">
        <v>6216</v>
      </c>
      <c r="B6277" s="138">
        <f>'Acct Summary 7-8'!D83</f>
        <v>0.179606695561153</v>
      </c>
      <c r="D6277" s="2" t="str">
        <f t="shared" si="97"/>
        <v>Error?</v>
      </c>
      <c r="E6277" s="2" t="s">
        <v>199</v>
      </c>
    </row>
    <row r="6278" spans="1:5" x14ac:dyDescent="0.2">
      <c r="A6278">
        <v>6217</v>
      </c>
      <c r="B6278" s="138">
        <f>'Acct Summary 7-8'!E83</f>
        <v>-0.42316460080309126</v>
      </c>
      <c r="D6278" s="2" t="str">
        <f t="shared" si="97"/>
        <v>Error?</v>
      </c>
      <c r="E6278" s="2" t="s">
        <v>199</v>
      </c>
    </row>
    <row r="6279" spans="1:5" x14ac:dyDescent="0.2">
      <c r="A6279">
        <v>6218</v>
      </c>
      <c r="B6279" s="138">
        <f>'Acct Summary 7-8'!F83</f>
        <v>9.007431986615809E-2</v>
      </c>
      <c r="D6279" s="2" t="str">
        <f t="shared" si="97"/>
        <v>Error?</v>
      </c>
      <c r="E6279" s="2" t="s">
        <v>199</v>
      </c>
    </row>
    <row r="6280" spans="1:5" x14ac:dyDescent="0.2">
      <c r="A6280">
        <v>6219</v>
      </c>
      <c r="B6280" s="138">
        <f>'Acct Summary 7-8'!G83</f>
        <v>5.3218117055162342E-2</v>
      </c>
      <c r="D6280" s="2" t="str">
        <f t="shared" si="97"/>
        <v>Error?</v>
      </c>
      <c r="E6280" s="2" t="s">
        <v>199</v>
      </c>
    </row>
    <row r="6281" spans="1:5" x14ac:dyDescent="0.2">
      <c r="A6281">
        <v>6220</v>
      </c>
      <c r="B6281" s="138">
        <f>'Acct Summary 7-8'!H83</f>
        <v>0.95258929690179961</v>
      </c>
      <c r="D6281" s="2" t="str">
        <f t="shared" si="97"/>
        <v>Error?</v>
      </c>
      <c r="E6281" s="2" t="s">
        <v>199</v>
      </c>
    </row>
    <row r="6282" spans="1:5" x14ac:dyDescent="0.2">
      <c r="A6282">
        <v>6221</v>
      </c>
      <c r="B6282" s="138">
        <f>'Acct Summary 7-8'!I83</f>
        <v>1.1154442116745794E-2</v>
      </c>
      <c r="D6282" s="2" t="str">
        <f t="shared" si="97"/>
        <v>Error?</v>
      </c>
      <c r="E6282" s="2" t="s">
        <v>199</v>
      </c>
    </row>
    <row r="6283" spans="1:5" x14ac:dyDescent="0.2">
      <c r="A6283">
        <v>6222</v>
      </c>
      <c r="B6283" s="138">
        <f>'Acct Summary 7-8'!J83</f>
        <v>-1.2394891925062634E-2</v>
      </c>
      <c r="D6283" s="2" t="str">
        <f t="shared" si="97"/>
        <v>Error?</v>
      </c>
      <c r="E6283" s="2" t="s">
        <v>199</v>
      </c>
    </row>
    <row r="6284" spans="1:5" x14ac:dyDescent="0.2">
      <c r="A6284">
        <v>6223</v>
      </c>
      <c r="B6284" s="138">
        <f>'Acct Summary 7-8'!K83</f>
        <v>-0.36294515046541537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340702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340702</v>
      </c>
      <c r="D6301" s="2" t="str">
        <f t="shared" si="97"/>
        <v>Error?</v>
      </c>
      <c r="E6301" s="2" t="s">
        <v>199</v>
      </c>
    </row>
    <row r="6302" spans="1:5" x14ac:dyDescent="0.2">
      <c r="A6302">
        <v>6241</v>
      </c>
      <c r="B6302" s="138">
        <f>'Revenues 9-14'!J14</f>
        <v>781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781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1042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1042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342525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3474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10350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33930</v>
      </c>
      <c r="D6983" s="2" t="str">
        <f t="shared" si="108"/>
        <v>Error?</v>
      </c>
    </row>
    <row r="6984" spans="1:4" x14ac:dyDescent="0.2">
      <c r="A6984">
        <v>6923</v>
      </c>
      <c r="B6984" s="138">
        <f>'Expenditures 15-22'!K86</f>
        <v>33930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33930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343747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213</v>
      </c>
      <c r="D7047" s="2" t="str">
        <f t="shared" si="109"/>
        <v>Error?</v>
      </c>
    </row>
    <row r="7048" spans="1:5" x14ac:dyDescent="0.2">
      <c r="A7048">
        <v>6987</v>
      </c>
      <c r="B7048" s="138">
        <f>'Expenditures 15-22'!K147</f>
        <v>213</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342525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241155</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241155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102592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102592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343747</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343747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343747</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343747</v>
      </c>
      <c r="D7224" s="2" t="str">
        <f t="shared" si="111"/>
        <v>Error?</v>
      </c>
    </row>
    <row r="7225" spans="1:4" x14ac:dyDescent="0.2">
      <c r="A7225">
        <v>7164</v>
      </c>
      <c r="B7225" s="138">
        <f>'Expenditures 15-22'!K343</f>
        <v>-1222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126227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3560</v>
      </c>
      <c r="D7712" s="2" t="str">
        <f t="shared" si="126"/>
        <v>Error?</v>
      </c>
      <c r="E7712" s="2" t="s">
        <v>881</v>
      </c>
    </row>
    <row r="7713" spans="1:6" x14ac:dyDescent="0.2">
      <c r="A7713">
        <v>7652</v>
      </c>
      <c r="B7713" s="138">
        <f>'Rest Tax Levies-Tort Im 25'!J8</f>
        <v>525522</v>
      </c>
      <c r="D7713" s="2" t="str">
        <f t="shared" si="126"/>
        <v>Error?</v>
      </c>
      <c r="E7713" s="2" t="s">
        <v>881</v>
      </c>
    </row>
    <row r="7714" spans="1:6" x14ac:dyDescent="0.2">
      <c r="A7714">
        <v>7653</v>
      </c>
      <c r="B7714" s="138">
        <f>'Rest Tax Levies-Tort Im 25'!K9</f>
        <v>36779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525522</v>
      </c>
      <c r="D7718" s="2" t="str">
        <f t="shared" si="126"/>
        <v>Error?</v>
      </c>
      <c r="E7718" s="2" t="s">
        <v>881</v>
      </c>
    </row>
    <row r="7719" spans="1:6" x14ac:dyDescent="0.2">
      <c r="A7719">
        <v>7658</v>
      </c>
      <c r="B7719" s="138">
        <f>'Rest Tax Levies-Tort Im 25'!K12</f>
        <v>40339</v>
      </c>
      <c r="D7719" s="2" t="str">
        <f t="shared" si="126"/>
        <v>Error?</v>
      </c>
      <c r="E7719" s="2" t="s">
        <v>881</v>
      </c>
    </row>
    <row r="7720" spans="1:6" x14ac:dyDescent="0.2">
      <c r="A7720">
        <v>7659</v>
      </c>
      <c r="B7720" s="138">
        <f>'Rest Tax Levies-Tort Im 25'!H14</f>
        <v>97368</v>
      </c>
      <c r="D7720" s="2" t="str">
        <f t="shared" si="126"/>
        <v>Error?</v>
      </c>
      <c r="E7720" s="2" t="s">
        <v>881</v>
      </c>
    </row>
    <row r="7721" spans="1:6" x14ac:dyDescent="0.2">
      <c r="A7721">
        <v>7660</v>
      </c>
      <c r="B7721" s="138">
        <f>'Rest Tax Levies-Tort Im 25'!K14</f>
        <v>40339</v>
      </c>
      <c r="D7721" s="2" t="str">
        <f t="shared" si="126"/>
        <v>Error?</v>
      </c>
      <c r="E7721" s="2" t="s">
        <v>881</v>
      </c>
    </row>
    <row r="7722" spans="1:6" x14ac:dyDescent="0.2">
      <c r="A7722">
        <v>7661</v>
      </c>
      <c r="B7722" s="138">
        <f>'Rest Tax Levies-Tort Im 25'!J15</f>
        <v>62510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180547</v>
      </c>
      <c r="D7724" s="2" t="str">
        <f t="shared" si="126"/>
        <v>Error?</v>
      </c>
      <c r="E7724" s="2" t="s">
        <v>881</v>
      </c>
      <c r="F7724" s="2"/>
    </row>
    <row r="7725" spans="1:6" x14ac:dyDescent="0.2">
      <c r="A7725">
        <v>7664</v>
      </c>
      <c r="B7725" s="138">
        <f>'Rest Tax Levies-Tort Im 25'!J19</f>
        <v>282465</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463012</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525522</v>
      </c>
      <c r="D7730" s="2" t="str">
        <f t="shared" si="126"/>
        <v>Error?</v>
      </c>
      <c r="E7730" s="2" t="s">
        <v>881</v>
      </c>
    </row>
    <row r="7731" spans="1:6" x14ac:dyDescent="0.2">
      <c r="A7731">
        <v>7670</v>
      </c>
      <c r="B7731" s="138">
        <f>'Revenues 9-14'!H103</f>
        <v>525522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29'!D31</f>
        <v>1124621</v>
      </c>
      <c r="D7797" s="2" t="str">
        <f t="shared" si="127"/>
        <v>Error?</v>
      </c>
      <c r="E7797" s="4" t="s">
        <v>2015</v>
      </c>
    </row>
    <row r="7798" spans="1:5" x14ac:dyDescent="0.2">
      <c r="A7798">
        <v>7737</v>
      </c>
      <c r="B7798" s="138">
        <f>'Contracts Paid in CY 29'!F31</f>
        <v>125000</v>
      </c>
      <c r="D7798" s="2" t="str">
        <f t="shared" si="127"/>
        <v>Error?</v>
      </c>
      <c r="E7798" s="4" t="s">
        <v>2015</v>
      </c>
    </row>
    <row r="7799" spans="1:5" x14ac:dyDescent="0.2">
      <c r="A7799">
        <v>7738</v>
      </c>
      <c r="B7799" s="138">
        <f>'Contracts Paid in CY 29'!G31</f>
        <v>934299</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60"/>
  <sheetViews>
    <sheetView showGridLines="0" showZeros="0" topLeftCell="A10" zoomScale="110" zoomScaleNormal="110" workbookViewId="0">
      <selection sqref="A1:S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49" t="s">
        <v>1252</v>
      </c>
      <c r="B3" s="2449"/>
      <c r="C3" s="2449"/>
      <c r="D3" s="2449"/>
      <c r="E3" s="2449"/>
      <c r="F3" s="2449"/>
      <c r="G3" s="2449"/>
      <c r="H3" s="2449"/>
      <c r="I3" s="2449"/>
      <c r="J3" s="2449"/>
      <c r="K3" s="2449"/>
      <c r="L3" s="2449"/>
    </row>
    <row r="4" spans="1:29" ht="13.5" customHeight="1" x14ac:dyDescent="0.2">
      <c r="A4" s="2418"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0" t="str">
        <f>COVER!A17</f>
        <v>Carbondale Community High School Dist #165</v>
      </c>
      <c r="B7" s="2441"/>
      <c r="C7" s="2441"/>
      <c r="D7" s="2442"/>
      <c r="E7" s="2443" t="str">
        <f>COVER!A13</f>
        <v>30-039-1650-16</v>
      </c>
      <c r="F7" s="2444"/>
      <c r="G7" s="2450" t="str">
        <f>COVER!T23</f>
        <v>060-004252</v>
      </c>
      <c r="H7" s="2451"/>
      <c r="I7" s="2451"/>
      <c r="J7" s="2451"/>
      <c r="K7" s="2451"/>
      <c r="L7" s="245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3"/>
      <c r="B9" s="2454"/>
      <c r="C9" s="2454"/>
      <c r="D9" s="2454"/>
      <c r="E9" s="2454"/>
      <c r="F9" s="2455"/>
      <c r="G9" s="2424" t="str">
        <f>COVER!T13</f>
        <v>Emling &amp; Hoffman, PC</v>
      </c>
      <c r="H9" s="2456"/>
      <c r="I9" s="2456"/>
      <c r="J9" s="2456"/>
      <c r="K9" s="2456"/>
      <c r="L9" s="2457"/>
    </row>
    <row r="10" spans="1:29" ht="13.5" customHeight="1" x14ac:dyDescent="0.2">
      <c r="A10" s="2430" t="str">
        <f>COVER!A38</f>
        <v>Steve Murphy</v>
      </c>
      <c r="B10" s="2431"/>
      <c r="C10" s="2431"/>
      <c r="D10" s="2431"/>
      <c r="E10" s="2431"/>
      <c r="F10" s="2432"/>
      <c r="G10" s="2424" t="str">
        <f>COVER!T17</f>
        <v>1191 West Saint Louis Street</v>
      </c>
      <c r="H10" s="2425"/>
      <c r="I10" s="2425"/>
      <c r="J10" s="2425"/>
      <c r="K10" s="2425"/>
      <c r="L10" s="2426"/>
    </row>
    <row r="11" spans="1:29" ht="13.5" customHeight="1" x14ac:dyDescent="0.2">
      <c r="A11" s="1185" t="s">
        <v>1599</v>
      </c>
      <c r="B11" s="1186"/>
      <c r="C11" s="1187"/>
      <c r="D11" s="1192"/>
      <c r="E11" s="1187"/>
      <c r="F11" s="1191"/>
      <c r="G11" s="2424" t="str">
        <f>COVER!T19</f>
        <v>Nashville</v>
      </c>
      <c r="H11" s="2425"/>
      <c r="I11" s="2425"/>
      <c r="J11" s="2425"/>
      <c r="K11" s="2425"/>
      <c r="L11" s="2426"/>
    </row>
    <row r="12" spans="1:29" ht="13.5" customHeight="1" x14ac:dyDescent="0.2">
      <c r="A12" s="2433" t="s">
        <v>1598</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1600</v>
      </c>
      <c r="H13" s="2420"/>
      <c r="I13" s="2436" t="str">
        <f>COVER!T25</f>
        <v>sarahkary@emlingcpa.com</v>
      </c>
      <c r="J13" s="2437"/>
      <c r="K13" s="2437"/>
      <c r="L13" s="2438"/>
    </row>
    <row r="14" spans="1:29" ht="13.5" customHeight="1" x14ac:dyDescent="0.2">
      <c r="A14" s="2424" t="str">
        <f>COVER!A19</f>
        <v>330 South Giant City Road</v>
      </c>
      <c r="B14" s="2425"/>
      <c r="C14" s="2425"/>
      <c r="D14" s="2425"/>
      <c r="E14" s="2425"/>
      <c r="F14" s="2426"/>
      <c r="G14" s="1196" t="s">
        <v>1247</v>
      </c>
      <c r="H14" s="1194"/>
      <c r="I14" s="1194"/>
      <c r="J14" s="1194"/>
      <c r="K14" s="1194"/>
      <c r="L14" s="1195"/>
    </row>
    <row r="15" spans="1:29" ht="13.5" customHeight="1" x14ac:dyDescent="0.2">
      <c r="A15" s="2424" t="str">
        <f>COVER!A21</f>
        <v xml:space="preserve">Carbondale </v>
      </c>
      <c r="B15" s="2425"/>
      <c r="C15" s="2425"/>
      <c r="D15" s="2425"/>
      <c r="E15" s="2425"/>
      <c r="F15" s="2426"/>
      <c r="G15" s="2421" t="str">
        <f>COVER!T15</f>
        <v>Sarah Kary</v>
      </c>
      <c r="H15" s="2422"/>
      <c r="I15" s="2422"/>
      <c r="J15" s="2422"/>
      <c r="K15" s="2422"/>
      <c r="L15" s="2423"/>
    </row>
    <row r="16" spans="1:29" ht="12.2" customHeight="1" x14ac:dyDescent="0.2">
      <c r="A16" s="2446">
        <f>COVER!A25</f>
        <v>62902</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6" t="s">
        <v>1246</v>
      </c>
      <c r="H17" s="1194"/>
      <c r="I17" s="1194"/>
      <c r="J17" s="1194"/>
      <c r="K17" s="1198" t="s">
        <v>1245</v>
      </c>
      <c r="L17" s="1191"/>
      <c r="M17" s="1184"/>
    </row>
    <row r="18" spans="1:13" ht="12.2" customHeight="1" x14ac:dyDescent="0.2">
      <c r="A18" s="2430"/>
      <c r="B18" s="2431"/>
      <c r="C18" s="2431"/>
      <c r="D18" s="2431"/>
      <c r="E18" s="2431"/>
      <c r="F18" s="2432"/>
      <c r="G18" s="2440" t="str">
        <f>COVER!T21</f>
        <v>618-327-4375</v>
      </c>
      <c r="H18" s="2441"/>
      <c r="I18" s="2441"/>
      <c r="J18" s="2441"/>
      <c r="K18" s="2440" t="str">
        <f>COVER!X21</f>
        <v>618-327-4376</v>
      </c>
      <c r="L18" s="244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topLeftCell="A13" zoomScale="125" zoomScaleNormal="125" workbookViewId="0">
      <selection sqref="A1:S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2" t="str">
        <f>'Single Audit Cover'!A7</f>
        <v>Carbondale Community High School Dist #165</v>
      </c>
      <c r="B1" s="2439"/>
      <c r="C1" s="2439"/>
      <c r="D1" s="2439"/>
    </row>
    <row r="2" spans="1:11" s="1215" customFormat="1" ht="12.75" x14ac:dyDescent="0.2">
      <c r="A2" s="2463" t="str">
        <f>'Single Audit Cover'!E7</f>
        <v>30-039-1650-16</v>
      </c>
      <c r="B2" s="2464"/>
      <c r="C2" s="2464"/>
      <c r="D2" s="2464"/>
    </row>
    <row r="3" spans="1:11" s="1215" customFormat="1" ht="12.75" x14ac:dyDescent="0.2">
      <c r="A3" s="2462"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topLeftCell="A25" zoomScale="110" zoomScaleNormal="110" zoomScaleSheetLayoutView="100" workbookViewId="0">
      <selection sqref="A1:S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6" t="str">
        <f>'Single Audit Cover'!A7</f>
        <v>Carbondale Community High School Dist #165</v>
      </c>
      <c r="B1" s="2466"/>
      <c r="C1" s="2466"/>
      <c r="D1" s="2466"/>
      <c r="E1" s="2466"/>
    </row>
    <row r="2" spans="1:5" x14ac:dyDescent="0.2">
      <c r="A2" s="2467" t="str">
        <f>'Single Audit Cover'!E7</f>
        <v>30-039-1650-16</v>
      </c>
      <c r="B2" s="2467"/>
      <c r="C2" s="2467"/>
      <c r="D2" s="2467"/>
      <c r="E2" s="2467"/>
    </row>
    <row r="3" spans="1:5" ht="4.5" customHeight="1" x14ac:dyDescent="0.2"/>
    <row r="4" spans="1:5" x14ac:dyDescent="0.2">
      <c r="A4" s="2466" t="s">
        <v>1307</v>
      </c>
      <c r="B4" s="2466"/>
      <c r="C4" s="2466"/>
      <c r="D4" s="2466"/>
      <c r="E4" s="2466"/>
    </row>
    <row r="5" spans="1:5" x14ac:dyDescent="0.2">
      <c r="A5" s="2469" t="str">
        <f>'Single Audit Cover'!A4</f>
        <v>Year Ending June 30, 2018</v>
      </c>
      <c r="B5" s="2469"/>
      <c r="C5" s="2469"/>
      <c r="D5" s="2469"/>
      <c r="E5" s="2469"/>
    </row>
    <row r="6" spans="1:5" x14ac:dyDescent="0.2">
      <c r="A6" s="2466" t="s">
        <v>1306</v>
      </c>
      <c r="B6" s="2466"/>
      <c r="C6" s="2466"/>
      <c r="D6" s="2466"/>
      <c r="E6" s="2466"/>
    </row>
    <row r="8" spans="1:5" x14ac:dyDescent="0.2">
      <c r="A8" s="1260" t="s">
        <v>1305</v>
      </c>
    </row>
    <row r="10" spans="1:5" x14ac:dyDescent="0.2">
      <c r="A10" s="1261" t="s">
        <v>1304</v>
      </c>
      <c r="B10" s="1262" t="s">
        <v>1303</v>
      </c>
      <c r="C10" s="1262"/>
      <c r="D10" s="1263">
        <f>SUM('Acct Summary 7-8'!C7:K7)</f>
        <v>1163203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69922</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-31313</v>
      </c>
    </row>
    <row r="19" spans="1:4" ht="13.5" thickBot="1" x14ac:dyDescent="0.25">
      <c r="A19" s="1265" t="s">
        <v>1297</v>
      </c>
      <c r="D19" s="1266">
        <f>SUM(D10:D17)</f>
        <v>1201812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8"/>
      <c r="B24" s="2468"/>
      <c r="D24" s="1268"/>
    </row>
    <row r="25" spans="1:4" x14ac:dyDescent="0.2">
      <c r="A25" s="2465"/>
      <c r="B25" s="2465"/>
      <c r="D25" s="1268"/>
    </row>
    <row r="26" spans="1:4" x14ac:dyDescent="0.2">
      <c r="A26" s="2465"/>
      <c r="B26" s="2465"/>
      <c r="D26" s="1268"/>
    </row>
    <row r="27" spans="1:4" x14ac:dyDescent="0.2">
      <c r="A27" s="2465"/>
      <c r="B27" s="2465"/>
      <c r="D27" s="1268"/>
    </row>
    <row r="28" spans="1:4" x14ac:dyDescent="0.2">
      <c r="A28" s="2465"/>
      <c r="B28" s="2465"/>
      <c r="D28" s="1268"/>
    </row>
    <row r="29" spans="1:4" x14ac:dyDescent="0.2">
      <c r="A29" s="2465"/>
      <c r="B29" s="2465"/>
      <c r="D29" s="1268"/>
    </row>
    <row r="30" spans="1:4" x14ac:dyDescent="0.2">
      <c r="A30" s="2465"/>
      <c r="B30" s="2465"/>
      <c r="D30" s="1268"/>
    </row>
    <row r="32" spans="1:4" x14ac:dyDescent="0.2">
      <c r="A32" s="1260" t="s">
        <v>1295</v>
      </c>
      <c r="D32" s="1263">
        <f>SUM(D19:D30)</f>
        <v>1201812</v>
      </c>
    </row>
    <row r="33" spans="1:4" x14ac:dyDescent="0.2">
      <c r="D33" s="1269"/>
    </row>
    <row r="34" spans="1:4" x14ac:dyDescent="0.2">
      <c r="A34" s="317" t="s">
        <v>1294</v>
      </c>
    </row>
    <row r="35" spans="1:4" x14ac:dyDescent="0.2">
      <c r="A35" s="317" t="s">
        <v>1293</v>
      </c>
      <c r="B35" s="1258" t="s">
        <v>1292</v>
      </c>
      <c r="D35" s="1270" t="e">
        <f>SUM(' SEFA (4)'!F27)</f>
        <v>#REF!</v>
      </c>
    </row>
    <row r="37" spans="1:4" x14ac:dyDescent="0.2">
      <c r="A37" s="1260" t="s">
        <v>1291</v>
      </c>
    </row>
    <row r="39" spans="1:4" ht="13.35" customHeight="1" x14ac:dyDescent="0.2">
      <c r="A39" s="1267" t="s">
        <v>1290</v>
      </c>
    </row>
    <row r="40" spans="1:4" x14ac:dyDescent="0.2">
      <c r="A40" s="2465" t="s">
        <v>2176</v>
      </c>
      <c r="B40" s="2465"/>
      <c r="D40" s="1268">
        <v>1</v>
      </c>
    </row>
    <row r="41" spans="1:4" x14ac:dyDescent="0.2">
      <c r="A41" s="2465"/>
      <c r="B41" s="2465"/>
      <c r="D41" s="1271"/>
    </row>
    <row r="42" spans="1:4" x14ac:dyDescent="0.2">
      <c r="A42" s="2465"/>
      <c r="B42" s="2465"/>
      <c r="D42" s="1271"/>
    </row>
    <row r="43" spans="1:4" x14ac:dyDescent="0.2">
      <c r="A43" s="2465"/>
      <c r="B43" s="2465"/>
      <c r="D43" s="1271"/>
    </row>
    <row r="44" spans="1:4" x14ac:dyDescent="0.2">
      <c r="A44" s="2465"/>
      <c r="B44" s="2465"/>
      <c r="D44" s="1271"/>
    </row>
    <row r="45" spans="1:4" x14ac:dyDescent="0.2">
      <c r="A45" s="2465"/>
      <c r="B45" s="2465"/>
      <c r="D45" s="1271"/>
    </row>
    <row r="47" spans="1:4" x14ac:dyDescent="0.2">
      <c r="B47" s="1272" t="s">
        <v>1289</v>
      </c>
      <c r="C47" s="1272"/>
      <c r="D47" s="1273" t="e">
        <f>SUM(D35:D45)</f>
        <v>#REF!</v>
      </c>
    </row>
    <row r="49" spans="2:4" x14ac:dyDescent="0.2">
      <c r="B49" s="1272" t="s">
        <v>1288</v>
      </c>
      <c r="C49" s="1272"/>
      <c r="D49" s="1273" t="e">
        <f>D32-D47</f>
        <v>#REF!</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G52"/>
  <sheetViews>
    <sheetView showGridLines="0" topLeftCell="A25" zoomScale="120" zoomScaleNormal="120" workbookViewId="0">
      <selection sqref="A1:S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Carbondale Community High School Dist #165</v>
      </c>
      <c r="B1" s="2479"/>
      <c r="C1" s="2479"/>
      <c r="D1" s="2479"/>
      <c r="E1" s="2479"/>
      <c r="F1" s="2479"/>
    </row>
    <row r="2" spans="1:7" ht="13.5" customHeight="1" x14ac:dyDescent="0.2">
      <c r="A2" s="2480" t="str">
        <f>'Single Audit Cover'!E7</f>
        <v>30-039-1650-16</v>
      </c>
      <c r="B2" s="2480"/>
      <c r="C2" s="2480"/>
      <c r="D2" s="2480"/>
      <c r="E2" s="2480"/>
      <c r="F2" s="2480"/>
      <c r="G2" s="1275"/>
    </row>
    <row r="3" spans="1:7" ht="15.75" customHeight="1" x14ac:dyDescent="0.2">
      <c r="A3" s="2481" t="s">
        <v>1333</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76" t="s">
        <v>1831</v>
      </c>
      <c r="C6" s="317"/>
      <c r="D6" s="317"/>
    </row>
    <row r="7" spans="1:7" ht="60.95" customHeight="1" x14ac:dyDescent="0.2">
      <c r="A7" s="2478" t="s">
        <v>2181</v>
      </c>
      <c r="B7" s="2478"/>
      <c r="C7" s="2478"/>
      <c r="D7" s="2478"/>
      <c r="E7" s="2478"/>
      <c r="F7" s="247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78" t="s">
        <v>2177</v>
      </c>
      <c r="B13" s="2478"/>
      <c r="C13" s="2478"/>
      <c r="D13" s="2478"/>
      <c r="E13" s="2478"/>
      <c r="F13" s="2478"/>
    </row>
    <row r="14" spans="1:7" ht="9.75" customHeight="1" x14ac:dyDescent="0.2">
      <c r="C14" s="1260"/>
      <c r="D14" s="1260"/>
    </row>
    <row r="15" spans="1:7" ht="13.5" customHeight="1" x14ac:dyDescent="0.2">
      <c r="C15" s="1869" t="s">
        <v>1332</v>
      </c>
      <c r="D15" s="2476" t="s">
        <v>1331</v>
      </c>
      <c r="E15" s="2476"/>
      <c r="F15" s="2476"/>
    </row>
    <row r="16" spans="1:7" ht="13.5" customHeight="1" x14ac:dyDescent="0.2">
      <c r="A16" s="1282"/>
      <c r="B16" s="1276" t="s">
        <v>1330</v>
      </c>
      <c r="C16" s="1869" t="s">
        <v>1329</v>
      </c>
      <c r="D16" s="2477" t="s">
        <v>1670</v>
      </c>
      <c r="E16" s="2477"/>
      <c r="F16" s="2477"/>
    </row>
    <row r="17" spans="1:6" ht="20.45" customHeight="1" x14ac:dyDescent="0.2">
      <c r="A17" s="1283"/>
      <c r="B17" s="1284"/>
      <c r="C17" s="1285"/>
      <c r="D17" s="2471"/>
      <c r="E17" s="2471"/>
      <c r="F17" s="2471"/>
    </row>
    <row r="18" spans="1:6" ht="20.65" customHeight="1" x14ac:dyDescent="0.2">
      <c r="A18" s="1283"/>
      <c r="B18" s="1284" t="s">
        <v>2178</v>
      </c>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72" t="s">
        <v>2179</v>
      </c>
      <c r="B32" s="2472"/>
      <c r="C32" s="2472"/>
      <c r="D32" s="2472"/>
      <c r="E32" s="2472"/>
      <c r="F32" s="2472"/>
    </row>
    <row r="33" spans="1:6" ht="13.5" customHeight="1" x14ac:dyDescent="0.2">
      <c r="A33" s="328" t="s">
        <v>1509</v>
      </c>
      <c r="B33" s="328"/>
      <c r="C33" s="1288">
        <v>36906</v>
      </c>
      <c r="D33" s="1926"/>
      <c r="E33" s="1286"/>
    </row>
    <row r="34" spans="1:6" ht="13.5" customHeight="1" x14ac:dyDescent="0.2">
      <c r="A34" s="328" t="s">
        <v>1944</v>
      </c>
      <c r="B34" s="328"/>
      <c r="C34" s="1289">
        <v>33016</v>
      </c>
      <c r="D34" s="1926" t="s">
        <v>1671</v>
      </c>
      <c r="E34" s="2473">
        <f>+C33+C34</f>
        <v>69922</v>
      </c>
      <c r="F34" s="247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v>0</v>
      </c>
      <c r="D38" s="1926"/>
      <c r="E38" s="1286"/>
    </row>
    <row r="39" spans="1:6" ht="14.25" customHeight="1" x14ac:dyDescent="0.2">
      <c r="A39" s="328"/>
      <c r="B39" s="328" t="s">
        <v>1511</v>
      </c>
      <c r="C39" s="1292">
        <v>0</v>
      </c>
      <c r="D39" s="1926"/>
      <c r="E39" s="1286"/>
    </row>
    <row r="40" spans="1:6" ht="14.25" customHeight="1" x14ac:dyDescent="0.2">
      <c r="A40" s="328"/>
      <c r="B40" s="328" t="s">
        <v>1512</v>
      </c>
      <c r="C40" s="1292">
        <v>0</v>
      </c>
      <c r="D40" s="1926"/>
      <c r="E40" s="1286"/>
    </row>
    <row r="41" spans="1:6" ht="14.25" customHeight="1" x14ac:dyDescent="0.2">
      <c r="A41" s="328"/>
      <c r="B41" s="328" t="s">
        <v>1513</v>
      </c>
      <c r="C41" s="1292">
        <v>0</v>
      </c>
      <c r="D41" s="1926"/>
      <c r="E41" s="1286"/>
    </row>
    <row r="42" spans="1:6" ht="14.25" customHeight="1" x14ac:dyDescent="0.2">
      <c r="A42" s="328" t="s">
        <v>1514</v>
      </c>
      <c r="B42" s="328"/>
      <c r="C42" s="1924">
        <v>0</v>
      </c>
      <c r="D42" s="1926"/>
      <c r="E42" s="1286"/>
    </row>
    <row r="43" spans="1:6" ht="14.25" customHeight="1" x14ac:dyDescent="0.2">
      <c r="A43" s="328" t="s">
        <v>1515</v>
      </c>
      <c r="B43" s="328"/>
      <c r="C43" s="1293">
        <v>0</v>
      </c>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1672</v>
      </c>
      <c r="C49" s="2475"/>
      <c r="D49" s="2475"/>
      <c r="E49" s="1399"/>
    </row>
    <row r="50" spans="1:5" s="1300" customFormat="1" ht="3.75" customHeight="1" x14ac:dyDescent="0.2">
      <c r="A50" s="1299"/>
      <c r="B50" s="1868"/>
      <c r="C50" s="1868"/>
      <c r="D50" s="1868"/>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B1:N152"/>
  <sheetViews>
    <sheetView showGridLines="0"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Carbondale Community High School Dist #165</v>
      </c>
      <c r="C1" s="2483"/>
      <c r="D1" s="2483"/>
      <c r="E1" s="2483"/>
      <c r="F1" s="2483"/>
      <c r="G1" s="2483"/>
      <c r="H1" s="2483"/>
      <c r="I1" s="2483"/>
      <c r="J1" s="2483"/>
      <c r="K1" s="2483"/>
      <c r="L1" s="2483"/>
      <c r="M1" s="2483"/>
    </row>
    <row r="2" spans="2:14" ht="15" x14ac:dyDescent="0.2">
      <c r="B2" s="2480" t="str">
        <f>'Single Audit Cover'!E7</f>
        <v>30-039-1650-16</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2114</v>
      </c>
      <c r="C11" s="1338"/>
      <c r="D11" s="1339"/>
      <c r="E11" s="1340"/>
      <c r="F11" s="1340"/>
      <c r="G11" s="1340"/>
      <c r="H11" s="1340"/>
      <c r="I11" s="1340"/>
      <c r="J11" s="1340"/>
      <c r="K11" s="1340"/>
      <c r="L11" s="1340">
        <f>+G11+I11+K11</f>
        <v>0</v>
      </c>
      <c r="M11" s="1340"/>
    </row>
    <row r="12" spans="2:14" ht="20.100000000000001" customHeight="1" x14ac:dyDescent="0.2">
      <c r="B12" s="1337" t="s">
        <v>2115</v>
      </c>
      <c r="C12" s="1341"/>
      <c r="D12" s="1342"/>
      <c r="E12" s="1343"/>
      <c r="F12" s="1343"/>
      <c r="G12" s="1343"/>
      <c r="H12" s="1343"/>
      <c r="I12" s="1343"/>
      <c r="J12" s="1343"/>
      <c r="K12" s="1343"/>
      <c r="L12" s="1340">
        <f t="shared" ref="L12:L27" si="0">+G12+I12+K12</f>
        <v>0</v>
      </c>
      <c r="M12" s="1343"/>
    </row>
    <row r="13" spans="2:14" ht="20.100000000000001" customHeight="1" x14ac:dyDescent="0.2">
      <c r="B13" s="1337" t="s">
        <v>2116</v>
      </c>
      <c r="C13" s="1341"/>
      <c r="D13" s="1342"/>
      <c r="E13" s="1343"/>
      <c r="F13" s="1343"/>
      <c r="G13" s="1343"/>
      <c r="H13" s="1343"/>
      <c r="I13" s="1343"/>
      <c r="J13" s="1343"/>
      <c r="K13" s="1343"/>
      <c r="L13" s="1340">
        <f t="shared" si="0"/>
        <v>0</v>
      </c>
      <c r="M13" s="1343"/>
    </row>
    <row r="14" spans="2:14" ht="20.100000000000001" customHeight="1" x14ac:dyDescent="0.2">
      <c r="B14" s="1337" t="s">
        <v>2117</v>
      </c>
      <c r="C14" s="1341" t="s">
        <v>2118</v>
      </c>
      <c r="D14" s="1342" t="s">
        <v>2119</v>
      </c>
      <c r="E14" s="1343">
        <v>240070</v>
      </c>
      <c r="F14" s="1343">
        <v>308500</v>
      </c>
      <c r="G14" s="1343">
        <v>482782</v>
      </c>
      <c r="H14" s="1343">
        <v>0</v>
      </c>
      <c r="I14" s="1343">
        <v>65788</v>
      </c>
      <c r="J14" s="1343">
        <v>0</v>
      </c>
      <c r="K14" s="1343">
        <v>0</v>
      </c>
      <c r="L14" s="1340">
        <f t="shared" si="0"/>
        <v>548570</v>
      </c>
      <c r="M14" s="1343">
        <v>634875</v>
      </c>
    </row>
    <row r="15" spans="2:14" ht="20.100000000000001" customHeight="1" x14ac:dyDescent="0.2">
      <c r="B15" s="1337" t="s">
        <v>2120</v>
      </c>
      <c r="C15" s="1341" t="s">
        <v>2118</v>
      </c>
      <c r="D15" s="1342" t="s">
        <v>2121</v>
      </c>
      <c r="E15" s="1960">
        <v>0</v>
      </c>
      <c r="F15" s="1960">
        <v>282583</v>
      </c>
      <c r="G15" s="1960">
        <v>0</v>
      </c>
      <c r="H15" s="1960">
        <v>0</v>
      </c>
      <c r="I15" s="1960">
        <v>510583</v>
      </c>
      <c r="J15" s="1960">
        <v>0</v>
      </c>
      <c r="K15" s="1960">
        <v>160000</v>
      </c>
      <c r="L15" s="1961">
        <f t="shared" si="0"/>
        <v>670583</v>
      </c>
      <c r="M15" s="1343">
        <v>701205</v>
      </c>
    </row>
    <row r="16" spans="2:14" ht="20.100000000000001" customHeight="1" x14ac:dyDescent="0.2">
      <c r="B16" s="1337"/>
      <c r="C16" s="1341"/>
      <c r="D16" s="1342"/>
      <c r="E16" s="1962">
        <f>SUM(E14:E15)</f>
        <v>240070</v>
      </c>
      <c r="F16" s="1962">
        <f t="shared" ref="F16:K16" si="1">SUM(F14:F15)</f>
        <v>591083</v>
      </c>
      <c r="G16" s="1962">
        <f t="shared" si="1"/>
        <v>482782</v>
      </c>
      <c r="H16" s="1962">
        <f t="shared" si="1"/>
        <v>0</v>
      </c>
      <c r="I16" s="1962">
        <f t="shared" si="1"/>
        <v>576371</v>
      </c>
      <c r="J16" s="1962">
        <f t="shared" si="1"/>
        <v>0</v>
      </c>
      <c r="K16" s="1962">
        <f t="shared" si="1"/>
        <v>160000</v>
      </c>
      <c r="L16" s="1962">
        <f t="shared" si="0"/>
        <v>1219153</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337" t="s">
        <v>2122</v>
      </c>
      <c r="C18" s="1341"/>
      <c r="D18" s="1342"/>
      <c r="E18" s="1343"/>
      <c r="F18" s="1343"/>
      <c r="G18" s="1343"/>
      <c r="H18" s="1343"/>
      <c r="I18" s="1343"/>
      <c r="J18" s="1343"/>
      <c r="K18" s="1343"/>
      <c r="L18" s="1340">
        <f t="shared" si="0"/>
        <v>0</v>
      </c>
      <c r="M18" s="1343"/>
    </row>
    <row r="19" spans="2:14" ht="20.100000000000001" customHeight="1" x14ac:dyDescent="0.2">
      <c r="B19" s="1337" t="s">
        <v>2117</v>
      </c>
      <c r="C19" s="1341" t="s">
        <v>2123</v>
      </c>
      <c r="D19" s="1342" t="s">
        <v>2124</v>
      </c>
      <c r="E19" s="1343">
        <v>13919</v>
      </c>
      <c r="F19" s="1343">
        <v>6081</v>
      </c>
      <c r="G19" s="1343">
        <v>18636</v>
      </c>
      <c r="H19" s="1343">
        <v>0</v>
      </c>
      <c r="I19" s="1343">
        <v>1364</v>
      </c>
      <c r="J19" s="1343">
        <v>0</v>
      </c>
      <c r="K19" s="1343">
        <v>0</v>
      </c>
      <c r="L19" s="1340">
        <f t="shared" si="0"/>
        <v>20000</v>
      </c>
      <c r="M19" s="1343">
        <v>36796</v>
      </c>
    </row>
    <row r="20" spans="2:14" ht="20.100000000000001" customHeight="1" x14ac:dyDescent="0.2">
      <c r="B20" s="1337" t="s">
        <v>2120</v>
      </c>
      <c r="C20" s="1341" t="s">
        <v>2123</v>
      </c>
      <c r="D20" s="1342" t="s">
        <v>2125</v>
      </c>
      <c r="E20" s="1960">
        <v>0</v>
      </c>
      <c r="F20" s="1960">
        <v>20955</v>
      </c>
      <c r="G20" s="1960">
        <v>0</v>
      </c>
      <c r="H20" s="1960">
        <v>0</v>
      </c>
      <c r="I20" s="1960">
        <v>24583</v>
      </c>
      <c r="J20" s="1960">
        <v>0</v>
      </c>
      <c r="K20" s="1960">
        <v>37000</v>
      </c>
      <c r="L20" s="1961">
        <f t="shared" si="0"/>
        <v>61583</v>
      </c>
      <c r="M20" s="1343">
        <v>88954</v>
      </c>
    </row>
    <row r="21" spans="2:14" ht="20.100000000000001" customHeight="1" x14ac:dyDescent="0.2">
      <c r="B21" s="1337"/>
      <c r="C21" s="1341"/>
      <c r="D21" s="1342"/>
      <c r="E21" s="1962">
        <f>SUM(E19:E20)</f>
        <v>13919</v>
      </c>
      <c r="F21" s="1962">
        <f t="shared" ref="F21:K21" si="2">SUM(F19:F20)</f>
        <v>27036</v>
      </c>
      <c r="G21" s="1962">
        <f t="shared" si="2"/>
        <v>18636</v>
      </c>
      <c r="H21" s="1962">
        <f t="shared" si="2"/>
        <v>0</v>
      </c>
      <c r="I21" s="1962">
        <f t="shared" si="2"/>
        <v>25947</v>
      </c>
      <c r="J21" s="1962">
        <f t="shared" si="2"/>
        <v>0</v>
      </c>
      <c r="K21" s="1962">
        <f t="shared" si="2"/>
        <v>37000</v>
      </c>
      <c r="L21" s="1962">
        <f t="shared" si="0"/>
        <v>81583</v>
      </c>
      <c r="M21" s="1343"/>
    </row>
    <row r="22" spans="2:14" ht="20.100000000000001" customHeight="1" x14ac:dyDescent="0.2">
      <c r="B22" s="1337"/>
      <c r="C22" s="1341"/>
      <c r="D22" s="1342"/>
      <c r="E22" s="1961"/>
      <c r="F22" s="1961"/>
      <c r="G22" s="1961"/>
      <c r="H22" s="1961"/>
      <c r="I22" s="1961"/>
      <c r="J22" s="1961"/>
      <c r="K22" s="1961"/>
      <c r="L22" s="1961">
        <f t="shared" si="0"/>
        <v>0</v>
      </c>
      <c r="M22" s="1343"/>
    </row>
    <row r="23" spans="2:14" ht="20.100000000000001" customHeight="1" thickBot="1" x14ac:dyDescent="0.25">
      <c r="B23" s="1337" t="s">
        <v>2126</v>
      </c>
      <c r="C23" s="1341"/>
      <c r="D23" s="1342"/>
      <c r="E23" s="1963">
        <f>SUM(E16+E21)</f>
        <v>253989</v>
      </c>
      <c r="F23" s="1963">
        <f t="shared" ref="F23:K23" si="3">SUM(F16+F21)</f>
        <v>618119</v>
      </c>
      <c r="G23" s="1963">
        <f t="shared" si="3"/>
        <v>501418</v>
      </c>
      <c r="H23" s="1963">
        <f t="shared" si="3"/>
        <v>0</v>
      </c>
      <c r="I23" s="1963">
        <f t="shared" si="3"/>
        <v>602318</v>
      </c>
      <c r="J23" s="1963">
        <f t="shared" si="3"/>
        <v>0</v>
      </c>
      <c r="K23" s="1963">
        <f t="shared" si="3"/>
        <v>197000</v>
      </c>
      <c r="L23" s="1963">
        <f t="shared" si="0"/>
        <v>1300736</v>
      </c>
      <c r="M23" s="1343"/>
    </row>
    <row r="24" spans="2:14" ht="20.100000000000001" customHeight="1" x14ac:dyDescent="0.2">
      <c r="B24" s="1337" t="s">
        <v>2127</v>
      </c>
      <c r="C24" s="1341"/>
      <c r="D24" s="1342"/>
      <c r="E24" s="1340"/>
      <c r="F24" s="1340"/>
      <c r="G24" s="1340"/>
      <c r="H24" s="1340"/>
      <c r="I24" s="1340"/>
      <c r="J24" s="1340"/>
      <c r="K24" s="1340"/>
      <c r="L24" s="1340">
        <f t="shared" si="0"/>
        <v>0</v>
      </c>
      <c r="M24" s="1343"/>
    </row>
    <row r="25" spans="2:14" ht="20.100000000000001" customHeight="1" x14ac:dyDescent="0.2">
      <c r="B25" s="1337" t="s">
        <v>2128</v>
      </c>
      <c r="C25" s="1341"/>
      <c r="D25" s="1342"/>
      <c r="E25" s="1343"/>
      <c r="F25" s="1343"/>
      <c r="G25" s="1343"/>
      <c r="H25" s="1343"/>
      <c r="I25" s="1343"/>
      <c r="J25" s="1343"/>
      <c r="K25" s="1343"/>
      <c r="L25" s="1340">
        <f t="shared" si="0"/>
        <v>0</v>
      </c>
      <c r="M25" s="1343"/>
    </row>
    <row r="26" spans="2:14" ht="20.100000000000001" customHeight="1" x14ac:dyDescent="0.2">
      <c r="B26" s="1337" t="s">
        <v>2120</v>
      </c>
      <c r="C26" s="1341">
        <v>84.366</v>
      </c>
      <c r="D26" s="1342" t="s">
        <v>2129</v>
      </c>
      <c r="E26" s="1960">
        <v>0</v>
      </c>
      <c r="F26" s="1960">
        <v>3579</v>
      </c>
      <c r="G26" s="1960">
        <v>0</v>
      </c>
      <c r="H26" s="1960">
        <v>0</v>
      </c>
      <c r="I26" s="1960">
        <v>3579</v>
      </c>
      <c r="J26" s="1960">
        <v>0</v>
      </c>
      <c r="K26" s="1960">
        <v>0</v>
      </c>
      <c r="L26" s="1964">
        <f t="shared" si="0"/>
        <v>3579</v>
      </c>
      <c r="M26" s="1343"/>
    </row>
    <row r="27" spans="2:14" ht="20.100000000000001" customHeight="1" thickBot="1" x14ac:dyDescent="0.25">
      <c r="B27" s="1337" t="s">
        <v>2130</v>
      </c>
      <c r="C27" s="1341"/>
      <c r="D27" s="1342"/>
      <c r="E27" s="1963">
        <f>SUM(E26)</f>
        <v>0</v>
      </c>
      <c r="F27" s="1963">
        <f t="shared" ref="F27:K27" si="4">SUM(F26)</f>
        <v>3579</v>
      </c>
      <c r="G27" s="1963">
        <f t="shared" si="4"/>
        <v>0</v>
      </c>
      <c r="H27" s="1963">
        <f t="shared" si="4"/>
        <v>0</v>
      </c>
      <c r="I27" s="1963">
        <f t="shared" si="4"/>
        <v>3579</v>
      </c>
      <c r="J27" s="1963">
        <f t="shared" si="4"/>
        <v>0</v>
      </c>
      <c r="K27" s="1963">
        <f t="shared" si="4"/>
        <v>0</v>
      </c>
      <c r="L27" s="1963">
        <f t="shared" si="0"/>
        <v>3579</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77" colorId="8"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1230</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4" t="s">
        <v>1731</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4" t="s">
        <v>331</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1390</v>
      </c>
      <c r="B70" s="2107"/>
      <c r="C70" s="2107"/>
      <c r="D70" s="2107"/>
      <c r="E70" s="2108"/>
      <c r="F70" s="2108"/>
      <c r="G70" s="2108"/>
      <c r="H70" s="2108"/>
      <c r="I70" s="210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1387</v>
      </c>
      <c r="B83" s="2109"/>
      <c r="C83" s="2109"/>
      <c r="D83" s="211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1" t="s">
        <v>2180</v>
      </c>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2084</v>
      </c>
      <c r="D114" s="210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1397</v>
      </c>
      <c r="D117" s="2102"/>
      <c r="E117" s="2103"/>
      <c r="F117" s="2103"/>
      <c r="G117" s="2103"/>
      <c r="H117" s="210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2017</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B1:N152"/>
  <sheetViews>
    <sheetView showGridLines="0" topLeftCell="A22"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Carbondale Community High School Dist #165</v>
      </c>
      <c r="C1" s="2483"/>
      <c r="D1" s="2483"/>
      <c r="E1" s="2483"/>
      <c r="F1" s="2483"/>
      <c r="G1" s="2483"/>
      <c r="H1" s="2483"/>
      <c r="I1" s="2483"/>
      <c r="J1" s="2483"/>
      <c r="K1" s="2483"/>
      <c r="L1" s="2483"/>
      <c r="M1" s="2483"/>
    </row>
    <row r="2" spans="2:14" ht="15" x14ac:dyDescent="0.2">
      <c r="B2" s="2480" t="str">
        <f>'Single Audit Cover'!E7</f>
        <v>30-039-1650-16</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2114</v>
      </c>
      <c r="C11" s="1338"/>
      <c r="D11" s="1339"/>
      <c r="E11" s="1340"/>
      <c r="F11" s="1340"/>
      <c r="G11" s="1340"/>
      <c r="H11" s="1340"/>
      <c r="I11" s="1340"/>
      <c r="J11" s="1340"/>
      <c r="K11" s="1340"/>
      <c r="L11" s="1340">
        <f>+G11+I11+K11</f>
        <v>0</v>
      </c>
      <c r="M11" s="1340"/>
    </row>
    <row r="12" spans="2:14" ht="20.100000000000001" customHeight="1" x14ac:dyDescent="0.2">
      <c r="B12" s="1337" t="s">
        <v>2131</v>
      </c>
      <c r="C12" s="1341"/>
      <c r="D12" s="1342"/>
      <c r="E12" s="1343"/>
      <c r="F12" s="1343"/>
      <c r="G12" s="1343"/>
      <c r="H12" s="1343"/>
      <c r="I12" s="1343"/>
      <c r="J12" s="1343"/>
      <c r="K12" s="1343"/>
      <c r="L12" s="1340">
        <f t="shared" ref="L12:L27" si="0">+G12+I12+K12</f>
        <v>0</v>
      </c>
      <c r="M12" s="1343"/>
    </row>
    <row r="13" spans="2:14" ht="20.100000000000001" customHeight="1" x14ac:dyDescent="0.2">
      <c r="B13" s="1337" t="s">
        <v>2132</v>
      </c>
      <c r="C13" s="1341"/>
      <c r="D13" s="1342"/>
      <c r="E13" s="1343"/>
      <c r="F13" s="1343"/>
      <c r="G13" s="1343"/>
      <c r="H13" s="1343"/>
      <c r="I13" s="1343"/>
      <c r="J13" s="1343"/>
      <c r="K13" s="1343"/>
      <c r="L13" s="1340">
        <f t="shared" si="0"/>
        <v>0</v>
      </c>
      <c r="M13" s="1343"/>
    </row>
    <row r="14" spans="2:14" ht="20.100000000000001" customHeight="1" x14ac:dyDescent="0.2">
      <c r="B14" s="1337" t="s">
        <v>2117</v>
      </c>
      <c r="C14" s="1341" t="s">
        <v>2133</v>
      </c>
      <c r="D14" s="1342" t="s">
        <v>2134</v>
      </c>
      <c r="E14" s="1343">
        <v>73500</v>
      </c>
      <c r="F14" s="1343">
        <v>6500</v>
      </c>
      <c r="G14" s="1343">
        <v>73500</v>
      </c>
      <c r="H14" s="1343">
        <v>0</v>
      </c>
      <c r="I14" s="1343">
        <v>6500</v>
      </c>
      <c r="J14" s="1343">
        <v>0</v>
      </c>
      <c r="K14" s="1343">
        <v>0</v>
      </c>
      <c r="L14" s="1340">
        <f t="shared" si="0"/>
        <v>80000</v>
      </c>
      <c r="M14" s="1343"/>
    </row>
    <row r="15" spans="2:14" ht="20.100000000000001" customHeight="1" x14ac:dyDescent="0.2">
      <c r="B15" s="1337" t="s">
        <v>2120</v>
      </c>
      <c r="C15" s="1341" t="s">
        <v>2133</v>
      </c>
      <c r="D15" s="1342" t="s">
        <v>2135</v>
      </c>
      <c r="E15" s="1960">
        <v>0</v>
      </c>
      <c r="F15" s="1960">
        <v>60000</v>
      </c>
      <c r="G15" s="1960">
        <v>0</v>
      </c>
      <c r="H15" s="1960">
        <v>0</v>
      </c>
      <c r="I15" s="1960">
        <v>60000</v>
      </c>
      <c r="J15" s="1960">
        <v>0</v>
      </c>
      <c r="K15" s="1960">
        <v>0</v>
      </c>
      <c r="L15" s="1961">
        <f t="shared" si="0"/>
        <v>60000</v>
      </c>
      <c r="M15" s="1343"/>
    </row>
    <row r="16" spans="2:14" ht="20.100000000000001" customHeight="1" thickBot="1" x14ac:dyDescent="0.25">
      <c r="B16" s="1337" t="s">
        <v>2136</v>
      </c>
      <c r="C16" s="1341"/>
      <c r="D16" s="1342"/>
      <c r="E16" s="1963">
        <f>SUM(E14:E15)</f>
        <v>73500</v>
      </c>
      <c r="F16" s="1963">
        <f t="shared" ref="F16:K16" si="1">SUM(F14:F15)</f>
        <v>66500</v>
      </c>
      <c r="G16" s="1963">
        <f t="shared" si="1"/>
        <v>73500</v>
      </c>
      <c r="H16" s="1963">
        <f t="shared" si="1"/>
        <v>0</v>
      </c>
      <c r="I16" s="1963">
        <f t="shared" si="1"/>
        <v>66500</v>
      </c>
      <c r="J16" s="1963">
        <f t="shared" si="1"/>
        <v>0</v>
      </c>
      <c r="K16" s="1963">
        <f t="shared" si="1"/>
        <v>0</v>
      </c>
      <c r="L16" s="1963">
        <f t="shared" si="0"/>
        <v>140000</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2137</v>
      </c>
      <c r="C19" s="1341"/>
      <c r="D19" s="1342"/>
      <c r="E19" s="1343"/>
      <c r="F19" s="1343"/>
      <c r="G19" s="1343"/>
      <c r="H19" s="1343"/>
      <c r="I19" s="1343"/>
      <c r="J19" s="1343"/>
      <c r="K19" s="1343"/>
      <c r="L19" s="1340">
        <f t="shared" si="0"/>
        <v>0</v>
      </c>
      <c r="M19" s="1343"/>
    </row>
    <row r="20" spans="2:14" ht="20.100000000000001" customHeight="1" x14ac:dyDescent="0.2">
      <c r="B20" s="1337" t="s">
        <v>2138</v>
      </c>
      <c r="C20" s="1341"/>
      <c r="D20" s="1342"/>
      <c r="E20" s="1343"/>
      <c r="F20" s="1343"/>
      <c r="G20" s="1343"/>
      <c r="H20" s="1343"/>
      <c r="I20" s="1343"/>
      <c r="J20" s="1343"/>
      <c r="K20" s="1343"/>
      <c r="L20" s="1340">
        <f t="shared" si="0"/>
        <v>0</v>
      </c>
      <c r="M20" s="1343"/>
    </row>
    <row r="21" spans="2:14" ht="20.100000000000001" customHeight="1" x14ac:dyDescent="0.2">
      <c r="B21" s="1337" t="s">
        <v>2117</v>
      </c>
      <c r="C21" s="1341" t="s">
        <v>2139</v>
      </c>
      <c r="D21" s="1342" t="s">
        <v>2140</v>
      </c>
      <c r="E21" s="1343">
        <v>45137</v>
      </c>
      <c r="F21" s="1343">
        <v>45623</v>
      </c>
      <c r="G21" s="1343">
        <v>45137</v>
      </c>
      <c r="H21" s="1343">
        <v>0</v>
      </c>
      <c r="I21" s="1343">
        <v>45623</v>
      </c>
      <c r="J21" s="1343">
        <v>0</v>
      </c>
      <c r="K21" s="1343">
        <v>0</v>
      </c>
      <c r="L21" s="1340">
        <f t="shared" si="0"/>
        <v>90760</v>
      </c>
      <c r="M21" s="1343"/>
    </row>
    <row r="22" spans="2:14" ht="20.100000000000001" customHeight="1" x14ac:dyDescent="0.2">
      <c r="B22" s="1337" t="s">
        <v>2120</v>
      </c>
      <c r="C22" s="1341" t="s">
        <v>2139</v>
      </c>
      <c r="D22" s="1342" t="s">
        <v>2141</v>
      </c>
      <c r="E22" s="1960">
        <v>0</v>
      </c>
      <c r="F22" s="1960">
        <v>16917</v>
      </c>
      <c r="G22" s="1960">
        <v>0</v>
      </c>
      <c r="H22" s="1960">
        <v>0</v>
      </c>
      <c r="I22" s="1960">
        <v>16917</v>
      </c>
      <c r="J22" s="1960">
        <v>0</v>
      </c>
      <c r="K22" s="1960">
        <v>0</v>
      </c>
      <c r="L22" s="1961">
        <f t="shared" si="0"/>
        <v>16917</v>
      </c>
      <c r="M22" s="1343"/>
    </row>
    <row r="23" spans="2:14" ht="20.100000000000001" customHeight="1" thickBot="1" x14ac:dyDescent="0.25">
      <c r="B23" s="1337" t="s">
        <v>2142</v>
      </c>
      <c r="C23" s="1341"/>
      <c r="D23" s="1342"/>
      <c r="E23" s="1963">
        <f>SUM(E21:E22)</f>
        <v>45137</v>
      </c>
      <c r="F23" s="1963">
        <f t="shared" ref="F23:K23" si="2">SUM(F21:F22)</f>
        <v>62540</v>
      </c>
      <c r="G23" s="1963">
        <f t="shared" si="2"/>
        <v>45137</v>
      </c>
      <c r="H23" s="1963">
        <f t="shared" si="2"/>
        <v>0</v>
      </c>
      <c r="I23" s="1963">
        <f t="shared" si="2"/>
        <v>62540</v>
      </c>
      <c r="J23" s="1963">
        <f t="shared" si="2"/>
        <v>0</v>
      </c>
      <c r="K23" s="1963">
        <f t="shared" si="2"/>
        <v>0</v>
      </c>
      <c r="L23" s="1963">
        <f t="shared" si="0"/>
        <v>107677</v>
      </c>
      <c r="M23" s="1343"/>
    </row>
    <row r="24" spans="2:14" ht="20.100000000000001" customHeight="1" x14ac:dyDescent="0.2">
      <c r="B24" s="1337"/>
      <c r="C24" s="1341"/>
      <c r="D24" s="1342"/>
      <c r="E24" s="1340"/>
      <c r="F24" s="1340"/>
      <c r="G24" s="1340"/>
      <c r="H24" s="1340"/>
      <c r="I24" s="1340"/>
      <c r="J24" s="1340"/>
      <c r="K24" s="1340"/>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0"/>
      <c r="F26" s="1960"/>
      <c r="G26" s="1960"/>
      <c r="H26" s="1960"/>
      <c r="I26" s="1960"/>
      <c r="J26" s="1960"/>
      <c r="K26" s="1960"/>
      <c r="L26" s="1961">
        <f t="shared" si="0"/>
        <v>0</v>
      </c>
      <c r="M26" s="1343"/>
    </row>
    <row r="27" spans="2:14" ht="20.100000000000001" customHeight="1" thickBot="1" x14ac:dyDescent="0.25">
      <c r="B27" s="1959" t="s">
        <v>2143</v>
      </c>
      <c r="C27" s="1341"/>
      <c r="D27" s="1342"/>
      <c r="E27" s="1965" t="e">
        <f>SUM(E23+E16+#REF!+#REF!)</f>
        <v>#REF!</v>
      </c>
      <c r="F27" s="1965" t="e">
        <f>SUM(F23+F16+#REF!+#REF!)</f>
        <v>#REF!</v>
      </c>
      <c r="G27" s="1965" t="e">
        <f>SUM(G23+G16+#REF!+#REF!)</f>
        <v>#REF!</v>
      </c>
      <c r="H27" s="1965" t="e">
        <f>SUM(H23+H16+#REF!+#REF!)</f>
        <v>#REF!</v>
      </c>
      <c r="I27" s="1965" t="e">
        <f>SUM(I23+I16+#REF!+#REF!)</f>
        <v>#REF!</v>
      </c>
      <c r="J27" s="1965" t="e">
        <f>SUM(J23+J16+#REF!+#REF!)</f>
        <v>#REF!</v>
      </c>
      <c r="K27" s="1965" t="e">
        <f>SUM(K23+K16+#REF!+#REF!)</f>
        <v>#REF!</v>
      </c>
      <c r="L27" s="1965" t="e">
        <f t="shared" si="0"/>
        <v>#REF!</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B1:N152"/>
  <sheetViews>
    <sheetView showGridLines="0"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Carbondale Community High School Dist #165</v>
      </c>
      <c r="C1" s="2483"/>
      <c r="D1" s="2483"/>
      <c r="E1" s="2483"/>
      <c r="F1" s="2483"/>
      <c r="G1" s="2483"/>
      <c r="H1" s="2483"/>
      <c r="I1" s="2483"/>
      <c r="J1" s="2483"/>
      <c r="K1" s="2483"/>
      <c r="L1" s="2483"/>
      <c r="M1" s="2483"/>
    </row>
    <row r="2" spans="2:14" ht="15" x14ac:dyDescent="0.2">
      <c r="B2" s="2480" t="str">
        <f>'Single Audit Cover'!E7</f>
        <v>30-039-1650-16</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2144</v>
      </c>
      <c r="C11" s="1338"/>
      <c r="D11" s="1339"/>
      <c r="E11" s="1340"/>
      <c r="F11" s="1340"/>
      <c r="G11" s="1340"/>
      <c r="H11" s="1340"/>
      <c r="I11" s="1340"/>
      <c r="J11" s="1340"/>
      <c r="K11" s="1340"/>
      <c r="L11" s="1340">
        <f>+G11+I11+K11</f>
        <v>0</v>
      </c>
      <c r="M11" s="1340"/>
    </row>
    <row r="12" spans="2:14" ht="20.100000000000001" customHeight="1" x14ac:dyDescent="0.2">
      <c r="B12" s="1337" t="s">
        <v>2115</v>
      </c>
      <c r="C12" s="1341"/>
      <c r="D12" s="1342"/>
      <c r="E12" s="1343"/>
      <c r="F12" s="1343"/>
      <c r="G12" s="1343"/>
      <c r="H12" s="1343"/>
      <c r="I12" s="1343"/>
      <c r="J12" s="1343"/>
      <c r="K12" s="1343"/>
      <c r="L12" s="1340">
        <f t="shared" ref="L12:L27" si="0">+G12+I12+K12</f>
        <v>0</v>
      </c>
      <c r="M12" s="1343"/>
    </row>
    <row r="13" spans="2:14" ht="20.100000000000001" customHeight="1" x14ac:dyDescent="0.2">
      <c r="B13" s="1337" t="s">
        <v>2145</v>
      </c>
      <c r="C13" s="1341"/>
      <c r="D13" s="1342"/>
      <c r="E13" s="1343"/>
      <c r="F13" s="1343"/>
      <c r="G13" s="1343"/>
      <c r="H13" s="1343"/>
      <c r="I13" s="1343"/>
      <c r="J13" s="1343"/>
      <c r="K13" s="1343"/>
      <c r="L13" s="1340">
        <f t="shared" si="0"/>
        <v>0</v>
      </c>
      <c r="M13" s="1343"/>
    </row>
    <row r="14" spans="2:14" ht="20.100000000000001" customHeight="1" x14ac:dyDescent="0.2">
      <c r="B14" s="1337" t="s">
        <v>2117</v>
      </c>
      <c r="C14" s="1341">
        <v>10.555</v>
      </c>
      <c r="D14" s="1342" t="s">
        <v>2146</v>
      </c>
      <c r="E14" s="1343">
        <v>149191</v>
      </c>
      <c r="F14" s="1343">
        <v>67262</v>
      </c>
      <c r="G14" s="1343">
        <v>149191</v>
      </c>
      <c r="H14" s="1343">
        <v>0</v>
      </c>
      <c r="I14" s="1343">
        <v>67262</v>
      </c>
      <c r="J14" s="1343">
        <v>0</v>
      </c>
      <c r="K14" s="1343">
        <v>0</v>
      </c>
      <c r="L14" s="1340">
        <f t="shared" si="0"/>
        <v>216453</v>
      </c>
      <c r="M14" s="1343"/>
    </row>
    <row r="15" spans="2:14" ht="20.100000000000001" customHeight="1" x14ac:dyDescent="0.2">
      <c r="B15" s="1337" t="s">
        <v>2120</v>
      </c>
      <c r="C15" s="1341">
        <v>10.555</v>
      </c>
      <c r="D15" s="1342" t="s">
        <v>2147</v>
      </c>
      <c r="E15" s="1960">
        <v>0</v>
      </c>
      <c r="F15" s="1960">
        <v>182822</v>
      </c>
      <c r="G15" s="1960">
        <v>0</v>
      </c>
      <c r="H15" s="1960">
        <v>0</v>
      </c>
      <c r="I15" s="1960">
        <v>182822</v>
      </c>
      <c r="J15" s="1960">
        <v>0</v>
      </c>
      <c r="K15" s="1960">
        <v>0</v>
      </c>
      <c r="L15" s="1961">
        <f t="shared" si="0"/>
        <v>182822</v>
      </c>
      <c r="M15" s="1343"/>
    </row>
    <row r="16" spans="2:14" ht="20.100000000000001" customHeight="1" x14ac:dyDescent="0.2">
      <c r="B16" s="1337"/>
      <c r="C16" s="1341"/>
      <c r="D16" s="1342"/>
      <c r="E16" s="1962">
        <f>SUM(E14:E15)</f>
        <v>149191</v>
      </c>
      <c r="F16" s="1962">
        <f t="shared" ref="F16:K16" si="1">SUM(F14:F15)</f>
        <v>250084</v>
      </c>
      <c r="G16" s="1962">
        <f t="shared" si="1"/>
        <v>149191</v>
      </c>
      <c r="H16" s="1962">
        <f t="shared" si="1"/>
        <v>0</v>
      </c>
      <c r="I16" s="1962">
        <f t="shared" si="1"/>
        <v>250084</v>
      </c>
      <c r="J16" s="1962">
        <f t="shared" si="1"/>
        <v>0</v>
      </c>
      <c r="K16" s="1962">
        <f t="shared" si="1"/>
        <v>0</v>
      </c>
      <c r="L16" s="1962">
        <f t="shared" si="0"/>
        <v>399275</v>
      </c>
      <c r="M16" s="1343"/>
    </row>
    <row r="17" spans="2:14" ht="20.100000000000001" customHeight="1" x14ac:dyDescent="0.2">
      <c r="B17" s="1337" t="s">
        <v>2148</v>
      </c>
      <c r="C17" s="1337"/>
      <c r="D17" s="1342"/>
      <c r="E17" s="1343"/>
      <c r="F17" s="1343"/>
      <c r="G17" s="1343"/>
      <c r="H17" s="1343"/>
      <c r="I17" s="1343"/>
      <c r="J17" s="1343"/>
      <c r="K17" s="1343"/>
      <c r="L17" s="1340">
        <f t="shared" si="0"/>
        <v>0</v>
      </c>
      <c r="M17" s="1343"/>
    </row>
    <row r="18" spans="2:14" ht="20.100000000000001" customHeight="1" x14ac:dyDescent="0.2">
      <c r="B18" s="1337" t="s">
        <v>2117</v>
      </c>
      <c r="C18" s="1337" t="s">
        <v>2117</v>
      </c>
      <c r="D18" s="1342" t="s">
        <v>2149</v>
      </c>
      <c r="E18" s="1343">
        <v>63902</v>
      </c>
      <c r="F18" s="1343">
        <v>25878</v>
      </c>
      <c r="G18" s="1343">
        <v>63902</v>
      </c>
      <c r="H18" s="1343">
        <v>0</v>
      </c>
      <c r="I18" s="1343">
        <v>25878</v>
      </c>
      <c r="J18" s="1343">
        <v>0</v>
      </c>
      <c r="K18" s="1343">
        <v>0</v>
      </c>
      <c r="L18" s="1340">
        <f t="shared" si="0"/>
        <v>89780</v>
      </c>
      <c r="M18" s="1343"/>
    </row>
    <row r="19" spans="2:14" ht="20.100000000000001" customHeight="1" x14ac:dyDescent="0.2">
      <c r="B19" s="1337" t="s">
        <v>2120</v>
      </c>
      <c r="C19" s="1337" t="s">
        <v>2120</v>
      </c>
      <c r="D19" s="1342" t="s">
        <v>2150</v>
      </c>
      <c r="E19" s="1960">
        <v>0</v>
      </c>
      <c r="F19" s="1960">
        <v>74631</v>
      </c>
      <c r="G19" s="1960">
        <v>0</v>
      </c>
      <c r="H19" s="1960">
        <v>0</v>
      </c>
      <c r="I19" s="1960">
        <v>74631</v>
      </c>
      <c r="J19" s="1960">
        <v>0</v>
      </c>
      <c r="K19" s="1960">
        <v>0</v>
      </c>
      <c r="L19" s="1340">
        <f t="shared" si="0"/>
        <v>74631</v>
      </c>
      <c r="M19" s="1343"/>
    </row>
    <row r="20" spans="2:14" ht="20.100000000000001" customHeight="1" x14ac:dyDescent="0.2">
      <c r="B20" s="1337"/>
      <c r="C20" s="1337"/>
      <c r="D20" s="1342"/>
      <c r="E20" s="1962">
        <f>SUM(E18:E19)</f>
        <v>63902</v>
      </c>
      <c r="F20" s="1962">
        <f t="shared" ref="F20:K20" si="2">SUM(F18:F19)</f>
        <v>100509</v>
      </c>
      <c r="G20" s="1962">
        <f t="shared" si="2"/>
        <v>63902</v>
      </c>
      <c r="H20" s="1962">
        <f t="shared" si="2"/>
        <v>0</v>
      </c>
      <c r="I20" s="1962">
        <f t="shared" si="2"/>
        <v>100509</v>
      </c>
      <c r="J20" s="1962">
        <f t="shared" si="2"/>
        <v>0</v>
      </c>
      <c r="K20" s="1962">
        <f t="shared" si="2"/>
        <v>0</v>
      </c>
      <c r="L20" s="1340">
        <f t="shared" si="0"/>
        <v>164411</v>
      </c>
      <c r="M20" s="1343"/>
    </row>
    <row r="21" spans="2:14" ht="20.100000000000001" customHeight="1" x14ac:dyDescent="0.2">
      <c r="B21" s="1337"/>
      <c r="C21" s="1341"/>
      <c r="D21" s="1342"/>
      <c r="E21" s="1340"/>
      <c r="F21" s="1340"/>
      <c r="G21" s="1340"/>
      <c r="H21" s="1340"/>
      <c r="I21" s="1340"/>
      <c r="J21" s="1340"/>
      <c r="K21" s="1340"/>
      <c r="L21" s="1340">
        <f t="shared" si="0"/>
        <v>0</v>
      </c>
      <c r="M21" s="1343"/>
    </row>
    <row r="22" spans="2:14" ht="20.100000000000001" customHeight="1" thickBot="1" x14ac:dyDescent="0.25">
      <c r="B22" s="1337" t="s">
        <v>2126</v>
      </c>
      <c r="C22" s="1341"/>
      <c r="D22" s="1342"/>
      <c r="E22" s="1966">
        <f>SUM(E16+E20)</f>
        <v>213093</v>
      </c>
      <c r="F22" s="1966">
        <f t="shared" ref="F22:K22" si="3">SUM(F16+F20)</f>
        <v>350593</v>
      </c>
      <c r="G22" s="1966">
        <f t="shared" si="3"/>
        <v>213093</v>
      </c>
      <c r="H22" s="1966">
        <f t="shared" si="3"/>
        <v>0</v>
      </c>
      <c r="I22" s="1966">
        <f t="shared" si="3"/>
        <v>350593</v>
      </c>
      <c r="J22" s="1966">
        <f t="shared" si="3"/>
        <v>0</v>
      </c>
      <c r="K22" s="1966">
        <f t="shared" si="3"/>
        <v>0</v>
      </c>
      <c r="L22" s="1966">
        <f t="shared" si="0"/>
        <v>563686</v>
      </c>
      <c r="M22" s="1343"/>
    </row>
    <row r="23" spans="2:14" ht="20.100000000000001" customHeight="1" x14ac:dyDescent="0.2">
      <c r="B23" s="1337"/>
      <c r="C23" s="1341"/>
      <c r="D23" s="1342"/>
      <c r="E23" s="1340"/>
      <c r="F23" s="1340"/>
      <c r="G23" s="1340"/>
      <c r="H23" s="1340"/>
      <c r="I23" s="1340"/>
      <c r="J23" s="1340"/>
      <c r="K23" s="1340"/>
      <c r="L23" s="1340">
        <f t="shared" si="0"/>
        <v>0</v>
      </c>
      <c r="M23" s="1343"/>
    </row>
    <row r="24" spans="2:14" ht="20.100000000000001" customHeight="1" thickBot="1" x14ac:dyDescent="0.25">
      <c r="B24" s="1337" t="s">
        <v>2151</v>
      </c>
      <c r="C24" s="1341">
        <v>10.553000000000001</v>
      </c>
      <c r="D24" s="1342" t="s">
        <v>2152</v>
      </c>
      <c r="E24" s="1966">
        <v>0</v>
      </c>
      <c r="F24" s="1966">
        <v>36906</v>
      </c>
      <c r="G24" s="1966">
        <v>0</v>
      </c>
      <c r="H24" s="1966">
        <v>0</v>
      </c>
      <c r="I24" s="1966">
        <v>36906</v>
      </c>
      <c r="J24" s="1966">
        <v>0</v>
      </c>
      <c r="K24" s="1966">
        <v>0</v>
      </c>
      <c r="L24" s="1966">
        <f t="shared" si="0"/>
        <v>36906</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thickBot="1" x14ac:dyDescent="0.25">
      <c r="B26" s="1337" t="s">
        <v>2153</v>
      </c>
      <c r="C26" s="1341"/>
      <c r="D26" s="1342"/>
      <c r="E26" s="1966">
        <v>0</v>
      </c>
      <c r="F26" s="1966">
        <v>33016</v>
      </c>
      <c r="G26" s="1966">
        <v>0</v>
      </c>
      <c r="H26" s="1966">
        <v>0</v>
      </c>
      <c r="I26" s="1966">
        <v>33016</v>
      </c>
      <c r="J26" s="1966">
        <v>0</v>
      </c>
      <c r="K26" s="1966">
        <v>0</v>
      </c>
      <c r="L26" s="1966">
        <f t="shared" si="0"/>
        <v>33016</v>
      </c>
      <c r="M26" s="1343"/>
    </row>
    <row r="27" spans="2:14" ht="20.100000000000001" customHeight="1" thickBot="1" x14ac:dyDescent="0.25">
      <c r="B27" s="1959" t="s">
        <v>2154</v>
      </c>
      <c r="C27" s="1341"/>
      <c r="D27" s="1342"/>
      <c r="E27" s="1967">
        <f>SUM(E22+E24+E26)</f>
        <v>213093</v>
      </c>
      <c r="F27" s="1967">
        <f t="shared" ref="F27:K27" si="4">SUM(F22+F24+F26)</f>
        <v>420515</v>
      </c>
      <c r="G27" s="1967">
        <f t="shared" si="4"/>
        <v>213093</v>
      </c>
      <c r="H27" s="1967">
        <f t="shared" si="4"/>
        <v>0</v>
      </c>
      <c r="I27" s="1967">
        <f t="shared" si="4"/>
        <v>420515</v>
      </c>
      <c r="J27" s="1967">
        <f t="shared" si="4"/>
        <v>0</v>
      </c>
      <c r="K27" s="1967">
        <f t="shared" si="4"/>
        <v>0</v>
      </c>
      <c r="L27" s="1967">
        <f t="shared" si="0"/>
        <v>633608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B1:N152"/>
  <sheetViews>
    <sheetView showGridLines="0" topLeftCell="A13"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Carbondale Community High School Dist #165</v>
      </c>
      <c r="C1" s="2483"/>
      <c r="D1" s="2483"/>
      <c r="E1" s="2483"/>
      <c r="F1" s="2483"/>
      <c r="G1" s="2483"/>
      <c r="H1" s="2483"/>
      <c r="I1" s="2483"/>
      <c r="J1" s="2483"/>
      <c r="K1" s="2483"/>
      <c r="L1" s="2483"/>
      <c r="M1" s="2483"/>
    </row>
    <row r="2" spans="2:14" ht="15" x14ac:dyDescent="0.2">
      <c r="B2" s="2480" t="str">
        <f>'Single Audit Cover'!E7</f>
        <v>30-039-1650-16</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4.75" customHeight="1" x14ac:dyDescent="0.2">
      <c r="B11" s="1959" t="s">
        <v>2155</v>
      </c>
      <c r="C11" s="1338"/>
      <c r="D11" s="1339"/>
      <c r="E11" s="1340"/>
      <c r="F11" s="1340"/>
      <c r="G11" s="1340"/>
      <c r="H11" s="1340"/>
      <c r="I11" s="1340"/>
      <c r="J11" s="1340"/>
      <c r="K11" s="1340"/>
      <c r="L11" s="1340">
        <f>+G11+I11+K11</f>
        <v>0</v>
      </c>
      <c r="M11" s="1340"/>
    </row>
    <row r="12" spans="2:14" ht="20.100000000000001" customHeight="1" x14ac:dyDescent="0.2">
      <c r="B12" s="1337" t="s">
        <v>2156</v>
      </c>
      <c r="C12" s="1341"/>
      <c r="D12" s="1342"/>
      <c r="E12" s="1343"/>
      <c r="F12" s="1343"/>
      <c r="G12" s="1343"/>
      <c r="H12" s="1343"/>
      <c r="I12" s="1343"/>
      <c r="J12" s="1343"/>
      <c r="K12" s="1343"/>
      <c r="L12" s="1340">
        <f t="shared" ref="L12:L27" si="0">+G12+I12+K12</f>
        <v>0</v>
      </c>
      <c r="M12" s="1343"/>
    </row>
    <row r="13" spans="2:14" ht="20.100000000000001" customHeight="1" x14ac:dyDescent="0.2">
      <c r="B13" s="1337" t="s">
        <v>2157</v>
      </c>
      <c r="C13" s="1341"/>
      <c r="D13" s="1342"/>
      <c r="E13" s="1343"/>
      <c r="F13" s="1343"/>
      <c r="G13" s="1343"/>
      <c r="H13" s="1343"/>
      <c r="I13" s="1343"/>
      <c r="J13" s="1343"/>
      <c r="K13" s="1343"/>
      <c r="L13" s="1340">
        <f t="shared" si="0"/>
        <v>0</v>
      </c>
      <c r="M13" s="1343"/>
    </row>
    <row r="14" spans="2:14" ht="20.100000000000001" customHeight="1" x14ac:dyDescent="0.2">
      <c r="B14" s="1337" t="s">
        <v>2117</v>
      </c>
      <c r="C14" s="1341">
        <v>93.778000000000006</v>
      </c>
      <c r="D14" s="1342" t="s">
        <v>2158</v>
      </c>
      <c r="E14" s="1343">
        <v>33219</v>
      </c>
      <c r="F14" s="1343">
        <v>0</v>
      </c>
      <c r="G14" s="1343">
        <v>33219</v>
      </c>
      <c r="H14" s="1343">
        <v>0</v>
      </c>
      <c r="I14" s="1343">
        <v>0</v>
      </c>
      <c r="J14" s="1343">
        <v>0</v>
      </c>
      <c r="K14" s="1343">
        <v>0</v>
      </c>
      <c r="L14" s="1340">
        <f t="shared" si="0"/>
        <v>33219</v>
      </c>
      <c r="M14" s="1343"/>
    </row>
    <row r="15" spans="2:14" ht="20.100000000000001" customHeight="1" x14ac:dyDescent="0.2">
      <c r="B15" s="1337" t="s">
        <v>2120</v>
      </c>
      <c r="C15" s="1341">
        <v>93.778000000000006</v>
      </c>
      <c r="D15" s="1342" t="s">
        <v>2159</v>
      </c>
      <c r="E15" s="1343">
        <v>0</v>
      </c>
      <c r="F15" s="1343">
        <v>30558</v>
      </c>
      <c r="G15" s="1343">
        <v>0</v>
      </c>
      <c r="H15" s="1343">
        <v>0</v>
      </c>
      <c r="I15" s="1343">
        <v>30558</v>
      </c>
      <c r="J15" s="1343">
        <v>0</v>
      </c>
      <c r="K15" s="1343">
        <v>0</v>
      </c>
      <c r="L15" s="1340">
        <f t="shared" si="0"/>
        <v>30558</v>
      </c>
      <c r="M15" s="1343"/>
    </row>
    <row r="16" spans="2:14" ht="20.100000000000001" customHeight="1" x14ac:dyDescent="0.2">
      <c r="B16" s="1337"/>
      <c r="C16" s="1341"/>
      <c r="D16" s="1342"/>
      <c r="E16" s="1960"/>
      <c r="F16" s="1960"/>
      <c r="G16" s="1960"/>
      <c r="H16" s="1960"/>
      <c r="I16" s="1960"/>
      <c r="J16" s="1960"/>
      <c r="K16" s="1960"/>
      <c r="L16" s="1961">
        <f t="shared" si="0"/>
        <v>0</v>
      </c>
      <c r="M16" s="1343"/>
    </row>
    <row r="17" spans="2:14" ht="21.75" customHeight="1" thickBot="1" x14ac:dyDescent="0.25">
      <c r="B17" s="1959" t="s">
        <v>2160</v>
      </c>
      <c r="C17" s="1341"/>
      <c r="D17" s="1342"/>
      <c r="E17" s="1963">
        <f>SUM(E14:E16)</f>
        <v>33219</v>
      </c>
      <c r="F17" s="1963">
        <f t="shared" ref="F17:K17" si="1">SUM(F14:F16)</f>
        <v>30558</v>
      </c>
      <c r="G17" s="1963">
        <f t="shared" si="1"/>
        <v>33219</v>
      </c>
      <c r="H17" s="1963">
        <f t="shared" si="1"/>
        <v>0</v>
      </c>
      <c r="I17" s="1963">
        <f t="shared" si="1"/>
        <v>30558</v>
      </c>
      <c r="J17" s="1963">
        <f t="shared" si="1"/>
        <v>0</v>
      </c>
      <c r="K17" s="1963">
        <f t="shared" si="1"/>
        <v>0</v>
      </c>
      <c r="L17" s="1963">
        <f t="shared" si="0"/>
        <v>63777</v>
      </c>
      <c r="M17" s="1343"/>
    </row>
    <row r="18" spans="2:14" ht="20.100000000000001" customHeight="1" x14ac:dyDescent="0.2">
      <c r="B18" s="1337"/>
      <c r="C18" s="1341"/>
      <c r="D18" s="1342"/>
      <c r="E18" s="1340"/>
      <c r="F18" s="1340"/>
      <c r="G18" s="1340"/>
      <c r="H18" s="1340"/>
      <c r="I18" s="1340"/>
      <c r="J18" s="1340"/>
      <c r="K18" s="1340"/>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0"/>
      <c r="F26" s="1960"/>
      <c r="G26" s="1960"/>
      <c r="H26" s="1960"/>
      <c r="I26" s="1960"/>
      <c r="J26" s="1960"/>
      <c r="K26" s="1960"/>
      <c r="L26" s="1961">
        <f t="shared" si="0"/>
        <v>0</v>
      </c>
      <c r="M26" s="1343"/>
    </row>
    <row r="27" spans="2:14" ht="20.100000000000001" customHeight="1" thickBot="1" x14ac:dyDescent="0.25">
      <c r="B27" s="1959" t="s">
        <v>2161</v>
      </c>
      <c r="C27" s="1341"/>
      <c r="D27" s="1342"/>
      <c r="E27" s="1968" t="e">
        <f>SUM(E17+' SEFA (3)'!E27+' SEFA (2)'!E27)</f>
        <v>#REF!</v>
      </c>
      <c r="F27" s="1968" t="e">
        <f>SUM(F17+' SEFA (3)'!F27+' SEFA (2)'!F27)</f>
        <v>#REF!</v>
      </c>
      <c r="G27" s="1968" t="e">
        <f>SUM(G17+' SEFA (3)'!G27+' SEFA (2)'!G27)</f>
        <v>#REF!</v>
      </c>
      <c r="H27" s="1968" t="e">
        <f>SUM(H17+' SEFA (3)'!H27+' SEFA (2)'!H27)</f>
        <v>#REF!</v>
      </c>
      <c r="I27" s="1968" t="e">
        <f>SUM(I17+' SEFA (3)'!I27+' SEFA (2)'!I27)</f>
        <v>#REF!</v>
      </c>
      <c r="J27" s="1968" t="e">
        <f>SUM(J17+' SEFA (3)'!J27+' SEFA (2)'!J27)</f>
        <v>#REF!</v>
      </c>
      <c r="K27" s="1968" t="e">
        <f>SUM(K17+' SEFA (3)'!K27+' SEFA (2)'!K27)</f>
        <v>#REF!</v>
      </c>
      <c r="L27" s="1968" t="e">
        <f t="shared" si="0"/>
        <v>#REF!</v>
      </c>
      <c r="M27" s="1343"/>
      <c r="N27" s="1344"/>
    </row>
    <row r="28" spans="2:14" ht="12.75" customHeight="1" thickTop="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A1:J63"/>
  <sheetViews>
    <sheetView showGridLines="0" topLeftCell="A28" zoomScale="110" zoomScaleNormal="110" workbookViewId="0">
      <selection sqref="A1:S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7" t="str">
        <f>'Single Audit Cover'!A7</f>
        <v>Carbondale Community High School Dist #165</v>
      </c>
      <c r="C1" s="2498"/>
      <c r="D1" s="2498"/>
      <c r="E1" s="2498"/>
      <c r="F1" s="2498"/>
      <c r="G1" s="2498"/>
      <c r="H1" s="2498"/>
      <c r="I1" s="2498"/>
      <c r="J1" s="1422"/>
    </row>
    <row r="2" spans="2:10" s="317" customFormat="1" ht="12.75" customHeight="1" x14ac:dyDescent="0.2">
      <c r="B2" s="2499" t="str">
        <f>'Single Audit Cover'!E7</f>
        <v>30-039-1650-16</v>
      </c>
      <c r="C2" s="2500"/>
      <c r="D2" s="2500"/>
      <c r="E2" s="2500"/>
      <c r="F2" s="2500"/>
      <c r="G2" s="2500"/>
      <c r="H2" s="2500"/>
      <c r="I2" s="2500"/>
      <c r="J2" s="1422"/>
    </row>
    <row r="3" spans="2:10" s="317" customFormat="1" ht="12.75" customHeight="1" x14ac:dyDescent="0.2">
      <c r="B3" s="2501" t="s">
        <v>1347</v>
      </c>
      <c r="C3" s="2502"/>
      <c r="D3" s="2502"/>
      <c r="E3" s="2502"/>
      <c r="F3" s="2502"/>
      <c r="G3" s="2502"/>
      <c r="H3" s="2502"/>
      <c r="I3" s="2502"/>
      <c r="J3" s="1423"/>
    </row>
    <row r="4" spans="2:10" s="317" customFormat="1" ht="12.75" customHeight="1" x14ac:dyDescent="0.2">
      <c r="B4" s="2501" t="str">
        <f>'Single Audit Cover'!A4</f>
        <v>Year Ending June 30, 2018</v>
      </c>
      <c r="C4" s="2502"/>
      <c r="D4" s="2502"/>
      <c r="E4" s="2502"/>
      <c r="F4" s="2502"/>
      <c r="G4" s="2502"/>
      <c r="H4" s="2502"/>
      <c r="I4" s="250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1" t="s">
        <v>1346</v>
      </c>
      <c r="C7" s="2502"/>
      <c r="D7" s="2502"/>
      <c r="E7" s="2502"/>
      <c r="F7" s="2502"/>
      <c r="G7" s="2502"/>
      <c r="H7" s="2502"/>
      <c r="I7" s="250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3" t="s">
        <v>1226</v>
      </c>
      <c r="D11" s="250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4" t="s">
        <v>2162</v>
      </c>
      <c r="E29" s="2504"/>
      <c r="F29" s="2504"/>
      <c r="G29" s="2504"/>
      <c r="H29" s="2504"/>
      <c r="I29" s="2504"/>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5" t="s">
        <v>1851</v>
      </c>
      <c r="D37" s="2506"/>
      <c r="E37" s="2506"/>
      <c r="F37" s="2507"/>
      <c r="G37" s="2505" t="s">
        <v>1674</v>
      </c>
      <c r="H37" s="2506"/>
      <c r="I37" s="2507"/>
    </row>
    <row r="38" spans="2:9" ht="16.5" customHeight="1" x14ac:dyDescent="0.2">
      <c r="B38" s="1444" t="s">
        <v>2118</v>
      </c>
      <c r="C38" s="2493" t="s">
        <v>2163</v>
      </c>
      <c r="D38" s="2494"/>
      <c r="E38" s="2494"/>
      <c r="F38" s="2495"/>
      <c r="G38" s="2508">
        <v>576371</v>
      </c>
      <c r="H38" s="2509"/>
      <c r="I38" s="2510"/>
    </row>
    <row r="39" spans="2:9" ht="16.5" customHeight="1" x14ac:dyDescent="0.2">
      <c r="B39" s="1444" t="s">
        <v>2133</v>
      </c>
      <c r="C39" s="2493" t="s">
        <v>2164</v>
      </c>
      <c r="D39" s="2494"/>
      <c r="E39" s="2494"/>
      <c r="F39" s="2495"/>
      <c r="G39" s="2496">
        <v>66500</v>
      </c>
      <c r="H39" s="2496"/>
      <c r="I39" s="2496"/>
    </row>
    <row r="40" spans="2:9" ht="16.5" customHeight="1" x14ac:dyDescent="0.2">
      <c r="B40" s="1444"/>
      <c r="C40" s="2493"/>
      <c r="D40" s="2494"/>
      <c r="E40" s="2494"/>
      <c r="F40" s="2495"/>
      <c r="G40" s="2496"/>
      <c r="H40" s="2496"/>
      <c r="I40" s="2496"/>
    </row>
    <row r="41" spans="2:9" ht="16.5" customHeight="1" x14ac:dyDescent="0.2">
      <c r="B41" s="1444"/>
      <c r="C41" s="2493"/>
      <c r="D41" s="2494"/>
      <c r="E41" s="2494"/>
      <c r="F41" s="2495"/>
      <c r="G41" s="2496"/>
      <c r="H41" s="2496"/>
      <c r="I41" s="2496"/>
    </row>
    <row r="42" spans="2:9" ht="16.5" customHeight="1" x14ac:dyDescent="0.2">
      <c r="B42" s="1444"/>
      <c r="C42" s="2493"/>
      <c r="D42" s="2494"/>
      <c r="E42" s="2494"/>
      <c r="F42" s="2495"/>
      <c r="G42" s="2496"/>
      <c r="H42" s="2496"/>
      <c r="I42" s="2496"/>
    </row>
    <row r="43" spans="2:9" ht="16.5" customHeight="1" x14ac:dyDescent="0.2">
      <c r="B43" s="1444"/>
      <c r="C43" s="2486" t="s">
        <v>1675</v>
      </c>
      <c r="D43" s="2487"/>
      <c r="E43" s="2487"/>
      <c r="F43" s="2488"/>
      <c r="G43" s="2489">
        <f>SUM(G38:I42)</f>
        <v>642871</v>
      </c>
      <c r="H43" s="2489"/>
      <c r="I43" s="2489"/>
    </row>
    <row r="44" spans="2:9" ht="12.75" customHeight="1" x14ac:dyDescent="0.2"/>
    <row r="45" spans="2:9" ht="12.75" customHeight="1" x14ac:dyDescent="0.2">
      <c r="B45" s="1435" t="s">
        <v>1947</v>
      </c>
      <c r="D45" s="2490">
        <v>1186283</v>
      </c>
      <c r="E45" s="2491"/>
    </row>
    <row r="46" spans="2:9" ht="5.25" customHeight="1" x14ac:dyDescent="0.2">
      <c r="B46" s="1445"/>
      <c r="D46" s="1446"/>
      <c r="E46" s="1447"/>
    </row>
    <row r="47" spans="2:9" ht="12.75" customHeight="1" x14ac:dyDescent="0.2">
      <c r="B47" s="1300" t="s">
        <v>1676</v>
      </c>
      <c r="C47" s="1300"/>
      <c r="D47" s="1448">
        <f>+G43/D45</f>
        <v>0.54192043551159375</v>
      </c>
      <c r="E47" s="1449"/>
      <c r="F47" s="1450"/>
      <c r="I47" s="1451"/>
    </row>
    <row r="48" spans="2:9" ht="9.9499999999999993" customHeight="1" x14ac:dyDescent="0.2"/>
    <row r="49" spans="1:9" x14ac:dyDescent="0.2">
      <c r="B49" s="1368" t="s">
        <v>1335</v>
      </c>
      <c r="C49" s="1282"/>
      <c r="D49" s="1282"/>
      <c r="E49" s="2492">
        <v>750000</v>
      </c>
      <c r="F49" s="2492"/>
      <c r="G49" s="2492"/>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dimension ref="A1:M41"/>
  <sheetViews>
    <sheetView showGridLines="0" topLeftCell="A19" zoomScale="110" zoomScaleNormal="110" workbookViewId="0">
      <selection sqref="A1:S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Carbondale Community High School Dist #165</v>
      </c>
      <c r="C1" s="2497"/>
      <c r="D1" s="2497"/>
      <c r="E1" s="2497"/>
      <c r="F1" s="2497"/>
      <c r="G1" s="2497"/>
      <c r="H1" s="2497"/>
      <c r="I1" s="2497"/>
      <c r="J1" s="2497"/>
      <c r="K1" s="2497"/>
      <c r="L1" s="1374"/>
      <c r="M1" s="1374"/>
    </row>
    <row r="2" spans="1:13" ht="12" customHeight="1" x14ac:dyDescent="0.2">
      <c r="B2" s="2499" t="str">
        <f>'Single Audit Cover'!E7</f>
        <v>30-039-1650-16</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954"/>
      <c r="M3" s="195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9.5" customHeight="1" x14ac:dyDescent="0.2">
      <c r="B14" s="2512" t="s">
        <v>2165</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0" customHeight="1" x14ac:dyDescent="0.2">
      <c r="B17" s="2512" t="s">
        <v>2166</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39" customHeight="1" x14ac:dyDescent="0.2">
      <c r="B20" s="2516" t="s">
        <v>2167</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35.25" customHeight="1" x14ac:dyDescent="0.2">
      <c r="B23" s="2512" t="s">
        <v>2168</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2169</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2170</v>
      </c>
      <c r="C29" s="2511"/>
      <c r="D29" s="2512"/>
      <c r="E29" s="2512"/>
      <c r="F29" s="2512"/>
      <c r="G29" s="2512"/>
      <c r="H29" s="2512"/>
      <c r="I29" s="2512"/>
      <c r="J29" s="2512"/>
      <c r="K29" s="2512"/>
      <c r="L29" s="1381"/>
    </row>
    <row r="30" spans="2:12" ht="4.5" hidden="1"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53.25" customHeight="1" x14ac:dyDescent="0.2">
      <c r="B32" s="2511" t="s">
        <v>2171</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L52"/>
  <sheetViews>
    <sheetView showGridLines="0" topLeftCell="A43" zoomScale="110" zoomScaleNormal="110" workbookViewId="0">
      <selection sqref="A1:S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Carbondale Community High School Dist #165</v>
      </c>
      <c r="C1" s="2521"/>
      <c r="D1" s="2521"/>
      <c r="E1" s="2521"/>
      <c r="F1" s="2521"/>
      <c r="G1" s="2521"/>
      <c r="H1" s="2521"/>
      <c r="I1" s="2521"/>
      <c r="J1" s="2521"/>
      <c r="K1" s="2521"/>
      <c r="L1" s="1465"/>
    </row>
    <row r="2" spans="1:12" ht="12.75" customHeight="1" x14ac:dyDescent="0.2">
      <c r="B2" s="2522" t="str">
        <f>'Single Audit Cover'!E7</f>
        <v>30-039-1650-16</v>
      </c>
      <c r="C2" s="2522"/>
      <c r="D2" s="2522"/>
      <c r="E2" s="2522"/>
      <c r="F2" s="2522"/>
      <c r="G2" s="2522"/>
      <c r="H2" s="2522"/>
      <c r="I2" s="2522"/>
      <c r="J2" s="2522"/>
      <c r="K2" s="2522"/>
      <c r="L2" s="1466"/>
    </row>
    <row r="3" spans="1:12" ht="12.75" customHeight="1" x14ac:dyDescent="0.2">
      <c r="B3" s="2513" t="s">
        <v>1347</v>
      </c>
      <c r="C3" s="2513"/>
      <c r="D3" s="2513"/>
      <c r="E3" s="2513"/>
      <c r="F3" s="2513"/>
      <c r="G3" s="2513"/>
      <c r="H3" s="2513"/>
      <c r="I3" s="2513"/>
      <c r="J3" s="2513"/>
      <c r="K3" s="2513"/>
      <c r="L3" s="1377"/>
    </row>
    <row r="4" spans="1:12" ht="12.75" customHeight="1" x14ac:dyDescent="0.2">
      <c r="B4" s="2513" t="str">
        <f>'Single Audit Cover'!A4</f>
        <v>Year Ending June 30, 2018</v>
      </c>
      <c r="C4" s="2513"/>
      <c r="D4" s="2513"/>
      <c r="E4" s="2513"/>
      <c r="F4" s="2513"/>
      <c r="G4" s="2513"/>
      <c r="H4" s="2513"/>
      <c r="I4" s="2513"/>
      <c r="J4" s="2513"/>
      <c r="K4" s="2513"/>
      <c r="L4" s="1377"/>
    </row>
    <row r="5" spans="1:12" ht="5.25" customHeight="1" x14ac:dyDescent="0.2">
      <c r="B5" s="1260" t="s">
        <v>1231</v>
      </c>
      <c r="C5" s="1260"/>
      <c r="L5" s="322"/>
    </row>
    <row r="6" spans="1:12" ht="30.75" customHeight="1" x14ac:dyDescent="0.2">
      <c r="A6" s="322"/>
      <c r="B6" s="2523" t="s">
        <v>1375</v>
      </c>
      <c r="C6" s="2523"/>
      <c r="D6" s="2523"/>
      <c r="E6" s="2523"/>
      <c r="F6" s="2523"/>
      <c r="G6" s="2523"/>
      <c r="H6" s="2523"/>
      <c r="I6" s="2523"/>
      <c r="J6" s="2523"/>
      <c r="K6" s="252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2172</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4"/>
      <c r="G12" s="2504"/>
      <c r="H12" s="2504"/>
      <c r="I12" s="2504"/>
      <c r="J12" s="2504"/>
      <c r="K12" s="250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8"/>
      <c r="E14" s="2518"/>
      <c r="F14" s="2518"/>
      <c r="H14" s="1475" t="s">
        <v>1370</v>
      </c>
      <c r="I14" s="2519"/>
      <c r="J14" s="2519"/>
      <c r="K14" s="251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9"/>
      <c r="E16" s="2519"/>
      <c r="F16" s="2519"/>
      <c r="G16" s="2519"/>
      <c r="H16" s="2519"/>
      <c r="I16" s="2519"/>
      <c r="J16" s="2519"/>
      <c r="K16" s="2519"/>
      <c r="L16" s="322"/>
    </row>
    <row r="17" spans="2:12" ht="13.5" customHeight="1" x14ac:dyDescent="0.2">
      <c r="B17" s="1387" t="s">
        <v>1368</v>
      </c>
      <c r="C17" s="1387"/>
      <c r="D17" s="2520"/>
      <c r="E17" s="2520"/>
      <c r="F17" s="2520"/>
      <c r="G17" s="2520"/>
      <c r="H17" s="2520"/>
      <c r="I17" s="2520"/>
      <c r="J17" s="2520"/>
      <c r="K17" s="252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7"/>
      <c r="C20" s="2517"/>
      <c r="D20" s="2517"/>
      <c r="E20" s="2517"/>
      <c r="F20" s="2517"/>
      <c r="G20" s="2517"/>
      <c r="H20" s="2517"/>
      <c r="I20" s="2517"/>
      <c r="J20" s="2517"/>
      <c r="K20" s="251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17"/>
      <c r="C23" s="2517"/>
      <c r="D23" s="2517"/>
      <c r="E23" s="2517"/>
      <c r="F23" s="2517"/>
      <c r="G23" s="2517"/>
      <c r="H23" s="2517"/>
      <c r="I23" s="2517"/>
      <c r="J23" s="2517"/>
      <c r="K23" s="251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17"/>
      <c r="C26" s="2517"/>
      <c r="D26" s="2517"/>
      <c r="E26" s="2517"/>
      <c r="F26" s="2517"/>
      <c r="G26" s="2517"/>
      <c r="H26" s="2517"/>
      <c r="I26" s="2517"/>
      <c r="J26" s="2517"/>
      <c r="K26" s="251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7"/>
      <c r="C29" s="2517"/>
      <c r="D29" s="2517"/>
      <c r="E29" s="2517"/>
      <c r="F29" s="2517"/>
      <c r="G29" s="2517"/>
      <c r="H29" s="2517"/>
      <c r="I29" s="2517"/>
      <c r="J29" s="2517"/>
      <c r="K29" s="251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7"/>
      <c r="C32" s="2517"/>
      <c r="D32" s="2517"/>
      <c r="E32" s="2517"/>
      <c r="F32" s="2517"/>
      <c r="G32" s="2517"/>
      <c r="H32" s="2517"/>
      <c r="I32" s="2517"/>
      <c r="J32" s="2517"/>
      <c r="K32" s="251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7"/>
      <c r="C35" s="2517"/>
      <c r="D35" s="2517"/>
      <c r="E35" s="2517"/>
      <c r="F35" s="2517"/>
      <c r="G35" s="2517"/>
      <c r="H35" s="2517"/>
      <c r="I35" s="2517"/>
      <c r="J35" s="2517"/>
      <c r="K35" s="251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7"/>
      <c r="C38" s="2517"/>
      <c r="D38" s="2517"/>
      <c r="E38" s="2517"/>
      <c r="F38" s="2517"/>
      <c r="G38" s="2517"/>
      <c r="H38" s="2517"/>
      <c r="I38" s="2517"/>
      <c r="J38" s="2517"/>
      <c r="K38" s="251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17"/>
      <c r="C41" s="2517"/>
      <c r="D41" s="2517"/>
      <c r="E41" s="2517"/>
      <c r="F41" s="2517"/>
      <c r="G41" s="2517"/>
      <c r="H41" s="2517"/>
      <c r="I41" s="2517"/>
      <c r="J41" s="2517"/>
      <c r="K41" s="251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dimension ref="B1:E73"/>
  <sheetViews>
    <sheetView showGridLines="0" topLeftCell="A25" zoomScale="110" zoomScaleNormal="110" workbookViewId="0">
      <selection sqref="A1:S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7" t="str">
        <f>'Single Audit Cover'!A7</f>
        <v>Carbondale Community High School Dist #165</v>
      </c>
      <c r="C1" s="2497"/>
      <c r="D1" s="2497"/>
      <c r="E1" s="1491"/>
    </row>
    <row r="2" spans="2:5" s="1282" customFormat="1" ht="12.75" customHeight="1" x14ac:dyDescent="0.2">
      <c r="B2" s="2499" t="str">
        <f>'Single Audit Cover'!E7</f>
        <v>30-039-1650-16</v>
      </c>
      <c r="C2" s="2499"/>
      <c r="D2" s="2499"/>
      <c r="E2" s="1492"/>
    </row>
    <row r="3" spans="2:5" ht="12.75" customHeight="1" x14ac:dyDescent="0.2">
      <c r="B3" s="2513" t="s">
        <v>1866</v>
      </c>
      <c r="C3" s="2513"/>
      <c r="D3" s="2513"/>
      <c r="E3" s="1274"/>
    </row>
    <row r="4" spans="2:5" s="1282" customFormat="1" ht="12.75" customHeight="1" x14ac:dyDescent="0.2">
      <c r="B4" s="2524" t="str">
        <f>'Single Audit Cover'!A4</f>
        <v>Year Ending June 30, 2018</v>
      </c>
      <c r="C4" s="2524"/>
      <c r="D4" s="2524"/>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496" t="s">
        <v>2175</v>
      </c>
      <c r="C8" s="324" t="s">
        <v>2173</v>
      </c>
      <c r="D8" s="324" t="s">
        <v>2174</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1868</v>
      </c>
    </row>
    <row r="46" spans="2:5" ht="12.2" customHeight="1" x14ac:dyDescent="0.2">
      <c r="B46" s="1505" t="s">
        <v>1869</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sqref="A1:S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404</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481048410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1.55903E-2</v>
      </c>
      <c r="E10" s="356" t="s">
        <v>1062</v>
      </c>
      <c r="F10" s="355">
        <v>3.0923999999999999E-3</v>
      </c>
      <c r="G10" s="356" t="s">
        <v>1062</v>
      </c>
      <c r="H10" s="355">
        <v>1.1900999999999999E-3</v>
      </c>
      <c r="I10" s="356" t="s">
        <v>1063</v>
      </c>
      <c r="J10" s="1753">
        <f>ROUND(D10+F10+H10,5)</f>
        <v>1.9869999999999999E-2</v>
      </c>
      <c r="K10" s="222"/>
      <c r="L10" s="355">
        <v>4.5399999999999998E-4</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14550037</v>
      </c>
      <c r="E16" s="356"/>
      <c r="F16" s="1754">
        <f>SUM('Acct Summary 7-8'!C17,'Acct Summary 7-8'!D17,'Acct Summary 7-8'!F17)</f>
        <v>13659364</v>
      </c>
      <c r="G16" s="356"/>
      <c r="H16" s="1754">
        <f>SUM(D16-F16)</f>
        <v>890673</v>
      </c>
      <c r="I16" s="222"/>
      <c r="J16" s="1754">
        <f>SUM('Acct Summary 7-8'!C81,'Acct Summary 7-8'!D81,'Acct Summary 7-8'!F81,'Acct Summary 7-8'!I81)</f>
        <v>7480363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6">
        <f>IF(B31="X",(J7*0.069),IF(B32="X",(J7*0.138),"Enter x in a.or b."))</f>
        <v>33192340.290000003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2422525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S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577</v>
      </c>
      <c r="B2" s="2139"/>
      <c r="C2" s="2139"/>
      <c r="D2" s="2139"/>
      <c r="E2" s="2139"/>
      <c r="F2" s="2139"/>
      <c r="G2" s="2139"/>
      <c r="H2" s="2139"/>
      <c r="I2" s="2139"/>
      <c r="J2" s="2139"/>
      <c r="K2" s="2139"/>
      <c r="L2" s="2139"/>
      <c r="M2" s="2139"/>
      <c r="N2" s="2139"/>
      <c r="O2" s="2139"/>
      <c r="P2" s="2139"/>
      <c r="Q2" s="2139"/>
      <c r="R2" s="2139"/>
    </row>
    <row r="3" spans="1:18" ht="12.75" x14ac:dyDescent="0.2">
      <c r="A3" s="2140" t="s">
        <v>1480</v>
      </c>
      <c r="B3" s="2140"/>
      <c r="C3" s="2140"/>
      <c r="D3" s="2140"/>
      <c r="E3" s="2140"/>
      <c r="F3" s="2140"/>
      <c r="G3" s="2140"/>
      <c r="H3" s="2140"/>
      <c r="I3" s="2140"/>
      <c r="J3" s="2140"/>
      <c r="K3" s="2140"/>
      <c r="L3" s="2140"/>
      <c r="M3" s="2140"/>
      <c r="N3" s="2140"/>
      <c r="O3" s="2140"/>
      <c r="P3" s="2140"/>
      <c r="Q3" s="2140"/>
      <c r="R3" s="2140"/>
    </row>
    <row r="4" spans="1:18" x14ac:dyDescent="0.2">
      <c r="A4" s="2141" t="s">
        <v>1635</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Carbondale Community High School Dist #165</v>
      </c>
      <c r="E7" s="391"/>
      <c r="G7" s="252"/>
      <c r="H7" s="387"/>
      <c r="I7" s="387"/>
      <c r="J7" s="387"/>
      <c r="K7" s="387"/>
      <c r="L7" s="329"/>
      <c r="M7" s="329"/>
      <c r="N7" s="329"/>
      <c r="O7" s="329"/>
      <c r="P7" s="329"/>
    </row>
    <row r="8" spans="1:18" ht="12.75" x14ac:dyDescent="0.2">
      <c r="A8" s="329"/>
      <c r="B8" s="329"/>
      <c r="C8" s="389" t="s">
        <v>1187</v>
      </c>
      <c r="D8" s="392" t="str">
        <f>COVER!A13</f>
        <v>30-039-1650-16</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7480363</v>
      </c>
      <c r="I12" s="404"/>
      <c r="J12" s="404"/>
      <c r="K12" s="405">
        <f>TRUNC((H12/H13*100000),5)/100000</f>
        <v>0.51411298810000006</v>
      </c>
      <c r="L12" s="406"/>
      <c r="M12" s="360" t="s">
        <v>1206</v>
      </c>
      <c r="N12" s="360"/>
      <c r="O12" s="407">
        <v>0.35</v>
      </c>
      <c r="P12" s="218"/>
      <c r="Q12" s="218"/>
    </row>
    <row r="13" spans="1:18" s="408" customFormat="1" ht="12.75" x14ac:dyDescent="0.2">
      <c r="A13" s="218"/>
      <c r="B13" s="401"/>
      <c r="C13" s="2137" t="s">
        <v>1391</v>
      </c>
      <c r="D13" s="2138"/>
      <c r="E13" s="218"/>
      <c r="F13" s="409" t="s">
        <v>826</v>
      </c>
      <c r="G13" s="402"/>
      <c r="H13" s="403">
        <f>SUM('Acct Summary 7-8'!C8+'Acct Summary 7-8'!D8+'Acct Summary 7-8'!F8+'Acct Summary 7-8'!I8)+H14</f>
        <v>14550037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13659364</v>
      </c>
      <c r="I17" s="404"/>
      <c r="J17" s="416"/>
      <c r="K17" s="405">
        <f>TRUNC((H17/H18*100000),5)/100000</f>
        <v>0.93878551640000008</v>
      </c>
      <c r="L17" s="406"/>
      <c r="M17" s="417" t="s">
        <v>1233</v>
      </c>
      <c r="O17" s="418" t="str">
        <f>IF(AND(O16="2", J20 &gt; 2),"1",IF(AND(O16 = "1", J20 &gt; 2),"2",IF(AND(O16="1", J20 &gt;1),"1","0")))</f>
        <v>0</v>
      </c>
      <c r="P17" s="218"/>
    </row>
    <row r="18" spans="1:18" s="408" customFormat="1" ht="11.25" x14ac:dyDescent="0.2">
      <c r="A18" s="218"/>
      <c r="B18" s="401"/>
      <c r="C18" s="2137" t="s">
        <v>1384</v>
      </c>
      <c r="D18" s="2138"/>
      <c r="E18" s="218"/>
      <c r="F18" s="419" t="s">
        <v>827</v>
      </c>
      <c r="G18" s="402"/>
      <c r="H18" s="403">
        <f>SUM('Acct Summary 7-8'!C8+'Acct Summary 7-8'!D8+'Acct Summary 7-8'!F8+'Acct Summary 7-8'!I8)+H19</f>
        <v>14550037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4" t="s">
        <v>1479</v>
      </c>
      <c r="D24" s="2134"/>
      <c r="E24" s="218"/>
      <c r="F24" s="218" t="s">
        <v>465</v>
      </c>
      <c r="G24" s="402"/>
      <c r="H24" s="403">
        <f>SUM('Assets-Liab 5-6'!C4+'Assets-Liab 5-6'!D4+'Assets-Liab 5-6'!F4+'Assets-Liab 5-6'!I4+'Assets-Liab 5-6'!C5+'Assets-Liab 5-6'!D5+'Assets-Liab 5-6'!F5+'Assets-Liab 5-6'!I5)</f>
        <v>7459531</v>
      </c>
      <c r="I24" s="422"/>
      <c r="J24" s="422"/>
      <c r="K24" s="423">
        <f>TRUNC(((H24/H25*100000)/100000),2)</f>
        <v>196.6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37942.677779999998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8124667.1206999999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2422525</v>
      </c>
      <c r="I32" s="420"/>
      <c r="J32" s="420"/>
      <c r="K32" s="423">
        <f>TRUNC(100-((((H32/H33*100))*100)/100),2)</f>
        <v>92.7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33192340.290000003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S2"/>
      <selection pane="bottomLeft" sqref="A1:S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4" t="s">
        <v>1030</v>
      </c>
      <c r="B3" s="2145"/>
      <c r="C3" s="1581"/>
      <c r="D3" s="1582"/>
      <c r="E3" s="1582"/>
      <c r="F3" s="1582"/>
      <c r="G3" s="1582"/>
      <c r="H3" s="1582"/>
      <c r="I3" s="1582"/>
      <c r="J3" s="1582"/>
      <c r="K3" s="1582"/>
      <c r="L3" s="1582"/>
      <c r="M3" s="1583"/>
      <c r="N3" s="1584"/>
    </row>
    <row r="4" spans="1:14" ht="13.5" customHeight="1" x14ac:dyDescent="0.2">
      <c r="A4" s="463" t="s">
        <v>1750</v>
      </c>
      <c r="B4" s="464"/>
      <c r="C4" s="465">
        <v>3064417</v>
      </c>
      <c r="D4" s="466">
        <v>1229521</v>
      </c>
      <c r="E4" s="466">
        <v>1215553</v>
      </c>
      <c r="F4" s="466">
        <v>1148818</v>
      </c>
      <c r="G4" s="466">
        <v>477826</v>
      </c>
      <c r="H4" s="466">
        <v>486831</v>
      </c>
      <c r="I4" s="466">
        <v>2016775</v>
      </c>
      <c r="J4" s="467">
        <v>98589</v>
      </c>
      <c r="K4" s="466">
        <v>202937</v>
      </c>
      <c r="L4" s="466">
        <v>432398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3064417</v>
      </c>
      <c r="D13" s="1758">
        <f t="shared" ref="D13:L13" si="0">SUM(D4:D12)</f>
        <v>1229521</v>
      </c>
      <c r="E13" s="1758">
        <f t="shared" si="0"/>
        <v>1215553</v>
      </c>
      <c r="F13" s="1758">
        <f t="shared" si="0"/>
        <v>1148818</v>
      </c>
      <c r="G13" s="1758">
        <f t="shared" si="0"/>
        <v>477826</v>
      </c>
      <c r="H13" s="1758">
        <f t="shared" si="0"/>
        <v>486831</v>
      </c>
      <c r="I13" s="1758">
        <f t="shared" si="0"/>
        <v>2016775</v>
      </c>
      <c r="J13" s="1758">
        <f t="shared" si="0"/>
        <v>98589</v>
      </c>
      <c r="K13" s="1758">
        <f t="shared" si="0"/>
        <v>202937</v>
      </c>
      <c r="L13" s="1758">
        <f t="shared" si="0"/>
        <v>432398</v>
      </c>
      <c r="M13" s="468"/>
      <c r="N13" s="469"/>
    </row>
    <row r="14" spans="1:14" ht="18" customHeight="1" thickTop="1" x14ac:dyDescent="0.2">
      <c r="A14" s="2146" t="s">
        <v>149</v>
      </c>
      <c r="B14" s="214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147429</v>
      </c>
      <c r="N16" s="484"/>
    </row>
    <row r="17" spans="1:14" s="485" customFormat="1" ht="12.75" customHeight="1" x14ac:dyDescent="0.2">
      <c r="A17" s="482" t="s">
        <v>1470</v>
      </c>
      <c r="B17" s="483">
        <v>230</v>
      </c>
      <c r="C17" s="477"/>
      <c r="D17" s="477"/>
      <c r="E17" s="477"/>
      <c r="F17" s="477"/>
      <c r="G17" s="477"/>
      <c r="H17" s="477"/>
      <c r="I17" s="477"/>
      <c r="J17" s="477"/>
      <c r="K17" s="477"/>
      <c r="L17" s="477"/>
      <c r="M17" s="467">
        <v>33355721</v>
      </c>
      <c r="N17" s="484"/>
    </row>
    <row r="18" spans="1:14" s="485" customFormat="1" ht="12.75" customHeight="1" x14ac:dyDescent="0.2">
      <c r="A18" s="482" t="s">
        <v>1471</v>
      </c>
      <c r="B18" s="483">
        <v>240</v>
      </c>
      <c r="C18" s="477"/>
      <c r="D18" s="477"/>
      <c r="E18" s="477"/>
      <c r="F18" s="477"/>
      <c r="G18" s="477"/>
      <c r="H18" s="477"/>
      <c r="I18" s="477"/>
      <c r="J18" s="477"/>
      <c r="K18" s="477"/>
      <c r="L18" s="477"/>
      <c r="M18" s="467">
        <v>3207872</v>
      </c>
      <c r="N18" s="484"/>
    </row>
    <row r="19" spans="1:14" s="485" customFormat="1" ht="12.75" customHeight="1" x14ac:dyDescent="0.2">
      <c r="A19" s="482" t="s">
        <v>1472</v>
      </c>
      <c r="B19" s="483">
        <v>250</v>
      </c>
      <c r="C19" s="477"/>
      <c r="D19" s="477"/>
      <c r="E19" s="477"/>
      <c r="F19" s="477"/>
      <c r="G19" s="477"/>
      <c r="H19" s="477"/>
      <c r="I19" s="477"/>
      <c r="J19" s="477"/>
      <c r="K19" s="477"/>
      <c r="L19" s="477"/>
      <c r="M19" s="467">
        <v>4887474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1215553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1206972</v>
      </c>
    </row>
    <row r="23" spans="1:14" ht="13.5" customHeight="1" thickBot="1" x14ac:dyDescent="0.25">
      <c r="A23" s="1757" t="s">
        <v>664</v>
      </c>
      <c r="B23" s="1762"/>
      <c r="C23" s="468"/>
      <c r="D23" s="468"/>
      <c r="E23" s="468"/>
      <c r="F23" s="468"/>
      <c r="G23" s="468"/>
      <c r="H23" s="468"/>
      <c r="I23" s="468"/>
      <c r="J23" s="468"/>
      <c r="K23" s="468"/>
      <c r="L23" s="468"/>
      <c r="M23" s="1709">
        <f>SUM(M15:M22)</f>
        <v>41598496</v>
      </c>
      <c r="N23" s="1709">
        <f>SUM(N21:N22)</f>
        <v>2422525</v>
      </c>
    </row>
    <row r="24" spans="1:14" ht="18" customHeight="1" thickTop="1" x14ac:dyDescent="0.2">
      <c r="A24" s="2148" t="s">
        <v>619</v>
      </c>
      <c r="B24" s="214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-20822</v>
      </c>
      <c r="D30" s="474">
        <v>-10</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432398</v>
      </c>
      <c r="M33" s="468"/>
      <c r="N33" s="469"/>
    </row>
    <row r="34" spans="1:14" ht="13.5" customHeight="1" thickBot="1" x14ac:dyDescent="0.25">
      <c r="A34" s="1759" t="s">
        <v>675</v>
      </c>
      <c r="B34" s="1760"/>
      <c r="C34" s="1761">
        <f>SUM(C25:C33)</f>
        <v>-20822</v>
      </c>
      <c r="D34" s="1761">
        <f t="shared" ref="D34:K34" si="1">SUM(D25:D33)</f>
        <v>-10</v>
      </c>
      <c r="E34" s="1761">
        <f t="shared" si="1"/>
        <v>0</v>
      </c>
      <c r="F34" s="1761">
        <f t="shared" si="1"/>
        <v>0</v>
      </c>
      <c r="G34" s="1761">
        <f t="shared" si="1"/>
        <v>0</v>
      </c>
      <c r="H34" s="1761">
        <f t="shared" si="1"/>
        <v>0</v>
      </c>
      <c r="I34" s="1761">
        <f t="shared" si="1"/>
        <v>0</v>
      </c>
      <c r="J34" s="1761">
        <f t="shared" si="1"/>
        <v>0</v>
      </c>
      <c r="K34" s="1761">
        <f t="shared" si="1"/>
        <v>0</v>
      </c>
      <c r="L34" s="1742">
        <f>SUM(L33)</f>
        <v>432398</v>
      </c>
      <c r="M34" s="468"/>
      <c r="N34" s="480"/>
    </row>
    <row r="35" spans="1:14" ht="18" customHeight="1" thickTop="1" x14ac:dyDescent="0.2">
      <c r="A35" s="2150" t="s">
        <v>550</v>
      </c>
      <c r="B35" s="215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2422525</v>
      </c>
    </row>
    <row r="37" spans="1:14" ht="13.5" thickBot="1" x14ac:dyDescent="0.25">
      <c r="A37" s="1757" t="s">
        <v>674</v>
      </c>
      <c r="B37" s="1762"/>
      <c r="C37" s="477"/>
      <c r="D37" s="477"/>
      <c r="E37" s="477"/>
      <c r="F37" s="477"/>
      <c r="G37" s="477"/>
      <c r="H37" s="477"/>
      <c r="I37" s="477"/>
      <c r="J37" s="477"/>
      <c r="K37" s="477"/>
      <c r="L37" s="480"/>
      <c r="M37" s="468"/>
      <c r="N37" s="1709">
        <f>SUM(N36:N36)</f>
        <v>2422525</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3085239</v>
      </c>
      <c r="D39" s="466">
        <v>1229531</v>
      </c>
      <c r="E39" s="466">
        <v>1215553</v>
      </c>
      <c r="F39" s="466">
        <v>1148818</v>
      </c>
      <c r="G39" s="466">
        <v>477826</v>
      </c>
      <c r="H39" s="466">
        <v>486831</v>
      </c>
      <c r="I39" s="466">
        <v>2016775</v>
      </c>
      <c r="J39" s="467">
        <v>98589</v>
      </c>
      <c r="K39" s="466">
        <v>202937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41598496</v>
      </c>
      <c r="N40" s="497"/>
    </row>
    <row r="41" spans="1:14" ht="13.5" customHeight="1" thickBot="1" x14ac:dyDescent="0.25">
      <c r="A41" s="1757" t="s">
        <v>676</v>
      </c>
      <c r="B41" s="1727"/>
      <c r="C41" s="1709">
        <f>(SUM(C34,C37,C38,C39))</f>
        <v>3064417</v>
      </c>
      <c r="D41" s="1709">
        <f t="shared" ref="D41:L41" si="2">SUM(D34,D37,D38:D39)</f>
        <v>1229521</v>
      </c>
      <c r="E41" s="1709">
        <f t="shared" si="2"/>
        <v>1215553</v>
      </c>
      <c r="F41" s="1709">
        <f t="shared" si="2"/>
        <v>1148818</v>
      </c>
      <c r="G41" s="1709">
        <f t="shared" si="2"/>
        <v>477826</v>
      </c>
      <c r="H41" s="1709">
        <f t="shared" si="2"/>
        <v>486831</v>
      </c>
      <c r="I41" s="1709">
        <f t="shared" si="2"/>
        <v>2016775</v>
      </c>
      <c r="J41" s="1709">
        <f t="shared" si="2"/>
        <v>98589</v>
      </c>
      <c r="K41" s="1709">
        <f t="shared" si="2"/>
        <v>202937</v>
      </c>
      <c r="L41" s="1709">
        <f t="shared" si="2"/>
        <v>432398</v>
      </c>
      <c r="M41" s="1709">
        <f>SUM(M40)</f>
        <v>41598496</v>
      </c>
      <c r="N41" s="1709">
        <f>SUM(N37)</f>
        <v>2422525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Split"/>
      <selection sqref="A1:S2"/>
      <selection pane="bottomLeft" sqref="A1:S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2" t="s">
        <v>1237</v>
      </c>
      <c r="B3" s="2173"/>
      <c r="C3" s="1595"/>
      <c r="D3" s="1596"/>
      <c r="E3" s="1596"/>
      <c r="F3" s="1596"/>
      <c r="G3" s="1596"/>
      <c r="H3" s="1596"/>
      <c r="I3" s="1596"/>
      <c r="J3" s="1596"/>
      <c r="K3" s="1597"/>
      <c r="L3" s="506"/>
    </row>
    <row r="4" spans="1:13" ht="15.75" customHeight="1" x14ac:dyDescent="0.2">
      <c r="A4" s="1952" t="s">
        <v>1579</v>
      </c>
      <c r="B4" s="1953">
        <v>1000</v>
      </c>
      <c r="C4" s="1763">
        <f>'Revenues 9-14'!C109</f>
        <v>8427270</v>
      </c>
      <c r="D4" s="1763">
        <f>'Revenues 9-14'!D109</f>
        <v>1479621</v>
      </c>
      <c r="E4" s="1763">
        <f>'Revenues 9-14'!E109</f>
        <v>1601036</v>
      </c>
      <c r="F4" s="1763">
        <f>'Revenues 9-14'!F109</f>
        <v>530458</v>
      </c>
      <c r="G4" s="1763">
        <f>'Revenues 9-14'!G109</f>
        <v>497092</v>
      </c>
      <c r="H4" s="1763">
        <f>'Revenues 9-14'!H109</f>
        <v>526260</v>
      </c>
      <c r="I4" s="1763">
        <f>'Revenues 9-14'!I109</f>
        <v>231496</v>
      </c>
      <c r="J4" s="1763">
        <f>'Revenues 9-14'!J109</f>
        <v>342525</v>
      </c>
      <c r="K4" s="1763">
        <f>'Revenues 9-14'!K109</f>
        <v>157283</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2407926</v>
      </c>
      <c r="D6" s="1764">
        <f>'Revenues 9-14'!D173</f>
        <v>0</v>
      </c>
      <c r="E6" s="1764">
        <f>'Revenues 9-14'!E173</f>
        <v>0</v>
      </c>
      <c r="F6" s="1764">
        <f>'Revenues 9-14'!F173</f>
        <v>310063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1163203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11998399</v>
      </c>
      <c r="D8" s="1709">
        <f t="shared" ref="D8:K8" si="0">SUM(D4:D7)</f>
        <v>1479621</v>
      </c>
      <c r="E8" s="1709">
        <f t="shared" si="0"/>
        <v>1601036</v>
      </c>
      <c r="F8" s="1709">
        <f t="shared" si="0"/>
        <v>840521</v>
      </c>
      <c r="G8" s="1709">
        <f t="shared" si="0"/>
        <v>497092</v>
      </c>
      <c r="H8" s="1709">
        <f t="shared" si="0"/>
        <v>526260</v>
      </c>
      <c r="I8" s="1709">
        <f t="shared" si="0"/>
        <v>231496</v>
      </c>
      <c r="J8" s="1709">
        <f t="shared" si="0"/>
        <v>342525</v>
      </c>
      <c r="K8" s="1709">
        <f t="shared" si="0"/>
        <v>157283</v>
      </c>
      <c r="L8" s="347"/>
    </row>
    <row r="9" spans="1:13" ht="15.75" thickTop="1" x14ac:dyDescent="0.2">
      <c r="A9" s="514" t="s">
        <v>1752</v>
      </c>
      <c r="B9" s="515">
        <v>3998</v>
      </c>
      <c r="C9" s="481">
        <v>736881</v>
      </c>
      <c r="D9" s="516"/>
      <c r="E9" s="481"/>
      <c r="F9" s="481"/>
      <c r="G9" s="517"/>
      <c r="H9" s="481"/>
      <c r="I9" s="509" t="s">
        <v>1231</v>
      </c>
      <c r="J9" s="478"/>
      <c r="K9" s="481"/>
      <c r="L9" s="347"/>
    </row>
    <row r="10" spans="1:13" s="519" customFormat="1" ht="13.5" thickBot="1" x14ac:dyDescent="0.25">
      <c r="A10" s="1757" t="s">
        <v>1235</v>
      </c>
      <c r="B10" s="1730"/>
      <c r="C10" s="1709">
        <f>SUM(C8:C9)</f>
        <v>12735280</v>
      </c>
      <c r="D10" s="1709">
        <f t="shared" ref="D10:K10" si="1">SUM(D8:D9)</f>
        <v>1479621</v>
      </c>
      <c r="E10" s="1709">
        <f t="shared" si="1"/>
        <v>1601036</v>
      </c>
      <c r="F10" s="1709">
        <f t="shared" si="1"/>
        <v>840521</v>
      </c>
      <c r="G10" s="1709">
        <f t="shared" si="1"/>
        <v>497092</v>
      </c>
      <c r="H10" s="1709">
        <f t="shared" si="1"/>
        <v>526260</v>
      </c>
      <c r="I10" s="1709">
        <f t="shared" si="1"/>
        <v>231496</v>
      </c>
      <c r="J10" s="1709">
        <f t="shared" si="1"/>
        <v>342525</v>
      </c>
      <c r="K10" s="1709">
        <f t="shared" si="1"/>
        <v>157283</v>
      </c>
      <c r="L10" s="518"/>
    </row>
    <row r="11" spans="1:13" s="519" customFormat="1" ht="16.7" customHeight="1" thickTop="1" x14ac:dyDescent="0.2">
      <c r="A11" s="2146" t="s">
        <v>1238</v>
      </c>
      <c r="B11" s="2147"/>
      <c r="C11" s="1592"/>
      <c r="D11" s="1593"/>
      <c r="E11" s="1593"/>
      <c r="F11" s="1593"/>
      <c r="G11" s="1593"/>
      <c r="H11" s="1593"/>
      <c r="I11" s="1593"/>
      <c r="J11" s="1593"/>
      <c r="K11" s="1594"/>
      <c r="L11" s="518"/>
    </row>
    <row r="12" spans="1:13" ht="15.75" customHeight="1" x14ac:dyDescent="0.2">
      <c r="A12" s="1598" t="s">
        <v>476</v>
      </c>
      <c r="B12" s="1600">
        <v>1000</v>
      </c>
      <c r="C12" s="1763">
        <f>'Expenditures 15-22'!K33</f>
        <v>8259819</v>
      </c>
      <c r="D12" s="520" t="s">
        <v>1231</v>
      </c>
      <c r="E12" s="468" t="s">
        <v>1231</v>
      </c>
      <c r="F12" s="468" t="s">
        <v>1231</v>
      </c>
      <c r="G12" s="1763">
        <f>'Expenditures 15-22'!K229</f>
        <v>245782</v>
      </c>
      <c r="H12" s="521"/>
      <c r="I12" s="468" t="s">
        <v>1231</v>
      </c>
      <c r="J12" s="468" t="s">
        <v>1231</v>
      </c>
      <c r="K12" s="521" t="s">
        <v>1231</v>
      </c>
      <c r="L12" s="347"/>
    </row>
    <row r="13" spans="1:13" ht="15.75" customHeight="1" x14ac:dyDescent="0.2">
      <c r="A13" s="1598" t="s">
        <v>477</v>
      </c>
      <c r="B13" s="1600">
        <v>2000</v>
      </c>
      <c r="C13" s="1764">
        <f>'Expenditures 15-22'!K74</f>
        <v>2957999</v>
      </c>
      <c r="D13" s="1764">
        <f>'Expenditures 15-22'!K129</f>
        <v>1258576</v>
      </c>
      <c r="E13" s="469" t="s">
        <v>1231</v>
      </c>
      <c r="F13" s="1764">
        <f>'Expenditures 15-22'!K184</f>
        <v>737042</v>
      </c>
      <c r="G13" s="1764">
        <f>'Expenditures 15-22'!K279</f>
        <v>225881</v>
      </c>
      <c r="H13" s="1764">
        <f>'Expenditures 15-22'!K303</f>
        <v>62510</v>
      </c>
      <c r="I13" s="468" t="s">
        <v>1231</v>
      </c>
      <c r="J13" s="1764">
        <f>'Expenditures 15-22'!K330</f>
        <v>343747</v>
      </c>
      <c r="K13" s="1768">
        <f>'Expenditures 15-22'!K352</f>
        <v>230938</v>
      </c>
      <c r="L13" s="347"/>
    </row>
    <row r="14" spans="1:13" ht="15.75" customHeight="1" x14ac:dyDescent="0.2">
      <c r="A14" s="1598" t="s">
        <v>469</v>
      </c>
      <c r="B14" s="1600">
        <v>3000</v>
      </c>
      <c r="C14" s="1764">
        <f>'Expenditures 15-22'!K75</f>
        <v>7105</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438610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213</v>
      </c>
      <c r="E16" s="1764">
        <f>'Expenditures 15-22'!K172</f>
        <v>2115415</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11663533</v>
      </c>
      <c r="D17" s="1709">
        <f t="shared" si="2"/>
        <v>1258789</v>
      </c>
      <c r="E17" s="1709">
        <f t="shared" si="2"/>
        <v>2115415</v>
      </c>
      <c r="F17" s="1709">
        <f t="shared" si="2"/>
        <v>737042</v>
      </c>
      <c r="G17" s="1709">
        <f t="shared" si="2"/>
        <v>471663</v>
      </c>
      <c r="H17" s="1709">
        <f t="shared" si="2"/>
        <v>62510</v>
      </c>
      <c r="I17" s="468"/>
      <c r="J17" s="1709">
        <f>SUM(J12:J16)</f>
        <v>343747</v>
      </c>
      <c r="K17" s="1709">
        <f>SUM(K12:K16)</f>
        <v>230938</v>
      </c>
      <c r="L17" s="347"/>
    </row>
    <row r="18" spans="1:12" ht="15" customHeight="1" thickTop="1" x14ac:dyDescent="0.2">
      <c r="A18" s="1765" t="s">
        <v>1753</v>
      </c>
      <c r="B18" s="1766">
        <v>4180</v>
      </c>
      <c r="C18" s="1763">
        <f t="shared" ref="C18:H18" si="3">C9</f>
        <v>736881</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12400414</v>
      </c>
      <c r="D19" s="1709">
        <f t="shared" si="4"/>
        <v>1258789</v>
      </c>
      <c r="E19" s="1709">
        <f t="shared" si="4"/>
        <v>2115415</v>
      </c>
      <c r="F19" s="1709">
        <f t="shared" si="4"/>
        <v>737042</v>
      </c>
      <c r="G19" s="1709">
        <f t="shared" si="4"/>
        <v>471663</v>
      </c>
      <c r="H19" s="1709">
        <f t="shared" si="4"/>
        <v>62510</v>
      </c>
      <c r="I19" s="468"/>
      <c r="J19" s="1709">
        <f>SUM(J17:J18)</f>
        <v>343747</v>
      </c>
      <c r="K19" s="1709">
        <f>SUM(K17:K18)</f>
        <v>230938</v>
      </c>
      <c r="L19" s="347"/>
    </row>
    <row r="20" spans="1:12" ht="16.5" thickTop="1" thickBot="1" x14ac:dyDescent="0.25">
      <c r="A20" s="2162" t="s">
        <v>1754</v>
      </c>
      <c r="B20" s="2163"/>
      <c r="C20" s="1767">
        <f>C8-C17</f>
        <v>334866</v>
      </c>
      <c r="D20" s="1767">
        <f t="shared" ref="D20:K20" si="5">D8-D17</f>
        <v>220832</v>
      </c>
      <c r="E20" s="1767">
        <f t="shared" si="5"/>
        <v>-514379</v>
      </c>
      <c r="F20" s="1767">
        <f t="shared" si="5"/>
        <v>103479</v>
      </c>
      <c r="G20" s="1767">
        <f t="shared" si="5"/>
        <v>25429</v>
      </c>
      <c r="H20" s="1767">
        <f t="shared" si="5"/>
        <v>463750</v>
      </c>
      <c r="I20" s="1767">
        <f t="shared" si="5"/>
        <v>231496</v>
      </c>
      <c r="J20" s="1767">
        <f t="shared" si="5"/>
        <v>-1222</v>
      </c>
      <c r="K20" s="1767">
        <f t="shared" si="5"/>
        <v>-73655</v>
      </c>
      <c r="L20" s="347"/>
    </row>
    <row r="21" spans="1:12" ht="16.7" customHeight="1" thickTop="1" x14ac:dyDescent="0.2">
      <c r="A21" s="2174" t="s">
        <v>616</v>
      </c>
      <c r="B21" s="2175"/>
      <c r="C21" s="1592"/>
      <c r="D21" s="1593"/>
      <c r="E21" s="1593"/>
      <c r="F21" s="1593"/>
      <c r="G21" s="1593"/>
      <c r="H21" s="1593"/>
      <c r="I21" s="1593"/>
      <c r="J21" s="1593"/>
      <c r="K21" s="1594"/>
      <c r="L21" s="524"/>
    </row>
    <row r="22" spans="1:12" ht="15.75" customHeight="1" collapsed="1" x14ac:dyDescent="0.2">
      <c r="A22" s="2170" t="s">
        <v>617</v>
      </c>
      <c r="B22" s="2171"/>
      <c r="C22" s="477"/>
      <c r="D22" s="477"/>
      <c r="E22" s="477"/>
      <c r="F22" s="477"/>
      <c r="G22" s="477"/>
      <c r="H22" s="477"/>
      <c r="I22" s="477"/>
      <c r="J22" s="477"/>
      <c r="K22" s="477"/>
      <c r="L22" s="347"/>
    </row>
    <row r="23" spans="1:12" s="485" customFormat="1" ht="15.75" customHeight="1" x14ac:dyDescent="0.2">
      <c r="A23" s="2166" t="s">
        <v>311</v>
      </c>
      <c r="B23" s="216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200000</v>
      </c>
      <c r="D25" s="467"/>
      <c r="E25" s="467"/>
      <c r="F25" s="467"/>
      <c r="G25" s="467"/>
      <c r="H25" s="467"/>
      <c r="I25" s="477"/>
      <c r="J25" s="467"/>
      <c r="K25" s="467"/>
      <c r="L25" s="524"/>
    </row>
    <row r="26" spans="1:12" s="485" customFormat="1" ht="13.5" customHeight="1" x14ac:dyDescent="0.2">
      <c r="A26" s="1511" t="s">
        <v>193</v>
      </c>
      <c r="B26" s="483">
        <v>7120</v>
      </c>
      <c r="C26" s="467">
        <v>9000</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68" t="s">
        <v>1038</v>
      </c>
      <c r="B32" s="216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6" t="s">
        <v>392</v>
      </c>
      <c r="B44" s="2177"/>
      <c r="C44" s="1724">
        <f>SUM(C24:C43)</f>
        <v>209000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70" t="s">
        <v>110</v>
      </c>
      <c r="B45" s="2171"/>
      <c r="C45" s="528"/>
      <c r="D45" s="528"/>
      <c r="E45" s="528"/>
      <c r="F45" s="528"/>
      <c r="G45" s="528"/>
      <c r="H45" s="528"/>
      <c r="I45" s="528"/>
      <c r="J45" s="528"/>
      <c r="K45" s="528"/>
      <c r="L45" s="347"/>
    </row>
    <row r="46" spans="1:12" s="485" customFormat="1" ht="15.75" customHeight="1" x14ac:dyDescent="0.2">
      <c r="A46" s="2178" t="s">
        <v>111</v>
      </c>
      <c r="B46" s="217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200000</v>
      </c>
      <c r="J47" s="477"/>
      <c r="K47" s="477"/>
      <c r="L47" s="529"/>
    </row>
    <row r="48" spans="1:12" s="485" customFormat="1" ht="15" x14ac:dyDescent="0.2">
      <c r="A48" s="1512" t="s">
        <v>1759</v>
      </c>
      <c r="B48" s="483">
        <v>8120</v>
      </c>
      <c r="C48" s="480"/>
      <c r="D48" s="480"/>
      <c r="E48" s="477"/>
      <c r="F48" s="480"/>
      <c r="G48" s="477"/>
      <c r="H48" s="477"/>
      <c r="I48" s="1764">
        <f>SUM(C26:H26,J26,K26)</f>
        <v>9000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4">
        <f>D30</f>
        <v>0</v>
      </c>
      <c r="L52" s="524"/>
    </row>
    <row r="53" spans="1:12" s="485" customFormat="1" ht="26.25" x14ac:dyDescent="0.2">
      <c r="A53" s="1512" t="s">
        <v>1895</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2" t="s">
        <v>460</v>
      </c>
      <c r="B76" s="2153"/>
      <c r="C76" s="1724">
        <f t="shared" ref="C76:K76" si="7">SUM(C47:C75)</f>
        <v>0</v>
      </c>
      <c r="D76" s="1724">
        <f t="shared" si="7"/>
        <v>0</v>
      </c>
      <c r="E76" s="1724">
        <f t="shared" si="7"/>
        <v>0</v>
      </c>
      <c r="F76" s="1724">
        <f t="shared" si="7"/>
        <v>0</v>
      </c>
      <c r="G76" s="1724">
        <f t="shared" si="7"/>
        <v>0</v>
      </c>
      <c r="H76" s="1724">
        <f t="shared" si="7"/>
        <v>0</v>
      </c>
      <c r="I76" s="1724">
        <f t="shared" si="7"/>
        <v>209000</v>
      </c>
      <c r="J76" s="1724">
        <f t="shared" si="7"/>
        <v>0</v>
      </c>
      <c r="K76" s="1724">
        <f t="shared" si="7"/>
        <v>0</v>
      </c>
      <c r="L76" s="524"/>
    </row>
    <row r="77" spans="1:12" ht="14.25" thickTop="1" thickBot="1" x14ac:dyDescent="0.25">
      <c r="A77" s="2154" t="s">
        <v>1239</v>
      </c>
      <c r="B77" s="2155"/>
      <c r="C77" s="1724">
        <f t="shared" ref="C77:K77" si="8">C44-C76</f>
        <v>209000</v>
      </c>
      <c r="D77" s="1724">
        <f t="shared" si="8"/>
        <v>0</v>
      </c>
      <c r="E77" s="1724">
        <f t="shared" si="8"/>
        <v>0</v>
      </c>
      <c r="F77" s="1724">
        <f t="shared" si="8"/>
        <v>0</v>
      </c>
      <c r="G77" s="1724">
        <f t="shared" si="8"/>
        <v>0</v>
      </c>
      <c r="H77" s="1724">
        <f t="shared" si="8"/>
        <v>0</v>
      </c>
      <c r="I77" s="1724">
        <f t="shared" si="8"/>
        <v>-209000</v>
      </c>
      <c r="J77" s="1724">
        <f t="shared" si="8"/>
        <v>0</v>
      </c>
      <c r="K77" s="1724">
        <f t="shared" si="8"/>
        <v>0</v>
      </c>
      <c r="L77" s="347"/>
    </row>
    <row r="78" spans="1:12" ht="21.75" customHeight="1" thickTop="1" thickBot="1" x14ac:dyDescent="0.25">
      <c r="A78" s="2158" t="s">
        <v>618</v>
      </c>
      <c r="B78" s="2159"/>
      <c r="C78" s="1723">
        <f t="shared" ref="C78:K78" si="9">C20+C77</f>
        <v>543866</v>
      </c>
      <c r="D78" s="1723">
        <f t="shared" si="9"/>
        <v>220832</v>
      </c>
      <c r="E78" s="1723">
        <f t="shared" si="9"/>
        <v>-514379</v>
      </c>
      <c r="F78" s="1723">
        <f t="shared" si="9"/>
        <v>103479</v>
      </c>
      <c r="G78" s="1723">
        <f t="shared" si="9"/>
        <v>25429</v>
      </c>
      <c r="H78" s="1723">
        <f t="shared" si="9"/>
        <v>463750</v>
      </c>
      <c r="I78" s="1723">
        <f t="shared" si="9"/>
        <v>22496</v>
      </c>
      <c r="J78" s="1723">
        <f t="shared" si="9"/>
        <v>-1222</v>
      </c>
      <c r="K78" s="1723">
        <f t="shared" si="9"/>
        <v>-73655</v>
      </c>
      <c r="L78" s="533"/>
    </row>
    <row r="79" spans="1:12" ht="13.5" thickTop="1" x14ac:dyDescent="0.2">
      <c r="A79" s="1516" t="s">
        <v>2067</v>
      </c>
      <c r="B79" s="534"/>
      <c r="C79" s="478">
        <v>2541373</v>
      </c>
      <c r="D79" s="535">
        <v>1008699</v>
      </c>
      <c r="E79" s="535">
        <v>1729932</v>
      </c>
      <c r="F79" s="535">
        <v>1045339</v>
      </c>
      <c r="G79" s="535">
        <v>452397</v>
      </c>
      <c r="H79" s="535">
        <v>23081</v>
      </c>
      <c r="I79" s="535">
        <v>1994279</v>
      </c>
      <c r="J79" s="535">
        <v>99811</v>
      </c>
      <c r="K79" s="535">
        <v>276592</v>
      </c>
      <c r="L79" s="347"/>
    </row>
    <row r="80" spans="1:12" x14ac:dyDescent="0.2">
      <c r="A80" s="2164" t="s">
        <v>1894</v>
      </c>
      <c r="B80" s="2165"/>
      <c r="C80" s="467"/>
      <c r="D80" s="467"/>
      <c r="E80" s="467"/>
      <c r="F80" s="467"/>
      <c r="G80" s="467"/>
      <c r="H80" s="467"/>
      <c r="I80" s="467"/>
      <c r="J80" s="467"/>
      <c r="K80" s="467"/>
      <c r="L80" s="347"/>
    </row>
    <row r="81" spans="1:12" ht="13.5" thickBot="1" x14ac:dyDescent="0.25">
      <c r="A81" s="2156" t="s">
        <v>2068</v>
      </c>
      <c r="B81" s="2157"/>
      <c r="C81" s="1709">
        <f>(SUM(C78:C80))</f>
        <v>3085239</v>
      </c>
      <c r="D81" s="1709">
        <f>SUM(D78:D80)</f>
        <v>1229531</v>
      </c>
      <c r="E81" s="1709">
        <f t="shared" ref="E81:K81" si="10">SUM(E78:E80)</f>
        <v>1215553</v>
      </c>
      <c r="F81" s="1709">
        <f t="shared" si="10"/>
        <v>1148818</v>
      </c>
      <c r="G81" s="1709">
        <f t="shared" si="10"/>
        <v>477826</v>
      </c>
      <c r="H81" s="1709">
        <f t="shared" si="10"/>
        <v>486831</v>
      </c>
      <c r="I81" s="1709">
        <f t="shared" si="10"/>
        <v>2016775</v>
      </c>
      <c r="J81" s="1709">
        <f t="shared" si="10"/>
        <v>98589</v>
      </c>
      <c r="K81" s="1709">
        <f t="shared" si="10"/>
        <v>202937</v>
      </c>
      <c r="L81" s="347"/>
    </row>
    <row r="82" spans="1:12" ht="0.75" customHeight="1" thickTop="1" thickBot="1" x14ac:dyDescent="0.25">
      <c r="A82" s="536" t="s">
        <v>361</v>
      </c>
      <c r="B82" s="537"/>
      <c r="C82" s="538">
        <f>(C81-C79)</f>
        <v>543866</v>
      </c>
      <c r="D82" s="538">
        <f t="shared" ref="D82:K82" si="11">(D81-D79)</f>
        <v>220832</v>
      </c>
      <c r="E82" s="538">
        <f t="shared" si="11"/>
        <v>-514379</v>
      </c>
      <c r="F82" s="538">
        <f t="shared" si="11"/>
        <v>103479</v>
      </c>
      <c r="G82" s="538">
        <f t="shared" si="11"/>
        <v>25429</v>
      </c>
      <c r="H82" s="538">
        <f t="shared" si="11"/>
        <v>463750</v>
      </c>
      <c r="I82" s="538">
        <f t="shared" si="11"/>
        <v>22496</v>
      </c>
      <c r="J82" s="538">
        <f t="shared" si="11"/>
        <v>-1222</v>
      </c>
      <c r="K82" s="538">
        <f t="shared" si="11"/>
        <v>-73655</v>
      </c>
    </row>
    <row r="83" spans="1:12" ht="14.25" hidden="1" thickTop="1" thickBot="1" x14ac:dyDescent="0.25">
      <c r="A83" s="539" t="s">
        <v>362</v>
      </c>
      <c r="B83" s="464"/>
      <c r="C83" s="540">
        <f>C82/C81</f>
        <v>0.17628002239048579</v>
      </c>
      <c r="D83" s="540">
        <f t="shared" ref="D83:K83" si="12">D82/D81</f>
        <v>0.179606695561153</v>
      </c>
      <c r="E83" s="540">
        <f t="shared" si="12"/>
        <v>-0.42316460080309126</v>
      </c>
      <c r="F83" s="540">
        <f t="shared" si="12"/>
        <v>9.007431986615809E-2</v>
      </c>
      <c r="G83" s="540">
        <f t="shared" si="12"/>
        <v>5.3218117055162342E-2</v>
      </c>
      <c r="H83" s="540">
        <f t="shared" si="12"/>
        <v>0.95258929690179961</v>
      </c>
      <c r="I83" s="540">
        <f t="shared" si="12"/>
        <v>1.1154442116745794E-2</v>
      </c>
      <c r="J83" s="540">
        <f t="shared" si="12"/>
        <v>-1.2394891925062634E-2</v>
      </c>
      <c r="K83" s="540">
        <f t="shared" si="12"/>
        <v>-0.36294515046541537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3" activePane="bottomLeft" state="frozen"/>
      <selection sqref="A1:S2"/>
      <selection pane="bottomLeft" sqref="A1:S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0" t="s">
        <v>1901</v>
      </c>
      <c r="B1" s="452"/>
      <c r="C1" s="453" t="s">
        <v>445</v>
      </c>
      <c r="D1" s="453" t="s">
        <v>446</v>
      </c>
      <c r="E1" s="453" t="s">
        <v>447</v>
      </c>
      <c r="F1" s="453" t="s">
        <v>448</v>
      </c>
      <c r="G1" s="453" t="s">
        <v>449</v>
      </c>
      <c r="H1" s="453" t="s">
        <v>450</v>
      </c>
      <c r="I1" s="453" t="s">
        <v>451</v>
      </c>
      <c r="J1" s="453" t="s">
        <v>452</v>
      </c>
      <c r="K1" s="453" t="s">
        <v>780</v>
      </c>
    </row>
    <row r="2" spans="1:12" ht="36" x14ac:dyDescent="0.2">
      <c r="A2" s="216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7233263</v>
      </c>
      <c r="D5" s="481">
        <v>1443787</v>
      </c>
      <c r="E5" s="466">
        <v>1123395</v>
      </c>
      <c r="F5" s="548">
        <v>520800</v>
      </c>
      <c r="G5" s="466">
        <v>242335</v>
      </c>
      <c r="H5" s="466"/>
      <c r="I5" s="466">
        <v>220010</v>
      </c>
      <c r="J5" s="467">
        <v>340702</v>
      </c>
      <c r="K5" s="466">
        <v>155821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97368</v>
      </c>
      <c r="D7" s="466"/>
      <c r="E7" s="468"/>
      <c r="F7" s="467"/>
      <c r="G7" s="467"/>
      <c r="H7" s="467"/>
      <c r="I7" s="468"/>
      <c r="J7" s="468"/>
      <c r="K7" s="468"/>
    </row>
    <row r="8" spans="1:12" x14ac:dyDescent="0.2">
      <c r="A8" s="463" t="s">
        <v>433</v>
      </c>
      <c r="B8" s="470">
        <v>1150</v>
      </c>
      <c r="C8" s="475"/>
      <c r="D8" s="475"/>
      <c r="E8" s="477"/>
      <c r="F8" s="477"/>
      <c r="G8" s="481">
        <v>232804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7330631</v>
      </c>
      <c r="D12" s="1728">
        <f t="shared" si="0"/>
        <v>1443787</v>
      </c>
      <c r="E12" s="1728">
        <f t="shared" si="0"/>
        <v>1123395</v>
      </c>
      <c r="F12" s="1728">
        <f t="shared" si="0"/>
        <v>520800</v>
      </c>
      <c r="G12" s="1728">
        <f t="shared" si="0"/>
        <v>475139</v>
      </c>
      <c r="H12" s="1728">
        <f t="shared" si="0"/>
        <v>0</v>
      </c>
      <c r="I12" s="1728">
        <f t="shared" si="0"/>
        <v>220010</v>
      </c>
      <c r="J12" s="1728">
        <f t="shared" si="0"/>
        <v>340702</v>
      </c>
      <c r="K12" s="1709">
        <f t="shared" si="0"/>
        <v>155821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16807</v>
      </c>
      <c r="D14" s="466">
        <v>3310</v>
      </c>
      <c r="E14" s="466">
        <v>2580</v>
      </c>
      <c r="F14" s="466">
        <v>1194</v>
      </c>
      <c r="G14" s="466">
        <v>1089</v>
      </c>
      <c r="H14" s="466"/>
      <c r="I14" s="466">
        <v>504</v>
      </c>
      <c r="J14" s="467">
        <v>781</v>
      </c>
      <c r="K14" s="466">
        <v>357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647656</v>
      </c>
      <c r="D16" s="466"/>
      <c r="E16" s="466"/>
      <c r="F16" s="466"/>
      <c r="G16" s="466">
        <v>18000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664463</v>
      </c>
      <c r="D18" s="1731">
        <f t="shared" ref="D18:K18" si="1">SUM(D14:D17)</f>
        <v>3310</v>
      </c>
      <c r="E18" s="1731">
        <f t="shared" si="1"/>
        <v>2580</v>
      </c>
      <c r="F18" s="1731">
        <f t="shared" si="1"/>
        <v>1194</v>
      </c>
      <c r="G18" s="1731">
        <f t="shared" si="1"/>
        <v>19089</v>
      </c>
      <c r="H18" s="1731">
        <f t="shared" si="1"/>
        <v>0</v>
      </c>
      <c r="I18" s="1731">
        <f t="shared" si="1"/>
        <v>504</v>
      </c>
      <c r="J18" s="1731">
        <f t="shared" si="1"/>
        <v>781</v>
      </c>
      <c r="K18" s="1732">
        <f t="shared" si="1"/>
        <v>357</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21292</v>
      </c>
      <c r="D20" s="468"/>
      <c r="E20" s="468"/>
      <c r="F20" s="468"/>
      <c r="G20" s="468"/>
      <c r="H20" s="468"/>
      <c r="I20" s="468"/>
      <c r="J20" s="468"/>
      <c r="K20" s="468"/>
    </row>
    <row r="21" spans="1:11" ht="12.75" customHeight="1" x14ac:dyDescent="0.2">
      <c r="A21" s="463" t="s">
        <v>887</v>
      </c>
      <c r="B21" s="470">
        <v>1312</v>
      </c>
      <c r="C21" s="551">
        <v>189592</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2903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213787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775</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1250</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2025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20531</v>
      </c>
      <c r="D65" s="466">
        <v>6826</v>
      </c>
      <c r="E65" s="466">
        <v>7811</v>
      </c>
      <c r="F65" s="467">
        <v>6439</v>
      </c>
      <c r="G65" s="466">
        <v>2864</v>
      </c>
      <c r="H65" s="466">
        <v>738</v>
      </c>
      <c r="I65" s="466">
        <v>10982</v>
      </c>
      <c r="J65" s="467">
        <v>1042</v>
      </c>
      <c r="K65" s="466">
        <v>1105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20531</v>
      </c>
      <c r="D67" s="1709">
        <f t="shared" ref="D67:K67" si="2">SUM(D65:D66)</f>
        <v>6826</v>
      </c>
      <c r="E67" s="1709">
        <f t="shared" si="2"/>
        <v>7811</v>
      </c>
      <c r="F67" s="1709">
        <f t="shared" si="2"/>
        <v>6439</v>
      </c>
      <c r="G67" s="1709">
        <f t="shared" si="2"/>
        <v>2864</v>
      </c>
      <c r="H67" s="1709">
        <f t="shared" si="2"/>
        <v>738</v>
      </c>
      <c r="I67" s="1709">
        <f t="shared" si="2"/>
        <v>10982</v>
      </c>
      <c r="J67" s="1709">
        <f t="shared" si="2"/>
        <v>1042</v>
      </c>
      <c r="K67" s="1709">
        <f t="shared" si="2"/>
        <v>1105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90262</v>
      </c>
      <c r="D69" s="468"/>
      <c r="E69" s="468"/>
      <c r="F69" s="468"/>
      <c r="G69" s="468"/>
      <c r="H69" s="468"/>
      <c r="I69" s="468"/>
      <c r="J69" s="468"/>
      <c r="K69" s="468"/>
    </row>
    <row r="70" spans="1:11" ht="12.75" customHeight="1" x14ac:dyDescent="0.2">
      <c r="A70" s="463" t="s">
        <v>1054</v>
      </c>
      <c r="B70" s="470">
        <v>1612</v>
      </c>
      <c r="C70" s="551">
        <v>13036</v>
      </c>
      <c r="D70" s="468"/>
      <c r="E70" s="468"/>
      <c r="F70" s="468"/>
      <c r="G70" s="468"/>
      <c r="H70" s="468"/>
      <c r="I70" s="468"/>
      <c r="J70" s="468"/>
      <c r="K70" s="468"/>
    </row>
    <row r="71" spans="1:11" ht="12.75" customHeight="1" x14ac:dyDescent="0.2">
      <c r="A71" s="463" t="s">
        <v>291</v>
      </c>
      <c r="B71" s="470">
        <v>1613</v>
      </c>
      <c r="C71" s="551">
        <v>2063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8965</v>
      </c>
      <c r="D73" s="468"/>
      <c r="E73" s="468"/>
      <c r="F73" s="468"/>
      <c r="G73" s="468"/>
      <c r="H73" s="468"/>
      <c r="I73" s="468"/>
      <c r="J73" s="468"/>
      <c r="K73" s="468"/>
    </row>
    <row r="74" spans="1:11" ht="12.75" customHeight="1" x14ac:dyDescent="0.2">
      <c r="A74" s="463" t="s">
        <v>25</v>
      </c>
      <c r="B74" s="470">
        <v>1690</v>
      </c>
      <c r="C74" s="551">
        <v>2686</v>
      </c>
      <c r="D74" s="468"/>
      <c r="E74" s="468"/>
      <c r="F74" s="468"/>
      <c r="G74" s="468"/>
      <c r="H74" s="468"/>
      <c r="I74" s="468"/>
      <c r="J74" s="468"/>
      <c r="K74" s="468"/>
    </row>
    <row r="75" spans="1:11" ht="12.75" customHeight="1" thickBot="1" x14ac:dyDescent="0.25">
      <c r="A75" s="1729" t="s">
        <v>569</v>
      </c>
      <c r="B75" s="1730"/>
      <c r="C75" s="1709">
        <f>SUM(C69:C74)</f>
        <v>117012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25114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2155</v>
      </c>
      <c r="D79" s="466"/>
      <c r="E79" s="468"/>
      <c r="F79" s="468"/>
      <c r="G79" s="468"/>
      <c r="H79" s="468"/>
      <c r="I79" s="468"/>
      <c r="J79" s="468"/>
      <c r="K79" s="468"/>
    </row>
    <row r="80" spans="1:11" ht="12.75" customHeight="1" x14ac:dyDescent="0.2">
      <c r="A80" s="463" t="s">
        <v>572</v>
      </c>
      <c r="B80" s="470">
        <v>1730</v>
      </c>
      <c r="C80" s="551">
        <v>2091</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29360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130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6780</v>
      </c>
      <c r="D95" s="551">
        <v>25498</v>
      </c>
      <c r="E95" s="521"/>
      <c r="F95" s="521"/>
      <c r="G95" s="521"/>
      <c r="H95" s="521"/>
      <c r="I95" s="521"/>
      <c r="J95" s="521"/>
      <c r="K95" s="521"/>
    </row>
    <row r="96" spans="1:11" ht="12.75" customHeight="1" x14ac:dyDescent="0.2">
      <c r="A96" s="463" t="s">
        <v>409</v>
      </c>
      <c r="B96" s="470">
        <v>1920</v>
      </c>
      <c r="C96" s="551"/>
      <c r="D96" s="551">
        <v>200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3560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525522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41016</v>
      </c>
      <c r="D107" s="466"/>
      <c r="E107" s="466">
        <v>467250</v>
      </c>
      <c r="F107" s="466"/>
      <c r="G107" s="466"/>
      <c r="H107" s="466"/>
      <c r="I107" s="466"/>
      <c r="J107" s="467"/>
      <c r="K107" s="466"/>
    </row>
    <row r="108" spans="1:12" ht="12.75" customHeight="1" thickBot="1" x14ac:dyDescent="0.25">
      <c r="A108" s="1729" t="s">
        <v>508</v>
      </c>
      <c r="B108" s="1733"/>
      <c r="C108" s="1728">
        <f>SUM(C95:C107)</f>
        <v>51356</v>
      </c>
      <c r="D108" s="1728">
        <f t="shared" ref="D108:K108" si="3">SUM(D95:D107)</f>
        <v>25698</v>
      </c>
      <c r="E108" s="1728">
        <f t="shared" si="3"/>
        <v>467250</v>
      </c>
      <c r="F108" s="1728">
        <f t="shared" si="3"/>
        <v>0</v>
      </c>
      <c r="G108" s="1728">
        <f t="shared" si="3"/>
        <v>0</v>
      </c>
      <c r="H108" s="1728">
        <f t="shared" si="3"/>
        <v>525522</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8427270</v>
      </c>
      <c r="D109" s="1736">
        <f t="shared" si="4"/>
        <v>1479621</v>
      </c>
      <c r="E109" s="1736">
        <f t="shared" si="4"/>
        <v>1601036</v>
      </c>
      <c r="F109" s="1736">
        <f t="shared" si="4"/>
        <v>530458</v>
      </c>
      <c r="G109" s="1736">
        <f t="shared" si="4"/>
        <v>497092</v>
      </c>
      <c r="H109" s="1736">
        <f t="shared" si="4"/>
        <v>526260</v>
      </c>
      <c r="I109" s="1736">
        <f t="shared" si="4"/>
        <v>231496</v>
      </c>
      <c r="J109" s="1736">
        <f t="shared" si="4"/>
        <v>342525</v>
      </c>
      <c r="K109" s="1723">
        <f t="shared" si="4"/>
        <v>157283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1494114</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1494114</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67801</v>
      </c>
      <c r="D125" s="561"/>
      <c r="E125" s="468"/>
      <c r="F125" s="466"/>
      <c r="G125" s="468"/>
      <c r="H125" s="468"/>
      <c r="I125" s="468"/>
      <c r="J125" s="468"/>
      <c r="K125" s="468"/>
    </row>
    <row r="126" spans="1:11" ht="12.75" customHeight="1" x14ac:dyDescent="0.2">
      <c r="A126" s="463" t="s">
        <v>922</v>
      </c>
      <c r="B126" s="562">
        <v>3110</v>
      </c>
      <c r="C126" s="551">
        <v>70333</v>
      </c>
      <c r="D126" s="466"/>
      <c r="E126" s="468"/>
      <c r="F126" s="466"/>
      <c r="G126" s="468"/>
      <c r="H126" s="468"/>
      <c r="I126" s="468"/>
      <c r="J126" s="468"/>
      <c r="K126" s="468"/>
    </row>
    <row r="127" spans="1:11" ht="12.75" customHeight="1" x14ac:dyDescent="0.2">
      <c r="A127" s="463" t="s">
        <v>107</v>
      </c>
      <c r="B127" s="562">
        <v>3120</v>
      </c>
      <c r="C127" s="466">
        <v>18696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17569</v>
      </c>
      <c r="D130" s="467"/>
      <c r="E130" s="468"/>
      <c r="F130" s="466"/>
      <c r="G130" s="468"/>
      <c r="H130" s="468"/>
      <c r="I130" s="468"/>
      <c r="J130" s="468"/>
      <c r="K130" s="468"/>
    </row>
    <row r="131" spans="1:11" ht="12.75" customHeight="1" thickBot="1" x14ac:dyDescent="0.25">
      <c r="A131" s="1729" t="s">
        <v>1092</v>
      </c>
      <c r="B131" s="1741"/>
      <c r="C131" s="1728">
        <f>SUM(C124:C130)</f>
        <v>174399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10555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3474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v>10350</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24379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4634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36779</v>
      </c>
      <c r="D147" s="573"/>
      <c r="E147" s="509"/>
      <c r="F147" s="468"/>
      <c r="G147" s="468"/>
      <c r="H147" s="468"/>
      <c r="I147" s="468"/>
      <c r="J147" s="468"/>
      <c r="K147" s="468"/>
    </row>
    <row r="148" spans="1:11" ht="12.75" customHeight="1" thickTop="1" thickBot="1" x14ac:dyDescent="0.25">
      <c r="A148" s="1522" t="s">
        <v>791</v>
      </c>
      <c r="B148" s="574">
        <v>3410</v>
      </c>
      <c r="C148" s="575">
        <v>310812</v>
      </c>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145417</v>
      </c>
      <c r="G151" s="467"/>
      <c r="H151" s="468"/>
      <c r="I151" s="468"/>
      <c r="J151" s="468"/>
      <c r="K151" s="468"/>
    </row>
    <row r="152" spans="1:11" ht="12.75" customHeight="1" x14ac:dyDescent="0.2">
      <c r="A152" s="463" t="s">
        <v>1117</v>
      </c>
      <c r="B152" s="562">
        <v>3510</v>
      </c>
      <c r="C152" s="551"/>
      <c r="D152" s="466"/>
      <c r="E152" s="561"/>
      <c r="F152" s="466">
        <v>164646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310063</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103298</v>
      </c>
      <c r="D157" s="468"/>
      <c r="E157" s="561"/>
      <c r="F157" s="576"/>
      <c r="G157" s="576"/>
      <c r="H157" s="468"/>
      <c r="I157" s="468"/>
      <c r="J157" s="468"/>
      <c r="K157" s="468"/>
    </row>
    <row r="158" spans="1:11" ht="12.75" customHeight="1" thickTop="1" thickBot="1" x14ac:dyDescent="0.25">
      <c r="A158" s="1522" t="s">
        <v>1111</v>
      </c>
      <c r="B158" s="574">
        <v>3705</v>
      </c>
      <c r="C158" s="576">
        <v>235774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23737</v>
      </c>
      <c r="D171" s="580"/>
      <c r="E171" s="580"/>
      <c r="F171" s="580"/>
      <c r="G171" s="581"/>
      <c r="H171" s="582"/>
      <c r="I171" s="581"/>
      <c r="J171" s="581"/>
      <c r="K171" s="582"/>
    </row>
    <row r="172" spans="1:11" ht="12.75" customHeight="1" thickTop="1" thickBot="1" x14ac:dyDescent="0.25">
      <c r="A172" s="2180" t="s">
        <v>418</v>
      </c>
      <c r="B172" s="2181"/>
      <c r="C172" s="1743">
        <f t="shared" ref="C172:K172" si="6">SUM(C131,C140,C144,C145:C149,C154,C155:C170,C171)</f>
        <v>913812</v>
      </c>
      <c r="D172" s="1743">
        <f t="shared" si="6"/>
        <v>0</v>
      </c>
      <c r="E172" s="1743">
        <f t="shared" si="6"/>
        <v>0</v>
      </c>
      <c r="F172" s="1743">
        <f t="shared" si="6"/>
        <v>310063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2407926</v>
      </c>
      <c r="D173" s="1736">
        <f>SUM(D121,D172)</f>
        <v>0</v>
      </c>
      <c r="E173" s="1736">
        <f>SUM(E121,E172)</f>
        <v>0</v>
      </c>
      <c r="F173" s="1736">
        <f t="shared" ref="F173:K173" si="7">SUM(F121,F172)</f>
        <v>310063</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2" t="s">
        <v>1572</v>
      </c>
      <c r="B175" s="218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6" t="s">
        <v>1764</v>
      </c>
      <c r="B178" s="218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90" t="s">
        <v>1763</v>
      </c>
      <c r="B179" s="219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8" t="s">
        <v>818</v>
      </c>
      <c r="B184" s="218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4" t="s">
        <v>1902</v>
      </c>
      <c r="B185" s="218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250084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100510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350594</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591083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591083</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66500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66500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62540</v>
      </c>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27036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30558</v>
      </c>
      <c r="D270" s="576"/>
      <c r="E270" s="468"/>
      <c r="F270" s="576"/>
      <c r="G270" s="576"/>
      <c r="H270" s="468"/>
      <c r="I270" s="468"/>
      <c r="J270" s="468"/>
      <c r="K270" s="468"/>
    </row>
    <row r="271" spans="1:11" ht="12.75" customHeight="1" thickTop="1" thickBot="1" x14ac:dyDescent="0.25">
      <c r="A271" s="463" t="s">
        <v>395</v>
      </c>
      <c r="B271" s="470">
        <v>4992</v>
      </c>
      <c r="C271" s="575">
        <v>31313</v>
      </c>
      <c r="D271" s="576"/>
      <c r="E271" s="468"/>
      <c r="F271" s="576"/>
      <c r="G271" s="576"/>
      <c r="H271" s="468"/>
      <c r="I271" s="468"/>
      <c r="J271" s="468"/>
      <c r="K271" s="468"/>
    </row>
    <row r="272" spans="1:11" s="594" customFormat="1" ht="12.75" customHeight="1" thickTop="1" thickBot="1" x14ac:dyDescent="0.25">
      <c r="A272" s="563" t="s">
        <v>77</v>
      </c>
      <c r="B272" s="557">
        <v>4999</v>
      </c>
      <c r="C272" s="575">
        <v>3579</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1163203</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1163203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11998399</v>
      </c>
      <c r="D275" s="1736">
        <f t="shared" si="12"/>
        <v>1479621</v>
      </c>
      <c r="E275" s="1736">
        <f t="shared" si="12"/>
        <v>1601036</v>
      </c>
      <c r="F275" s="1736">
        <f t="shared" si="12"/>
        <v>840521</v>
      </c>
      <c r="G275" s="1736">
        <f t="shared" si="12"/>
        <v>497092</v>
      </c>
      <c r="H275" s="1736">
        <f t="shared" si="12"/>
        <v>526260</v>
      </c>
      <c r="I275" s="1736">
        <f t="shared" si="12"/>
        <v>231496</v>
      </c>
      <c r="J275" s="1736">
        <f t="shared" si="12"/>
        <v>342525</v>
      </c>
      <c r="K275" s="1723">
        <f t="shared" si="12"/>
        <v>157283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&amp;L&amp;8Printed Date: &amp;D
&amp;F&amp;CThe Notes to the Basic Financial Statements are an integral part of this statement.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S2"/>
      <selection pane="bottomLeft" sqref="A1:S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0"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8" t="s">
        <v>315</v>
      </c>
      <c r="B3" s="219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3607020</v>
      </c>
      <c r="D5" s="466">
        <v>939807</v>
      </c>
      <c r="E5" s="466">
        <v>94573</v>
      </c>
      <c r="F5" s="466">
        <v>44995</v>
      </c>
      <c r="G5" s="466">
        <v>10667</v>
      </c>
      <c r="H5" s="466"/>
      <c r="I5" s="467"/>
      <c r="J5" s="467"/>
      <c r="K5" s="1692">
        <f>SUM(C5:J5)</f>
        <v>4697062</v>
      </c>
      <c r="L5" s="466">
        <v>4847186</v>
      </c>
    </row>
    <row r="6" spans="1:14" x14ac:dyDescent="0.2">
      <c r="A6" s="1526" t="s">
        <v>1508</v>
      </c>
      <c r="B6" s="615" t="s">
        <v>1506</v>
      </c>
      <c r="C6" s="477"/>
      <c r="D6" s="477"/>
      <c r="E6" s="466"/>
      <c r="F6" s="477"/>
      <c r="G6" s="477"/>
      <c r="H6" s="477"/>
      <c r="I6" s="477"/>
      <c r="J6" s="477"/>
      <c r="K6" s="1692">
        <f>SUM(C6,E6)</f>
        <v>0</v>
      </c>
      <c r="L6" s="466">
        <v>0</v>
      </c>
    </row>
    <row r="7" spans="1:14" x14ac:dyDescent="0.2">
      <c r="A7" s="1526" t="s">
        <v>165</v>
      </c>
      <c r="B7" s="615" t="s">
        <v>1024</v>
      </c>
      <c r="C7" s="467"/>
      <c r="D7" s="467"/>
      <c r="E7" s="467"/>
      <c r="F7" s="467"/>
      <c r="G7" s="467"/>
      <c r="H7" s="467"/>
      <c r="I7" s="467"/>
      <c r="J7" s="467"/>
      <c r="K7" s="1692">
        <f t="shared" ref="K7:K32" si="0">SUM(C7:J7)</f>
        <v>0</v>
      </c>
      <c r="L7" s="466">
        <v>0</v>
      </c>
    </row>
    <row r="8" spans="1:14" x14ac:dyDescent="0.2">
      <c r="A8" s="1526" t="s">
        <v>166</v>
      </c>
      <c r="B8" s="615">
        <v>1200</v>
      </c>
      <c r="C8" s="466">
        <v>840103</v>
      </c>
      <c r="D8" s="466">
        <v>206870</v>
      </c>
      <c r="E8" s="466">
        <v>84556</v>
      </c>
      <c r="F8" s="466">
        <v>6736</v>
      </c>
      <c r="G8" s="466">
        <v>557</v>
      </c>
      <c r="H8" s="466"/>
      <c r="I8" s="467"/>
      <c r="J8" s="467"/>
      <c r="K8" s="1692">
        <f t="shared" si="0"/>
        <v>1138822</v>
      </c>
      <c r="L8" s="466">
        <v>1223125</v>
      </c>
    </row>
    <row r="9" spans="1:14" x14ac:dyDescent="0.2">
      <c r="A9" s="1526" t="s">
        <v>745</v>
      </c>
      <c r="B9" s="615" t="s">
        <v>1025</v>
      </c>
      <c r="C9" s="467"/>
      <c r="D9" s="467"/>
      <c r="E9" s="467"/>
      <c r="F9" s="467"/>
      <c r="G9" s="467"/>
      <c r="H9" s="467"/>
      <c r="I9" s="467"/>
      <c r="J9" s="467"/>
      <c r="K9" s="1692">
        <f t="shared" si="0"/>
        <v>0</v>
      </c>
      <c r="L9" s="466">
        <v>0</v>
      </c>
    </row>
    <row r="10" spans="1:14" x14ac:dyDescent="0.2">
      <c r="A10" s="1526" t="s">
        <v>746</v>
      </c>
      <c r="B10" s="615">
        <v>1250</v>
      </c>
      <c r="C10" s="466">
        <v>318154</v>
      </c>
      <c r="D10" s="466">
        <v>95112</v>
      </c>
      <c r="E10" s="466">
        <v>72268</v>
      </c>
      <c r="F10" s="466">
        <v>148963</v>
      </c>
      <c r="G10" s="466">
        <v>35687</v>
      </c>
      <c r="H10" s="466">
        <v>2423</v>
      </c>
      <c r="I10" s="467"/>
      <c r="J10" s="467"/>
      <c r="K10" s="1692">
        <f t="shared" si="0"/>
        <v>672607</v>
      </c>
      <c r="L10" s="466">
        <v>617003</v>
      </c>
    </row>
    <row r="11" spans="1:14" x14ac:dyDescent="0.2">
      <c r="A11" s="1526" t="s">
        <v>1192</v>
      </c>
      <c r="B11" s="615" t="s">
        <v>163</v>
      </c>
      <c r="C11" s="467"/>
      <c r="D11" s="467"/>
      <c r="E11" s="467"/>
      <c r="F11" s="467"/>
      <c r="G11" s="467"/>
      <c r="H11" s="467"/>
      <c r="I11" s="467"/>
      <c r="J11" s="467"/>
      <c r="K11" s="1692">
        <f t="shared" si="0"/>
        <v>0</v>
      </c>
      <c r="L11" s="466">
        <v>0</v>
      </c>
    </row>
    <row r="12" spans="1:14" x14ac:dyDescent="0.2">
      <c r="A12" s="1526" t="s">
        <v>1019</v>
      </c>
      <c r="B12" s="615">
        <v>1300</v>
      </c>
      <c r="C12" s="466">
        <v>294975</v>
      </c>
      <c r="D12" s="466">
        <v>62993</v>
      </c>
      <c r="E12" s="466">
        <v>42092</v>
      </c>
      <c r="F12" s="466">
        <v>71230</v>
      </c>
      <c r="G12" s="466">
        <v>17681</v>
      </c>
      <c r="H12" s="466"/>
      <c r="I12" s="467"/>
      <c r="J12" s="467"/>
      <c r="K12" s="1692">
        <f t="shared" si="0"/>
        <v>488971</v>
      </c>
      <c r="L12" s="466">
        <v>333526</v>
      </c>
    </row>
    <row r="13" spans="1:14" x14ac:dyDescent="0.2">
      <c r="A13" s="1526" t="s">
        <v>747</v>
      </c>
      <c r="B13" s="615">
        <v>1400</v>
      </c>
      <c r="C13" s="466">
        <v>425245</v>
      </c>
      <c r="D13" s="466">
        <v>105156</v>
      </c>
      <c r="E13" s="466">
        <v>2879</v>
      </c>
      <c r="F13" s="466">
        <v>16825</v>
      </c>
      <c r="G13" s="466"/>
      <c r="H13" s="466">
        <v>2809</v>
      </c>
      <c r="I13" s="467"/>
      <c r="J13" s="467"/>
      <c r="K13" s="1692">
        <f t="shared" si="0"/>
        <v>552914</v>
      </c>
      <c r="L13" s="466">
        <v>564197</v>
      </c>
    </row>
    <row r="14" spans="1:14" x14ac:dyDescent="0.2">
      <c r="A14" s="1526" t="s">
        <v>1020</v>
      </c>
      <c r="B14" s="615">
        <v>1500</v>
      </c>
      <c r="C14" s="466">
        <v>472555</v>
      </c>
      <c r="D14" s="466">
        <v>50197</v>
      </c>
      <c r="E14" s="466">
        <v>65132</v>
      </c>
      <c r="F14" s="466">
        <v>44730</v>
      </c>
      <c r="G14" s="466">
        <v>1115</v>
      </c>
      <c r="H14" s="466"/>
      <c r="I14" s="467"/>
      <c r="J14" s="467"/>
      <c r="K14" s="1692">
        <f t="shared" si="0"/>
        <v>633729</v>
      </c>
      <c r="L14" s="466">
        <v>655748</v>
      </c>
    </row>
    <row r="15" spans="1:14" x14ac:dyDescent="0.2">
      <c r="A15" s="1526" t="s">
        <v>1021</v>
      </c>
      <c r="B15" s="615">
        <v>1600</v>
      </c>
      <c r="C15" s="466">
        <v>14127</v>
      </c>
      <c r="D15" s="466">
        <v>196</v>
      </c>
      <c r="E15" s="466"/>
      <c r="F15" s="466"/>
      <c r="G15" s="466"/>
      <c r="H15" s="466"/>
      <c r="I15" s="467"/>
      <c r="J15" s="467"/>
      <c r="K15" s="1692">
        <f t="shared" si="0"/>
        <v>14323</v>
      </c>
      <c r="L15" s="466">
        <v>28828</v>
      </c>
    </row>
    <row r="16" spans="1:14" x14ac:dyDescent="0.2">
      <c r="A16" s="1526" t="s">
        <v>1044</v>
      </c>
      <c r="B16" s="615" t="s">
        <v>444</v>
      </c>
      <c r="C16" s="466"/>
      <c r="D16" s="466"/>
      <c r="E16" s="466"/>
      <c r="F16" s="466"/>
      <c r="G16" s="466"/>
      <c r="H16" s="466"/>
      <c r="I16" s="467"/>
      <c r="J16" s="467"/>
      <c r="K16" s="1692">
        <f t="shared" si="0"/>
        <v>0</v>
      </c>
      <c r="L16" s="466">
        <v>0</v>
      </c>
    </row>
    <row r="17" spans="1:12" x14ac:dyDescent="0.2">
      <c r="A17" s="1526" t="s">
        <v>748</v>
      </c>
      <c r="B17" s="615" t="s">
        <v>164</v>
      </c>
      <c r="C17" s="467"/>
      <c r="D17" s="467"/>
      <c r="E17" s="467"/>
      <c r="F17" s="467"/>
      <c r="G17" s="467"/>
      <c r="H17" s="467"/>
      <c r="I17" s="467"/>
      <c r="J17" s="467"/>
      <c r="K17" s="1692">
        <f t="shared" si="0"/>
        <v>0</v>
      </c>
      <c r="L17" s="466">
        <v>0</v>
      </c>
    </row>
    <row r="18" spans="1:12" x14ac:dyDescent="0.2">
      <c r="A18" s="1526" t="s">
        <v>1148</v>
      </c>
      <c r="B18" s="615">
        <v>1800</v>
      </c>
      <c r="C18" s="466"/>
      <c r="D18" s="466"/>
      <c r="E18" s="466"/>
      <c r="F18" s="466"/>
      <c r="G18" s="466"/>
      <c r="H18" s="466"/>
      <c r="I18" s="467"/>
      <c r="J18" s="467"/>
      <c r="K18" s="1692">
        <f t="shared" si="0"/>
        <v>0</v>
      </c>
      <c r="L18" s="466">
        <v>0</v>
      </c>
    </row>
    <row r="19" spans="1:12" x14ac:dyDescent="0.2">
      <c r="A19" s="1526" t="s">
        <v>136</v>
      </c>
      <c r="B19" s="615">
        <v>1900</v>
      </c>
      <c r="C19" s="466">
        <v>45464</v>
      </c>
      <c r="D19" s="466">
        <v>8062</v>
      </c>
      <c r="E19" s="466">
        <v>1445</v>
      </c>
      <c r="F19" s="466"/>
      <c r="G19" s="466"/>
      <c r="H19" s="466">
        <v>6420</v>
      </c>
      <c r="I19" s="467"/>
      <c r="J19" s="467"/>
      <c r="K19" s="1692">
        <f t="shared" si="0"/>
        <v>61391</v>
      </c>
      <c r="L19" s="466">
        <v>64301</v>
      </c>
    </row>
    <row r="20" spans="1:12" x14ac:dyDescent="0.2">
      <c r="A20" s="1527" t="s">
        <v>762</v>
      </c>
      <c r="B20" s="603" t="s">
        <v>749</v>
      </c>
      <c r="C20" s="477"/>
      <c r="D20" s="477"/>
      <c r="E20" s="477"/>
      <c r="F20" s="477"/>
      <c r="G20" s="477"/>
      <c r="H20" s="474"/>
      <c r="I20" s="617"/>
      <c r="J20" s="475"/>
      <c r="K20" s="1692">
        <f t="shared" si="0"/>
        <v>0</v>
      </c>
      <c r="L20" s="471">
        <v>0</v>
      </c>
    </row>
    <row r="21" spans="1:12" x14ac:dyDescent="0.2">
      <c r="A21" s="1527" t="s">
        <v>763</v>
      </c>
      <c r="B21" s="603" t="s">
        <v>750</v>
      </c>
      <c r="C21" s="477"/>
      <c r="D21" s="477"/>
      <c r="E21" s="477"/>
      <c r="F21" s="477"/>
      <c r="G21" s="477"/>
      <c r="H21" s="474"/>
      <c r="I21" s="617"/>
      <c r="J21" s="477"/>
      <c r="K21" s="1692">
        <f t="shared" si="0"/>
        <v>0</v>
      </c>
      <c r="L21" s="471">
        <v>0</v>
      </c>
    </row>
    <row r="22" spans="1:12" x14ac:dyDescent="0.2">
      <c r="A22" s="1527" t="s">
        <v>764</v>
      </c>
      <c r="B22" s="603" t="s">
        <v>751</v>
      </c>
      <c r="C22" s="477"/>
      <c r="D22" s="477"/>
      <c r="E22" s="477"/>
      <c r="F22" s="477"/>
      <c r="G22" s="477"/>
      <c r="H22" s="474"/>
      <c r="I22" s="617"/>
      <c r="J22" s="477"/>
      <c r="K22" s="1692">
        <f t="shared" si="0"/>
        <v>0</v>
      </c>
      <c r="L22" s="471">
        <v>0</v>
      </c>
    </row>
    <row r="23" spans="1:12" x14ac:dyDescent="0.2">
      <c r="A23" s="1527" t="s">
        <v>765</v>
      </c>
      <c r="B23" s="603" t="s">
        <v>752</v>
      </c>
      <c r="C23" s="477"/>
      <c r="D23" s="477"/>
      <c r="E23" s="477"/>
      <c r="F23" s="477"/>
      <c r="G23" s="477"/>
      <c r="H23" s="474"/>
      <c r="I23" s="617"/>
      <c r="J23" s="477"/>
      <c r="K23" s="1692">
        <f t="shared" si="0"/>
        <v>0</v>
      </c>
      <c r="L23" s="471">
        <v>0</v>
      </c>
    </row>
    <row r="24" spans="1:12" ht="12.75" customHeight="1" x14ac:dyDescent="0.2">
      <c r="A24" s="1527" t="s">
        <v>766</v>
      </c>
      <c r="B24" s="603" t="s">
        <v>753</v>
      </c>
      <c r="C24" s="477"/>
      <c r="D24" s="477"/>
      <c r="E24" s="477"/>
      <c r="F24" s="477"/>
      <c r="G24" s="477"/>
      <c r="H24" s="474"/>
      <c r="I24" s="617"/>
      <c r="J24" s="477"/>
      <c r="K24" s="1692">
        <f t="shared" si="0"/>
        <v>0</v>
      </c>
      <c r="L24" s="471">
        <v>0</v>
      </c>
    </row>
    <row r="25" spans="1:12" ht="12.75" customHeight="1" x14ac:dyDescent="0.2">
      <c r="A25" s="1527" t="s">
        <v>835</v>
      </c>
      <c r="B25" s="603" t="s">
        <v>754</v>
      </c>
      <c r="C25" s="477"/>
      <c r="D25" s="477"/>
      <c r="E25" s="477"/>
      <c r="F25" s="477"/>
      <c r="G25" s="477"/>
      <c r="H25" s="474"/>
      <c r="I25" s="617"/>
      <c r="J25" s="477"/>
      <c r="K25" s="1692">
        <f t="shared" si="0"/>
        <v>0</v>
      </c>
      <c r="L25" s="471">
        <v>0</v>
      </c>
    </row>
    <row r="26" spans="1:12" x14ac:dyDescent="0.2">
      <c r="A26" s="1527" t="s">
        <v>643</v>
      </c>
      <c r="B26" s="603" t="s">
        <v>755</v>
      </c>
      <c r="C26" s="477"/>
      <c r="D26" s="477"/>
      <c r="E26" s="477"/>
      <c r="F26" s="477"/>
      <c r="G26" s="477"/>
      <c r="H26" s="474"/>
      <c r="I26" s="617"/>
      <c r="J26" s="477"/>
      <c r="K26" s="1692">
        <f t="shared" si="0"/>
        <v>0</v>
      </c>
      <c r="L26" s="471">
        <v>0</v>
      </c>
    </row>
    <row r="27" spans="1:12" x14ac:dyDescent="0.2">
      <c r="A27" s="1527" t="s">
        <v>644</v>
      </c>
      <c r="B27" s="603" t="s">
        <v>756</v>
      </c>
      <c r="C27" s="477"/>
      <c r="D27" s="477"/>
      <c r="E27" s="477"/>
      <c r="F27" s="477"/>
      <c r="G27" s="477"/>
      <c r="H27" s="474"/>
      <c r="I27" s="617"/>
      <c r="J27" s="477"/>
      <c r="K27" s="1692">
        <f t="shared" si="0"/>
        <v>0</v>
      </c>
      <c r="L27" s="471">
        <v>0</v>
      </c>
    </row>
    <row r="28" spans="1:12" x14ac:dyDescent="0.2">
      <c r="A28" s="1527" t="s">
        <v>152</v>
      </c>
      <c r="B28" s="603" t="s">
        <v>757</v>
      </c>
      <c r="C28" s="477"/>
      <c r="D28" s="477"/>
      <c r="E28" s="477"/>
      <c r="F28" s="477"/>
      <c r="G28" s="477"/>
      <c r="H28" s="474"/>
      <c r="I28" s="617"/>
      <c r="J28" s="477"/>
      <c r="K28" s="1692">
        <f t="shared" si="0"/>
        <v>0</v>
      </c>
      <c r="L28" s="471">
        <v>0</v>
      </c>
    </row>
    <row r="29" spans="1:12" x14ac:dyDescent="0.2">
      <c r="A29" s="1527" t="s">
        <v>153</v>
      </c>
      <c r="B29" s="603" t="s">
        <v>758</v>
      </c>
      <c r="C29" s="477"/>
      <c r="D29" s="477"/>
      <c r="E29" s="477"/>
      <c r="F29" s="477"/>
      <c r="G29" s="477"/>
      <c r="H29" s="474"/>
      <c r="I29" s="617"/>
      <c r="J29" s="477"/>
      <c r="K29" s="1692">
        <f t="shared" si="0"/>
        <v>0</v>
      </c>
      <c r="L29" s="471">
        <v>0</v>
      </c>
    </row>
    <row r="30" spans="1:12" x14ac:dyDescent="0.2">
      <c r="A30" s="1527" t="s">
        <v>154</v>
      </c>
      <c r="B30" s="603" t="s">
        <v>759</v>
      </c>
      <c r="C30" s="477"/>
      <c r="D30" s="477"/>
      <c r="E30" s="477"/>
      <c r="F30" s="477"/>
      <c r="G30" s="477"/>
      <c r="H30" s="474"/>
      <c r="I30" s="617"/>
      <c r="J30" s="477"/>
      <c r="K30" s="1692">
        <f t="shared" si="0"/>
        <v>0</v>
      </c>
      <c r="L30" s="471">
        <v>0</v>
      </c>
    </row>
    <row r="31" spans="1:12" x14ac:dyDescent="0.2">
      <c r="A31" s="1527" t="s">
        <v>155</v>
      </c>
      <c r="B31" s="603" t="s">
        <v>760</v>
      </c>
      <c r="C31" s="477"/>
      <c r="D31" s="477"/>
      <c r="E31" s="477"/>
      <c r="F31" s="477"/>
      <c r="G31" s="477"/>
      <c r="H31" s="474"/>
      <c r="I31" s="617"/>
      <c r="J31" s="477"/>
      <c r="K31" s="1692">
        <f t="shared" si="0"/>
        <v>0</v>
      </c>
      <c r="L31" s="471">
        <v>0</v>
      </c>
    </row>
    <row r="32" spans="1:12" x14ac:dyDescent="0.2">
      <c r="A32" s="1528" t="s">
        <v>1191</v>
      </c>
      <c r="B32" s="615" t="s">
        <v>761</v>
      </c>
      <c r="C32" s="477"/>
      <c r="D32" s="477"/>
      <c r="E32" s="477"/>
      <c r="F32" s="477"/>
      <c r="G32" s="477"/>
      <c r="H32" s="474"/>
      <c r="I32" s="617"/>
      <c r="J32" s="480"/>
      <c r="K32" s="1692">
        <f t="shared" si="0"/>
        <v>0</v>
      </c>
      <c r="L32" s="471">
        <v>4500</v>
      </c>
    </row>
    <row r="33" spans="1:14" ht="12.75" customHeight="1" thickBot="1" x14ac:dyDescent="0.25">
      <c r="A33" s="1689" t="s">
        <v>1767</v>
      </c>
      <c r="B33" s="1690" t="s">
        <v>591</v>
      </c>
      <c r="C33" s="1691">
        <f>SUM(C5:C32)</f>
        <v>6017643</v>
      </c>
      <c r="D33" s="1691">
        <f t="shared" ref="D33:L33" si="1">SUM(D5:D32)</f>
        <v>1468393</v>
      </c>
      <c r="E33" s="1691">
        <f t="shared" si="1"/>
        <v>362945</v>
      </c>
      <c r="F33" s="1691">
        <f t="shared" si="1"/>
        <v>333479</v>
      </c>
      <c r="G33" s="1691">
        <f t="shared" si="1"/>
        <v>65707</v>
      </c>
      <c r="H33" s="1691">
        <f t="shared" si="1"/>
        <v>11652</v>
      </c>
      <c r="I33" s="1691">
        <f t="shared" si="1"/>
        <v>0</v>
      </c>
      <c r="J33" s="1691">
        <f t="shared" si="1"/>
        <v>0</v>
      </c>
      <c r="K33" s="1691">
        <f t="shared" si="1"/>
        <v>8259819</v>
      </c>
      <c r="L33" s="1691">
        <f t="shared" si="1"/>
        <v>8338414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115587</v>
      </c>
      <c r="D36" s="481">
        <v>24597</v>
      </c>
      <c r="E36" s="481">
        <v>1971</v>
      </c>
      <c r="F36" s="481">
        <v>577</v>
      </c>
      <c r="G36" s="481">
        <v>1115</v>
      </c>
      <c r="H36" s="481"/>
      <c r="I36" s="467"/>
      <c r="J36" s="467"/>
      <c r="K36" s="1692">
        <f t="shared" ref="K36:K41" si="2">SUM(C36:J36)</f>
        <v>143847</v>
      </c>
      <c r="L36" s="466">
        <v>138776</v>
      </c>
    </row>
    <row r="37" spans="1:14" x14ac:dyDescent="0.2">
      <c r="A37" s="1526" t="s">
        <v>1151</v>
      </c>
      <c r="B37" s="615">
        <v>2120</v>
      </c>
      <c r="C37" s="466">
        <v>401393</v>
      </c>
      <c r="D37" s="466">
        <v>88934</v>
      </c>
      <c r="E37" s="466">
        <v>4448</v>
      </c>
      <c r="F37" s="466">
        <v>6669</v>
      </c>
      <c r="G37" s="466">
        <v>2229</v>
      </c>
      <c r="H37" s="466"/>
      <c r="I37" s="467"/>
      <c r="J37" s="467"/>
      <c r="K37" s="1692">
        <f t="shared" si="2"/>
        <v>503673</v>
      </c>
      <c r="L37" s="466">
        <v>489879</v>
      </c>
    </row>
    <row r="38" spans="1:14" x14ac:dyDescent="0.2">
      <c r="A38" s="1526" t="s">
        <v>207</v>
      </c>
      <c r="B38" s="615">
        <v>2130</v>
      </c>
      <c r="C38" s="466"/>
      <c r="D38" s="466"/>
      <c r="E38" s="466">
        <v>50078</v>
      </c>
      <c r="F38" s="466">
        <v>2517</v>
      </c>
      <c r="G38" s="466"/>
      <c r="H38" s="466"/>
      <c r="I38" s="467"/>
      <c r="J38" s="467"/>
      <c r="K38" s="1692">
        <f t="shared" si="2"/>
        <v>52595</v>
      </c>
      <c r="L38" s="466">
        <v>48000</v>
      </c>
    </row>
    <row r="39" spans="1:14" x14ac:dyDescent="0.2">
      <c r="A39" s="1526" t="s">
        <v>208</v>
      </c>
      <c r="B39" s="615">
        <v>2140</v>
      </c>
      <c r="C39" s="466"/>
      <c r="D39" s="466"/>
      <c r="E39" s="466"/>
      <c r="F39" s="466"/>
      <c r="G39" s="466"/>
      <c r="H39" s="466"/>
      <c r="I39" s="467"/>
      <c r="J39" s="467"/>
      <c r="K39" s="1692">
        <f t="shared" si="2"/>
        <v>0</v>
      </c>
      <c r="L39" s="466">
        <v>0</v>
      </c>
    </row>
    <row r="40" spans="1:14" x14ac:dyDescent="0.2">
      <c r="A40" s="1526" t="s">
        <v>209</v>
      </c>
      <c r="B40" s="615">
        <v>2150</v>
      </c>
      <c r="C40" s="466"/>
      <c r="D40" s="466"/>
      <c r="E40" s="466"/>
      <c r="F40" s="466"/>
      <c r="G40" s="466"/>
      <c r="H40" s="466"/>
      <c r="I40" s="467"/>
      <c r="J40" s="467"/>
      <c r="K40" s="1692">
        <f t="shared" si="2"/>
        <v>0</v>
      </c>
      <c r="L40" s="466">
        <v>0</v>
      </c>
    </row>
    <row r="41" spans="1:14" x14ac:dyDescent="0.2">
      <c r="A41" s="1526" t="s">
        <v>1768</v>
      </c>
      <c r="B41" s="615">
        <v>2190</v>
      </c>
      <c r="C41" s="466">
        <v>36655</v>
      </c>
      <c r="D41" s="466">
        <v>9122</v>
      </c>
      <c r="E41" s="466"/>
      <c r="F41" s="466"/>
      <c r="G41" s="466"/>
      <c r="H41" s="466"/>
      <c r="I41" s="467"/>
      <c r="J41" s="467"/>
      <c r="K41" s="1692">
        <f t="shared" si="2"/>
        <v>45777</v>
      </c>
      <c r="L41" s="466">
        <v>45777</v>
      </c>
    </row>
    <row r="42" spans="1:14" ht="12.75" customHeight="1" thickBot="1" x14ac:dyDescent="0.25">
      <c r="A42" s="1689" t="s">
        <v>581</v>
      </c>
      <c r="B42" s="1690" t="s">
        <v>740</v>
      </c>
      <c r="C42" s="1691">
        <f>SUM(C36:C41)</f>
        <v>553635</v>
      </c>
      <c r="D42" s="1691">
        <f t="shared" ref="D42:L42" si="3">SUM(D36:D41)</f>
        <v>122653</v>
      </c>
      <c r="E42" s="1691">
        <f t="shared" si="3"/>
        <v>56497</v>
      </c>
      <c r="F42" s="1691">
        <f t="shared" si="3"/>
        <v>9763</v>
      </c>
      <c r="G42" s="1691">
        <f t="shared" si="3"/>
        <v>3344</v>
      </c>
      <c r="H42" s="1691">
        <f t="shared" si="3"/>
        <v>0</v>
      </c>
      <c r="I42" s="1691">
        <f t="shared" si="3"/>
        <v>0</v>
      </c>
      <c r="J42" s="1691">
        <f t="shared" si="3"/>
        <v>0</v>
      </c>
      <c r="K42" s="1691">
        <f t="shared" si="3"/>
        <v>745892</v>
      </c>
      <c r="L42" s="1691">
        <f t="shared" si="3"/>
        <v>722432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3">
        <f>SUM(C44:J44)</f>
        <v>0</v>
      </c>
      <c r="L44" s="481">
        <v>0</v>
      </c>
    </row>
    <row r="45" spans="1:14" x14ac:dyDescent="0.2">
      <c r="A45" s="1526" t="s">
        <v>869</v>
      </c>
      <c r="B45" s="615">
        <v>2220</v>
      </c>
      <c r="C45" s="466">
        <v>12960</v>
      </c>
      <c r="D45" s="466">
        <v>6042</v>
      </c>
      <c r="E45" s="466">
        <v>4680</v>
      </c>
      <c r="F45" s="466">
        <v>21540</v>
      </c>
      <c r="G45" s="466">
        <v>4720</v>
      </c>
      <c r="H45" s="466"/>
      <c r="I45" s="467"/>
      <c r="J45" s="467"/>
      <c r="K45" s="1693">
        <f>SUM(C45:J45)</f>
        <v>49942</v>
      </c>
      <c r="L45" s="466">
        <v>46159</v>
      </c>
    </row>
    <row r="46" spans="1:14" x14ac:dyDescent="0.2">
      <c r="A46" s="1526"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12960</v>
      </c>
      <c r="D47" s="1691">
        <f t="shared" ref="D47:K47" si="4">SUM(D44:D46)</f>
        <v>6042</v>
      </c>
      <c r="E47" s="1691">
        <f t="shared" si="4"/>
        <v>4680</v>
      </c>
      <c r="F47" s="1691">
        <f t="shared" si="4"/>
        <v>21540</v>
      </c>
      <c r="G47" s="1691">
        <f t="shared" si="4"/>
        <v>4720</v>
      </c>
      <c r="H47" s="1691">
        <f t="shared" si="4"/>
        <v>0</v>
      </c>
      <c r="I47" s="1691">
        <f t="shared" si="4"/>
        <v>0</v>
      </c>
      <c r="J47" s="1691">
        <f t="shared" si="4"/>
        <v>0</v>
      </c>
      <c r="K47" s="1691">
        <f t="shared" si="4"/>
        <v>49942</v>
      </c>
      <c r="L47" s="1691">
        <f>SUM(L44:L46)</f>
        <v>46159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54504</v>
      </c>
      <c r="D49" s="481">
        <v>26500</v>
      </c>
      <c r="E49" s="481"/>
      <c r="F49" s="481"/>
      <c r="G49" s="481"/>
      <c r="H49" s="481">
        <v>26827</v>
      </c>
      <c r="I49" s="467"/>
      <c r="J49" s="467"/>
      <c r="K49" s="1693">
        <f>SUM(C49:J49)</f>
        <v>107831</v>
      </c>
      <c r="L49" s="481">
        <v>140000</v>
      </c>
    </row>
    <row r="50" spans="1:14" x14ac:dyDescent="0.2">
      <c r="A50" s="1526" t="s">
        <v>872</v>
      </c>
      <c r="B50" s="615">
        <v>2320</v>
      </c>
      <c r="C50" s="466">
        <v>233820</v>
      </c>
      <c r="D50" s="466">
        <v>58799</v>
      </c>
      <c r="E50" s="466"/>
      <c r="F50" s="466"/>
      <c r="G50" s="466">
        <v>1672</v>
      </c>
      <c r="H50" s="466"/>
      <c r="I50" s="467"/>
      <c r="J50" s="467"/>
      <c r="K50" s="1693">
        <f>SUM(C50:J50)</f>
        <v>294291</v>
      </c>
      <c r="L50" s="466">
        <v>291352</v>
      </c>
    </row>
    <row r="51" spans="1:14" x14ac:dyDescent="0.2">
      <c r="A51" s="1526" t="s">
        <v>44</v>
      </c>
      <c r="B51" s="615">
        <v>2330</v>
      </c>
      <c r="C51" s="466"/>
      <c r="D51" s="466"/>
      <c r="E51" s="466"/>
      <c r="F51" s="466"/>
      <c r="G51" s="466"/>
      <c r="H51" s="466"/>
      <c r="I51" s="467"/>
      <c r="J51" s="467"/>
      <c r="K51" s="1693">
        <f>SUM(C51:J51)</f>
        <v>0</v>
      </c>
      <c r="L51" s="466">
        <v>0</v>
      </c>
    </row>
    <row r="52" spans="1:14" ht="22.5" x14ac:dyDescent="0.2">
      <c r="A52" s="1527"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288324</v>
      </c>
      <c r="D53" s="1691">
        <f t="shared" ref="D53:L53" si="5">SUM(D49:D52)</f>
        <v>85299</v>
      </c>
      <c r="E53" s="1691">
        <f t="shared" si="5"/>
        <v>0</v>
      </c>
      <c r="F53" s="1691">
        <f t="shared" si="5"/>
        <v>0</v>
      </c>
      <c r="G53" s="1691">
        <f t="shared" si="5"/>
        <v>1672</v>
      </c>
      <c r="H53" s="1691">
        <f t="shared" si="5"/>
        <v>26827</v>
      </c>
      <c r="I53" s="1691">
        <f t="shared" si="5"/>
        <v>0</v>
      </c>
      <c r="J53" s="1691">
        <f t="shared" si="5"/>
        <v>0</v>
      </c>
      <c r="K53" s="1691">
        <f t="shared" si="5"/>
        <v>402122</v>
      </c>
      <c r="L53" s="1691">
        <f t="shared" si="5"/>
        <v>431352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399555</v>
      </c>
      <c r="D55" s="481">
        <v>106024</v>
      </c>
      <c r="E55" s="481">
        <v>50831</v>
      </c>
      <c r="F55" s="481">
        <v>43185</v>
      </c>
      <c r="G55" s="481">
        <v>1115</v>
      </c>
      <c r="H55" s="481"/>
      <c r="I55" s="467"/>
      <c r="J55" s="467"/>
      <c r="K55" s="1693">
        <f>SUM(C55:J55)</f>
        <v>600710</v>
      </c>
      <c r="L55" s="481">
        <v>630877</v>
      </c>
    </row>
    <row r="56" spans="1:14" ht="12.75" customHeight="1" x14ac:dyDescent="0.2">
      <c r="A56" s="1530" t="s">
        <v>394</v>
      </c>
      <c r="B56" s="629">
        <v>2490</v>
      </c>
      <c r="C56" s="466">
        <v>65633</v>
      </c>
      <c r="D56" s="466">
        <v>14960</v>
      </c>
      <c r="E56" s="466">
        <v>121</v>
      </c>
      <c r="F56" s="466"/>
      <c r="G56" s="466">
        <v>1115</v>
      </c>
      <c r="H56" s="466"/>
      <c r="I56" s="467"/>
      <c r="J56" s="467"/>
      <c r="K56" s="1693">
        <f>SUM(C56:J56)</f>
        <v>81829</v>
      </c>
      <c r="L56" s="466">
        <v>91042</v>
      </c>
    </row>
    <row r="57" spans="1:14" s="343" customFormat="1" ht="12.75" customHeight="1" thickBot="1" x14ac:dyDescent="0.25">
      <c r="A57" s="1689" t="s">
        <v>281</v>
      </c>
      <c r="B57" s="1694" t="s">
        <v>34</v>
      </c>
      <c r="C57" s="1695">
        <f>SUM(C55:C56)</f>
        <v>465188</v>
      </c>
      <c r="D57" s="1695">
        <f t="shared" ref="D57:K57" si="6">SUM(D55:D56)</f>
        <v>120984</v>
      </c>
      <c r="E57" s="1695">
        <f t="shared" si="6"/>
        <v>50952</v>
      </c>
      <c r="F57" s="1695">
        <f t="shared" si="6"/>
        <v>43185</v>
      </c>
      <c r="G57" s="1695">
        <f t="shared" si="6"/>
        <v>2230</v>
      </c>
      <c r="H57" s="1695">
        <f t="shared" si="6"/>
        <v>0</v>
      </c>
      <c r="I57" s="1695">
        <f t="shared" si="6"/>
        <v>0</v>
      </c>
      <c r="J57" s="1695">
        <f t="shared" si="6"/>
        <v>0</v>
      </c>
      <c r="K57" s="1695">
        <f t="shared" si="6"/>
        <v>682539</v>
      </c>
      <c r="L57" s="1691">
        <f>SUM(L55:L56)</f>
        <v>721919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143662</v>
      </c>
      <c r="D59" s="481">
        <v>46228</v>
      </c>
      <c r="E59" s="481">
        <v>3478</v>
      </c>
      <c r="F59" s="481">
        <v>3055</v>
      </c>
      <c r="G59" s="481"/>
      <c r="H59" s="481"/>
      <c r="I59" s="467"/>
      <c r="J59" s="467"/>
      <c r="K59" s="1693">
        <f t="shared" ref="K59:K64" si="7">SUM(C59:J59)</f>
        <v>196423</v>
      </c>
      <c r="L59" s="481">
        <v>199455</v>
      </c>
      <c r="M59" s="610"/>
      <c r="N59" s="610"/>
    </row>
    <row r="60" spans="1:14" s="343" customFormat="1" x14ac:dyDescent="0.2">
      <c r="A60" s="1526" t="s">
        <v>483</v>
      </c>
      <c r="B60" s="615">
        <v>2520</v>
      </c>
      <c r="C60" s="466">
        <v>69450</v>
      </c>
      <c r="D60" s="466">
        <v>14629</v>
      </c>
      <c r="E60" s="466">
        <v>20970</v>
      </c>
      <c r="F60" s="466">
        <v>1317</v>
      </c>
      <c r="G60" s="466">
        <v>1672</v>
      </c>
      <c r="H60" s="466"/>
      <c r="I60" s="467"/>
      <c r="J60" s="467"/>
      <c r="K60" s="1693">
        <f t="shared" si="7"/>
        <v>108038</v>
      </c>
      <c r="L60" s="466">
        <v>89911</v>
      </c>
      <c r="M60" s="610"/>
      <c r="N60" s="610"/>
    </row>
    <row r="61" spans="1:14" s="343" customFormat="1" x14ac:dyDescent="0.2">
      <c r="A61" s="1526" t="s">
        <v>206</v>
      </c>
      <c r="B61" s="615">
        <v>2540</v>
      </c>
      <c r="C61" s="466"/>
      <c r="D61" s="466"/>
      <c r="E61" s="466">
        <v>201191</v>
      </c>
      <c r="F61" s="466"/>
      <c r="G61" s="466"/>
      <c r="H61" s="466"/>
      <c r="I61" s="467"/>
      <c r="J61" s="467"/>
      <c r="K61" s="1693">
        <f t="shared" si="7"/>
        <v>201191</v>
      </c>
      <c r="L61" s="466">
        <v>0</v>
      </c>
      <c r="M61" s="610"/>
      <c r="N61" s="610"/>
    </row>
    <row r="62" spans="1:14" s="343" customFormat="1" x14ac:dyDescent="0.2">
      <c r="A62" s="1526" t="s">
        <v>1010</v>
      </c>
      <c r="B62" s="615">
        <v>2550</v>
      </c>
      <c r="C62" s="466"/>
      <c r="D62" s="466"/>
      <c r="E62" s="466"/>
      <c r="F62" s="466"/>
      <c r="G62" s="466"/>
      <c r="H62" s="466"/>
      <c r="I62" s="467"/>
      <c r="J62" s="467"/>
      <c r="K62" s="1693">
        <f t="shared" si="7"/>
        <v>0</v>
      </c>
      <c r="L62" s="466">
        <v>0</v>
      </c>
      <c r="M62" s="610"/>
      <c r="N62" s="610"/>
    </row>
    <row r="63" spans="1:14" s="610" customFormat="1" x14ac:dyDescent="0.2">
      <c r="A63" s="1526" t="s">
        <v>102</v>
      </c>
      <c r="B63" s="615">
        <v>2560</v>
      </c>
      <c r="C63" s="466">
        <v>163938</v>
      </c>
      <c r="D63" s="466">
        <v>118934</v>
      </c>
      <c r="E63" s="466"/>
      <c r="F63" s="466">
        <v>192263</v>
      </c>
      <c r="G63" s="466"/>
      <c r="H63" s="466"/>
      <c r="I63" s="467"/>
      <c r="J63" s="467"/>
      <c r="K63" s="1693">
        <f t="shared" si="7"/>
        <v>475135</v>
      </c>
      <c r="L63" s="466">
        <v>547580</v>
      </c>
    </row>
    <row r="64" spans="1:14" s="610" customFormat="1" x14ac:dyDescent="0.2">
      <c r="A64" s="1531"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377050</v>
      </c>
      <c r="D65" s="1691">
        <f t="shared" ref="D65:L65" si="8">SUM(D59:D64)</f>
        <v>179791</v>
      </c>
      <c r="E65" s="1691">
        <f t="shared" si="8"/>
        <v>225639</v>
      </c>
      <c r="F65" s="1691">
        <f t="shared" si="8"/>
        <v>196635</v>
      </c>
      <c r="G65" s="1691">
        <f t="shared" si="8"/>
        <v>1672</v>
      </c>
      <c r="H65" s="1691">
        <f t="shared" si="8"/>
        <v>0</v>
      </c>
      <c r="I65" s="1691">
        <f t="shared" si="8"/>
        <v>0</v>
      </c>
      <c r="J65" s="1691">
        <f t="shared" si="8"/>
        <v>0</v>
      </c>
      <c r="K65" s="1691">
        <f t="shared" si="8"/>
        <v>980787</v>
      </c>
      <c r="L65" s="1691">
        <f t="shared" si="8"/>
        <v>836946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v>0</v>
      </c>
      <c r="M67" s="610"/>
      <c r="N67" s="610"/>
    </row>
    <row r="68" spans="1:14" s="343" customFormat="1" x14ac:dyDescent="0.2">
      <c r="A68" s="1526" t="s">
        <v>628</v>
      </c>
      <c r="B68" s="615">
        <v>2620</v>
      </c>
      <c r="C68" s="466"/>
      <c r="D68" s="466"/>
      <c r="E68" s="466"/>
      <c r="F68" s="466"/>
      <c r="G68" s="466"/>
      <c r="H68" s="466"/>
      <c r="I68" s="467"/>
      <c r="J68" s="467"/>
      <c r="K68" s="1693">
        <f>SUM(C68:J68)</f>
        <v>0</v>
      </c>
      <c r="L68" s="466">
        <v>0</v>
      </c>
      <c r="M68" s="610"/>
      <c r="N68" s="610"/>
    </row>
    <row r="69" spans="1:14" s="343" customFormat="1" x14ac:dyDescent="0.2">
      <c r="A69" s="1526" t="s">
        <v>1121</v>
      </c>
      <c r="B69" s="615">
        <v>2630</v>
      </c>
      <c r="C69" s="466"/>
      <c r="D69" s="466"/>
      <c r="E69" s="466"/>
      <c r="F69" s="466"/>
      <c r="G69" s="466"/>
      <c r="H69" s="466"/>
      <c r="I69" s="467"/>
      <c r="J69" s="467"/>
      <c r="K69" s="1693">
        <f>SUM(C69:J69)</f>
        <v>0</v>
      </c>
      <c r="L69" s="466">
        <v>0</v>
      </c>
      <c r="M69" s="610"/>
      <c r="N69" s="610"/>
    </row>
    <row r="70" spans="1:14" s="343" customFormat="1" x14ac:dyDescent="0.2">
      <c r="A70" s="1526" t="s">
        <v>423</v>
      </c>
      <c r="B70" s="615">
        <v>2640</v>
      </c>
      <c r="C70" s="466"/>
      <c r="D70" s="466"/>
      <c r="E70" s="466"/>
      <c r="F70" s="466"/>
      <c r="G70" s="466"/>
      <c r="H70" s="466"/>
      <c r="I70" s="467"/>
      <c r="J70" s="467"/>
      <c r="K70" s="1693">
        <f>SUM(C70:J70)</f>
        <v>0</v>
      </c>
      <c r="L70" s="466">
        <v>0</v>
      </c>
      <c r="M70" s="610"/>
      <c r="N70" s="610"/>
    </row>
    <row r="71" spans="1:14" s="343" customFormat="1" x14ac:dyDescent="0.2">
      <c r="A71" s="1526"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v>77689</v>
      </c>
      <c r="D73" s="573">
        <v>19028</v>
      </c>
      <c r="E73" s="573"/>
      <c r="F73" s="573"/>
      <c r="G73" s="573"/>
      <c r="H73" s="573"/>
      <c r="I73" s="531"/>
      <c r="J73" s="531"/>
      <c r="K73" s="1691">
        <f>SUM(C73:J73)</f>
        <v>96717</v>
      </c>
      <c r="L73" s="576">
        <v>103549</v>
      </c>
      <c r="M73" s="610"/>
      <c r="N73" s="610"/>
    </row>
    <row r="74" spans="1:14" ht="12.75" customHeight="1" thickTop="1" thickBot="1" x14ac:dyDescent="0.25">
      <c r="A74" s="1689" t="s">
        <v>865</v>
      </c>
      <c r="B74" s="1697">
        <v>2000</v>
      </c>
      <c r="C74" s="1698">
        <f>SUM(C42,C47,C53,C57,C65,C72,C73)</f>
        <v>1774846</v>
      </c>
      <c r="D74" s="1698">
        <f t="shared" ref="D74:K74" si="10">SUM(D42,D47,D53,D57,D65,D72,D73)</f>
        <v>533797</v>
      </c>
      <c r="E74" s="1698">
        <f t="shared" si="10"/>
        <v>337768</v>
      </c>
      <c r="F74" s="1698">
        <f t="shared" si="10"/>
        <v>271123</v>
      </c>
      <c r="G74" s="1698">
        <f t="shared" si="10"/>
        <v>13638</v>
      </c>
      <c r="H74" s="1698">
        <f t="shared" si="10"/>
        <v>26827</v>
      </c>
      <c r="I74" s="1698">
        <f t="shared" si="10"/>
        <v>0</v>
      </c>
      <c r="J74" s="1698">
        <f t="shared" si="10"/>
        <v>0</v>
      </c>
      <c r="K74" s="1698">
        <f t="shared" si="10"/>
        <v>2957999</v>
      </c>
      <c r="L74" s="1698">
        <f>SUM(L42,L47,L53,L57,L65,L72,L73)</f>
        <v>2862357</v>
      </c>
    </row>
    <row r="75" spans="1:14" s="259" customFormat="1" ht="15.75" customHeight="1" thickTop="1" thickBot="1" x14ac:dyDescent="0.25">
      <c r="A75" s="1632" t="s">
        <v>49</v>
      </c>
      <c r="B75" s="1633" t="s">
        <v>596</v>
      </c>
      <c r="C75" s="573"/>
      <c r="D75" s="573"/>
      <c r="E75" s="573">
        <v>7105</v>
      </c>
      <c r="F75" s="573"/>
      <c r="G75" s="573"/>
      <c r="H75" s="573"/>
      <c r="I75" s="531"/>
      <c r="J75" s="531"/>
      <c r="K75" s="1691">
        <f>SUM(C75:J75)</f>
        <v>7105</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v>0</v>
      </c>
    </row>
    <row r="79" spans="1:14" x14ac:dyDescent="0.2">
      <c r="A79" s="1526" t="s">
        <v>322</v>
      </c>
      <c r="B79" s="615">
        <v>4120</v>
      </c>
      <c r="C79" s="617"/>
      <c r="D79" s="617"/>
      <c r="E79" s="466">
        <v>400739</v>
      </c>
      <c r="F79" s="617"/>
      <c r="G79" s="617"/>
      <c r="H79" s="466"/>
      <c r="I79" s="477"/>
      <c r="J79" s="477"/>
      <c r="K79" s="1692">
        <f t="shared" si="11"/>
        <v>400739</v>
      </c>
      <c r="L79" s="466">
        <v>320000</v>
      </c>
    </row>
    <row r="80" spans="1:14" x14ac:dyDescent="0.2">
      <c r="A80" s="1526" t="s">
        <v>323</v>
      </c>
      <c r="B80" s="615">
        <v>4130</v>
      </c>
      <c r="C80" s="617"/>
      <c r="D80" s="617"/>
      <c r="E80" s="466"/>
      <c r="F80" s="617"/>
      <c r="G80" s="617"/>
      <c r="H80" s="466"/>
      <c r="I80" s="477"/>
      <c r="J80" s="477"/>
      <c r="K80" s="1692">
        <f t="shared" si="11"/>
        <v>0</v>
      </c>
      <c r="L80" s="466">
        <v>0</v>
      </c>
    </row>
    <row r="81" spans="1:12" x14ac:dyDescent="0.2">
      <c r="A81" s="1526" t="s">
        <v>721</v>
      </c>
      <c r="B81" s="615">
        <v>4140</v>
      </c>
      <c r="C81" s="617"/>
      <c r="D81" s="617"/>
      <c r="E81" s="466"/>
      <c r="F81" s="617"/>
      <c r="G81" s="617"/>
      <c r="H81" s="466"/>
      <c r="I81" s="477"/>
      <c r="J81" s="477"/>
      <c r="K81" s="1692">
        <f t="shared" si="11"/>
        <v>0</v>
      </c>
      <c r="L81" s="466">
        <v>0</v>
      </c>
    </row>
    <row r="82" spans="1:12" x14ac:dyDescent="0.2">
      <c r="A82" s="1526" t="s">
        <v>88</v>
      </c>
      <c r="B82" s="615">
        <v>4170</v>
      </c>
      <c r="C82" s="617"/>
      <c r="D82" s="617"/>
      <c r="E82" s="466"/>
      <c r="F82" s="617"/>
      <c r="G82" s="617"/>
      <c r="H82" s="466"/>
      <c r="I82" s="477"/>
      <c r="J82" s="477"/>
      <c r="K82" s="1692">
        <f t="shared" si="11"/>
        <v>0</v>
      </c>
      <c r="L82" s="466">
        <v>4000</v>
      </c>
    </row>
    <row r="83" spans="1:12" x14ac:dyDescent="0.2">
      <c r="A83" s="1530" t="s">
        <v>722</v>
      </c>
      <c r="B83" s="629">
        <v>4190</v>
      </c>
      <c r="C83" s="617"/>
      <c r="D83" s="617"/>
      <c r="E83" s="466">
        <v>3941</v>
      </c>
      <c r="F83" s="617"/>
      <c r="G83" s="617"/>
      <c r="H83" s="466"/>
      <c r="I83" s="477"/>
      <c r="J83" s="477"/>
      <c r="K83" s="1692">
        <f t="shared" si="11"/>
        <v>3941</v>
      </c>
      <c r="L83" s="466">
        <v>0</v>
      </c>
    </row>
    <row r="84" spans="1:12" ht="13.5" thickBot="1" x14ac:dyDescent="0.25">
      <c r="A84" s="1689" t="s">
        <v>1565</v>
      </c>
      <c r="B84" s="1699">
        <v>4100</v>
      </c>
      <c r="C84" s="617"/>
      <c r="D84" s="617"/>
      <c r="E84" s="1691">
        <f>SUM(E78:E83)</f>
        <v>404680</v>
      </c>
      <c r="F84" s="617"/>
      <c r="G84" s="617"/>
      <c r="H84" s="1691">
        <f>SUM(H78:H83)</f>
        <v>0</v>
      </c>
      <c r="I84" s="477"/>
      <c r="J84" s="477"/>
      <c r="K84" s="1691">
        <f>SUM(K78:K83)</f>
        <v>404680</v>
      </c>
      <c r="L84" s="1691">
        <f>SUM(L78:L83)</f>
        <v>324000</v>
      </c>
    </row>
    <row r="85" spans="1:12" ht="12.75" customHeight="1" thickTop="1" thickBot="1" x14ac:dyDescent="0.25">
      <c r="A85" s="1533" t="s">
        <v>273</v>
      </c>
      <c r="B85" s="636">
        <v>4210</v>
      </c>
      <c r="C85" s="617"/>
      <c r="D85" s="617"/>
      <c r="E85" s="637"/>
      <c r="F85" s="617"/>
      <c r="G85" s="617"/>
      <c r="H85" s="535"/>
      <c r="I85" s="477"/>
      <c r="J85" s="477"/>
      <c r="K85" s="1698">
        <f>H85</f>
        <v>0</v>
      </c>
      <c r="L85" s="530">
        <v>0</v>
      </c>
    </row>
    <row r="86" spans="1:12" ht="12.75" customHeight="1" thickTop="1" thickBot="1" x14ac:dyDescent="0.25">
      <c r="A86" s="1534" t="s">
        <v>723</v>
      </c>
      <c r="B86" s="638">
        <v>4220</v>
      </c>
      <c r="C86" s="617"/>
      <c r="D86" s="617"/>
      <c r="E86" s="639"/>
      <c r="F86" s="617"/>
      <c r="G86" s="617"/>
      <c r="H86" s="467">
        <v>33930</v>
      </c>
      <c r="I86" s="477"/>
      <c r="J86" s="477"/>
      <c r="K86" s="1698">
        <f t="shared" ref="K86:K98" si="12">H86</f>
        <v>33930</v>
      </c>
      <c r="L86" s="530">
        <v>50000</v>
      </c>
    </row>
    <row r="87" spans="1:12" ht="14.25" thickTop="1" thickBot="1" x14ac:dyDescent="0.25">
      <c r="A87" s="1535" t="s">
        <v>724</v>
      </c>
      <c r="B87" s="640">
        <v>4230</v>
      </c>
      <c r="C87" s="617"/>
      <c r="D87" s="617"/>
      <c r="E87" s="639"/>
      <c r="F87" s="617"/>
      <c r="G87" s="617"/>
      <c r="H87" s="467"/>
      <c r="I87" s="477"/>
      <c r="J87" s="477"/>
      <c r="K87" s="1698">
        <f t="shared" si="12"/>
        <v>0</v>
      </c>
      <c r="L87" s="530">
        <v>0</v>
      </c>
    </row>
    <row r="88" spans="1:12" ht="12.75" customHeight="1" thickTop="1" thickBot="1" x14ac:dyDescent="0.25">
      <c r="A88" s="1535" t="s">
        <v>789</v>
      </c>
      <c r="B88" s="640">
        <v>4240</v>
      </c>
      <c r="C88" s="617"/>
      <c r="D88" s="617"/>
      <c r="E88" s="639"/>
      <c r="F88" s="617"/>
      <c r="G88" s="617"/>
      <c r="H88" s="467"/>
      <c r="I88" s="477"/>
      <c r="J88" s="477"/>
      <c r="K88" s="1698">
        <f t="shared" si="12"/>
        <v>0</v>
      </c>
      <c r="L88" s="530">
        <v>0</v>
      </c>
    </row>
    <row r="89" spans="1:12" ht="12.75" customHeight="1" thickTop="1" thickBot="1" x14ac:dyDescent="0.25">
      <c r="A89" s="1535" t="s">
        <v>725</v>
      </c>
      <c r="B89" s="640">
        <v>4270</v>
      </c>
      <c r="C89" s="617"/>
      <c r="D89" s="617"/>
      <c r="E89" s="639"/>
      <c r="F89" s="617"/>
      <c r="G89" s="617"/>
      <c r="H89" s="467"/>
      <c r="I89" s="477"/>
      <c r="J89" s="477"/>
      <c r="K89" s="1698">
        <f t="shared" si="12"/>
        <v>0</v>
      </c>
      <c r="L89" s="530">
        <v>0</v>
      </c>
    </row>
    <row r="90" spans="1:12" ht="12.75" customHeight="1" thickTop="1" thickBot="1" x14ac:dyDescent="0.25">
      <c r="A90" s="1535" t="s">
        <v>710</v>
      </c>
      <c r="B90" s="640">
        <v>4280</v>
      </c>
      <c r="C90" s="617"/>
      <c r="D90" s="617"/>
      <c r="E90" s="639"/>
      <c r="F90" s="617"/>
      <c r="G90" s="617"/>
      <c r="H90" s="467"/>
      <c r="I90" s="477"/>
      <c r="J90" s="477"/>
      <c r="K90" s="1698">
        <f t="shared" si="12"/>
        <v>0</v>
      </c>
      <c r="L90" s="530">
        <v>0</v>
      </c>
    </row>
    <row r="91" spans="1:12" ht="12.75" customHeight="1" thickTop="1" thickBot="1" x14ac:dyDescent="0.25">
      <c r="A91" s="1535"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33930</v>
      </c>
      <c r="I92" s="477"/>
      <c r="J92" s="477"/>
      <c r="K92" s="1698">
        <f t="shared" si="12"/>
        <v>33930</v>
      </c>
      <c r="L92" s="1691">
        <f>SUM(L85:L91)</f>
        <v>50000</v>
      </c>
    </row>
    <row r="93" spans="1:12" ht="14.25" thickTop="1" thickBot="1" x14ac:dyDescent="0.25">
      <c r="A93" s="1534" t="s">
        <v>712</v>
      </c>
      <c r="B93" s="641">
        <v>4310</v>
      </c>
      <c r="C93" s="617"/>
      <c r="D93" s="617"/>
      <c r="E93" s="639"/>
      <c r="F93" s="617"/>
      <c r="G93" s="617"/>
      <c r="H93" s="642"/>
      <c r="I93" s="477"/>
      <c r="J93" s="477"/>
      <c r="K93" s="1698">
        <f t="shared" si="12"/>
        <v>0</v>
      </c>
      <c r="L93" s="532">
        <v>0</v>
      </c>
    </row>
    <row r="94" spans="1:12" ht="12.75" customHeight="1" thickTop="1" thickBot="1" x14ac:dyDescent="0.25">
      <c r="A94" s="1535" t="s">
        <v>713</v>
      </c>
      <c r="B94" s="640">
        <v>4320</v>
      </c>
      <c r="C94" s="617"/>
      <c r="D94" s="617"/>
      <c r="E94" s="639"/>
      <c r="F94" s="617"/>
      <c r="G94" s="617"/>
      <c r="H94" s="467"/>
      <c r="I94" s="477"/>
      <c r="J94" s="477"/>
      <c r="K94" s="1698">
        <f t="shared" si="12"/>
        <v>0</v>
      </c>
      <c r="L94" s="530">
        <v>0</v>
      </c>
    </row>
    <row r="95" spans="1:12" ht="15" customHeight="1" thickTop="1" thickBot="1" x14ac:dyDescent="0.25">
      <c r="A95" s="1535" t="s">
        <v>1568</v>
      </c>
      <c r="B95" s="640">
        <v>4330</v>
      </c>
      <c r="C95" s="617"/>
      <c r="D95" s="617"/>
      <c r="E95" s="639"/>
      <c r="F95" s="617"/>
      <c r="G95" s="617"/>
      <c r="H95" s="467"/>
      <c r="I95" s="477"/>
      <c r="J95" s="477"/>
      <c r="K95" s="1698">
        <f t="shared" si="12"/>
        <v>0</v>
      </c>
      <c r="L95" s="530">
        <v>0</v>
      </c>
    </row>
    <row r="96" spans="1:12" ht="14.25" thickTop="1" thickBot="1" x14ac:dyDescent="0.25">
      <c r="A96" s="1535" t="s">
        <v>714</v>
      </c>
      <c r="B96" s="640">
        <v>4340</v>
      </c>
      <c r="C96" s="617"/>
      <c r="D96" s="617"/>
      <c r="E96" s="639"/>
      <c r="F96" s="617"/>
      <c r="G96" s="617"/>
      <c r="H96" s="467"/>
      <c r="I96" s="477"/>
      <c r="J96" s="477"/>
      <c r="K96" s="1698">
        <f t="shared" si="12"/>
        <v>0</v>
      </c>
      <c r="L96" s="530">
        <v>0</v>
      </c>
    </row>
    <row r="97" spans="1:14" ht="12.75" customHeight="1" thickTop="1" thickBot="1" x14ac:dyDescent="0.25">
      <c r="A97" s="1535" t="s">
        <v>787</v>
      </c>
      <c r="B97" s="640">
        <v>4370</v>
      </c>
      <c r="C97" s="617"/>
      <c r="D97" s="617"/>
      <c r="E97" s="639"/>
      <c r="F97" s="617"/>
      <c r="G97" s="617"/>
      <c r="H97" s="467"/>
      <c r="I97" s="477"/>
      <c r="J97" s="477"/>
      <c r="K97" s="1698">
        <f t="shared" si="12"/>
        <v>0</v>
      </c>
      <c r="L97" s="530">
        <v>0</v>
      </c>
    </row>
    <row r="98" spans="1:14" ht="14.25" thickTop="1" thickBot="1" x14ac:dyDescent="0.25">
      <c r="A98" s="1535" t="s">
        <v>788</v>
      </c>
      <c r="B98" s="640">
        <v>4380</v>
      </c>
      <c r="C98" s="617"/>
      <c r="D98" s="617"/>
      <c r="E98" s="643"/>
      <c r="F98" s="617"/>
      <c r="G98" s="617"/>
      <c r="H98" s="467"/>
      <c r="I98" s="477"/>
      <c r="J98" s="477"/>
      <c r="K98" s="1698">
        <f t="shared" si="12"/>
        <v>0</v>
      </c>
      <c r="L98" s="530">
        <v>0</v>
      </c>
    </row>
    <row r="99" spans="1:14" ht="14.25" thickTop="1" thickBot="1" x14ac:dyDescent="0.25">
      <c r="A99" s="1535"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404680</v>
      </c>
      <c r="F102" s="617"/>
      <c r="G102" s="617"/>
      <c r="H102" s="1698">
        <f>SUM(H84,H92,H100,H101)</f>
        <v>33930</v>
      </c>
      <c r="I102" s="477"/>
      <c r="J102" s="477"/>
      <c r="K102" s="1698">
        <f>SUM(K84,K92,K100,K101)</f>
        <v>438610</v>
      </c>
      <c r="L102" s="1698">
        <f>SUM(L84,L92,L100,L101)</f>
        <v>374000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v>0</v>
      </c>
      <c r="M105" s="210"/>
      <c r="N105" s="210"/>
    </row>
    <row r="106" spans="1:14" s="598" customFormat="1" x14ac:dyDescent="0.2">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7792489</v>
      </c>
      <c r="D114" s="1691">
        <f t="shared" ref="D114:K114" si="13">SUM(D33,D74,D75,D102,D112,D113)</f>
        <v>2002190</v>
      </c>
      <c r="E114" s="1691">
        <f t="shared" si="13"/>
        <v>1112498</v>
      </c>
      <c r="F114" s="1691">
        <f t="shared" si="13"/>
        <v>604602</v>
      </c>
      <c r="G114" s="1691">
        <f t="shared" si="13"/>
        <v>79345</v>
      </c>
      <c r="H114" s="1691">
        <f>SUM(H33,H74,H75,H102,H112,H113)</f>
        <v>72409</v>
      </c>
      <c r="I114" s="1691">
        <f t="shared" si="13"/>
        <v>0</v>
      </c>
      <c r="J114" s="1691">
        <f t="shared" si="13"/>
        <v>0</v>
      </c>
      <c r="K114" s="1691">
        <f t="shared" si="13"/>
        <v>11663533</v>
      </c>
      <c r="L114" s="1691">
        <f>SUM(L33,L74,L75,L102,L112,L113)</f>
        <v>11574771</v>
      </c>
    </row>
    <row r="115" spans="1:14" ht="13.5" thickTop="1" x14ac:dyDescent="0.2">
      <c r="A115" s="2217" t="s">
        <v>1053</v>
      </c>
      <c r="B115" s="2218"/>
      <c r="C115" s="619"/>
      <c r="D115" s="619"/>
      <c r="E115" s="619"/>
      <c r="F115" s="619"/>
      <c r="G115" s="619"/>
      <c r="H115" s="619"/>
      <c r="I115" s="619"/>
      <c r="J115" s="619"/>
      <c r="K115" s="1705">
        <f>'Revenues 9-14'!C275-'Expenditures 15-22'!K114</f>
        <v>334866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5" t="s">
        <v>314</v>
      </c>
      <c r="B117" s="219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v>0</v>
      </c>
    </row>
    <row r="123" spans="1:14" ht="14.25" thickTop="1" thickBot="1" x14ac:dyDescent="0.25">
      <c r="A123" s="1526" t="s">
        <v>4</v>
      </c>
      <c r="B123" s="615">
        <v>2530</v>
      </c>
      <c r="C123" s="466"/>
      <c r="D123" s="466"/>
      <c r="E123" s="466"/>
      <c r="F123" s="466"/>
      <c r="G123" s="466"/>
      <c r="H123" s="466"/>
      <c r="I123" s="467"/>
      <c r="J123" s="467"/>
      <c r="K123" s="1691">
        <f>SUM(C123:J123)</f>
        <v>0</v>
      </c>
      <c r="L123" s="466">
        <v>0</v>
      </c>
    </row>
    <row r="124" spans="1:14" ht="14.25" thickTop="1" thickBot="1" x14ac:dyDescent="0.25">
      <c r="A124" s="1526" t="s">
        <v>206</v>
      </c>
      <c r="B124" s="615">
        <v>2540</v>
      </c>
      <c r="C124" s="466">
        <v>188798</v>
      </c>
      <c r="D124" s="466">
        <v>31507</v>
      </c>
      <c r="E124" s="466">
        <v>543057</v>
      </c>
      <c r="F124" s="466">
        <v>495214</v>
      </c>
      <c r="G124" s="466"/>
      <c r="H124" s="466"/>
      <c r="I124" s="467"/>
      <c r="J124" s="467"/>
      <c r="K124" s="1691">
        <f>SUM(C124:J124)</f>
        <v>1258576</v>
      </c>
      <c r="L124" s="466">
        <v>1519067</v>
      </c>
    </row>
    <row r="125" spans="1:14" ht="14.25" thickTop="1" thickBot="1" x14ac:dyDescent="0.25">
      <c r="A125" s="1526" t="s">
        <v>1010</v>
      </c>
      <c r="B125" s="615">
        <v>2550</v>
      </c>
      <c r="C125" s="466"/>
      <c r="D125" s="466"/>
      <c r="E125" s="466"/>
      <c r="F125" s="466"/>
      <c r="G125" s="466"/>
      <c r="H125" s="466"/>
      <c r="I125" s="467"/>
      <c r="J125" s="467"/>
      <c r="K125" s="1691">
        <f>SUM(C125:J125)</f>
        <v>0</v>
      </c>
      <c r="L125" s="466">
        <v>0</v>
      </c>
    </row>
    <row r="126" spans="1:14" ht="14.25" thickTop="1" thickBot="1" x14ac:dyDescent="0.25">
      <c r="A126" s="1526"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188798</v>
      </c>
      <c r="D127" s="1691">
        <f t="shared" ref="D127:L127" si="14">SUM(D122:D126)</f>
        <v>31507</v>
      </c>
      <c r="E127" s="1691">
        <f t="shared" si="14"/>
        <v>543057</v>
      </c>
      <c r="F127" s="1691">
        <f t="shared" si="14"/>
        <v>495214</v>
      </c>
      <c r="G127" s="1691">
        <f t="shared" si="14"/>
        <v>0</v>
      </c>
      <c r="H127" s="1691">
        <f t="shared" si="14"/>
        <v>0</v>
      </c>
      <c r="I127" s="1691">
        <f t="shared" si="14"/>
        <v>0</v>
      </c>
      <c r="J127" s="1691">
        <f t="shared" si="14"/>
        <v>0</v>
      </c>
      <c r="K127" s="1691">
        <f t="shared" si="14"/>
        <v>1258576</v>
      </c>
      <c r="L127" s="1691">
        <f t="shared" si="14"/>
        <v>1519067</v>
      </c>
    </row>
    <row r="128" spans="1:14" ht="12.75" customHeight="1" thickTop="1" x14ac:dyDescent="0.2">
      <c r="A128" s="1533"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188798</v>
      </c>
      <c r="D129" s="1698">
        <f t="shared" ref="D129:L129" si="15">SUM(D120,D127,D128)</f>
        <v>31507</v>
      </c>
      <c r="E129" s="1698">
        <f t="shared" si="15"/>
        <v>543057</v>
      </c>
      <c r="F129" s="1698">
        <f t="shared" si="15"/>
        <v>495214</v>
      </c>
      <c r="G129" s="1698">
        <f t="shared" si="15"/>
        <v>0</v>
      </c>
      <c r="H129" s="1698">
        <f t="shared" si="15"/>
        <v>0</v>
      </c>
      <c r="I129" s="1698">
        <f t="shared" si="15"/>
        <v>0</v>
      </c>
      <c r="J129" s="1698">
        <f t="shared" si="15"/>
        <v>0</v>
      </c>
      <c r="K129" s="1698">
        <f t="shared" si="15"/>
        <v>1258576</v>
      </c>
      <c r="L129" s="1698">
        <f t="shared" si="15"/>
        <v>1519067</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1952</v>
      </c>
      <c r="C133" s="468"/>
      <c r="D133" s="468"/>
      <c r="E133" s="642"/>
      <c r="F133" s="468"/>
      <c r="G133" s="468"/>
      <c r="H133" s="642"/>
      <c r="I133" s="468"/>
      <c r="J133" s="468"/>
      <c r="K133" s="1843">
        <f>SUM(E133,H133)</f>
        <v>0</v>
      </c>
      <c r="L133" s="642">
        <v>0</v>
      </c>
      <c r="M133" s="206"/>
      <c r="N133" s="206"/>
    </row>
    <row r="134" spans="1:14" x14ac:dyDescent="0.2">
      <c r="A134" s="1526" t="s">
        <v>322</v>
      </c>
      <c r="B134" s="615">
        <v>4120</v>
      </c>
      <c r="C134" s="617"/>
      <c r="D134" s="617"/>
      <c r="E134" s="478"/>
      <c r="F134" s="617"/>
      <c r="G134" s="617"/>
      <c r="H134" s="481"/>
      <c r="I134" s="477"/>
      <c r="J134" s="617"/>
      <c r="K134" s="1693">
        <f>SUM(E134,H134)</f>
        <v>0</v>
      </c>
      <c r="L134" s="481">
        <v>0</v>
      </c>
    </row>
    <row r="135" spans="1:14" x14ac:dyDescent="0.2">
      <c r="A135" s="1526" t="s">
        <v>721</v>
      </c>
      <c r="B135" s="615">
        <v>4140</v>
      </c>
      <c r="C135" s="617"/>
      <c r="D135" s="617"/>
      <c r="E135" s="467"/>
      <c r="F135" s="617"/>
      <c r="G135" s="617"/>
      <c r="H135" s="466"/>
      <c r="I135" s="477"/>
      <c r="J135" s="617"/>
      <c r="K135" s="1693">
        <f>SUM(E135,H135)</f>
        <v>0</v>
      </c>
      <c r="L135" s="466">
        <v>0</v>
      </c>
    </row>
    <row r="136" spans="1:14" x14ac:dyDescent="0.2">
      <c r="A136" s="1530"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v>0</v>
      </c>
    </row>
    <row r="143" spans="1:14" x14ac:dyDescent="0.2">
      <c r="A143" s="1526" t="s">
        <v>90</v>
      </c>
      <c r="B143" s="615">
        <v>5120</v>
      </c>
      <c r="C143" s="617"/>
      <c r="D143" s="617"/>
      <c r="E143" s="617"/>
      <c r="F143" s="617"/>
      <c r="G143" s="617"/>
      <c r="H143" s="466"/>
      <c r="I143" s="468"/>
      <c r="J143" s="617"/>
      <c r="K143" s="1693">
        <f>SUM(H143)</f>
        <v>0</v>
      </c>
      <c r="L143" s="466">
        <v>0</v>
      </c>
    </row>
    <row r="144" spans="1:14" ht="12.75" customHeight="1" x14ac:dyDescent="0.2">
      <c r="A144" s="1526" t="s">
        <v>1232</v>
      </c>
      <c r="B144" s="629" t="s">
        <v>638</v>
      </c>
      <c r="C144" s="617"/>
      <c r="D144" s="617"/>
      <c r="E144" s="617"/>
      <c r="F144" s="617"/>
      <c r="G144" s="617"/>
      <c r="H144" s="466"/>
      <c r="I144" s="468"/>
      <c r="J144" s="617"/>
      <c r="K144" s="1693">
        <f>SUM(H144)</f>
        <v>0</v>
      </c>
      <c r="L144" s="466">
        <v>0</v>
      </c>
    </row>
    <row r="145" spans="1:14" x14ac:dyDescent="0.2">
      <c r="A145" s="1526" t="s">
        <v>91</v>
      </c>
      <c r="B145" s="615" t="s">
        <v>610</v>
      </c>
      <c r="C145" s="617"/>
      <c r="D145" s="617"/>
      <c r="E145" s="617"/>
      <c r="F145" s="617"/>
      <c r="G145" s="617"/>
      <c r="H145" s="466"/>
      <c r="I145" s="468"/>
      <c r="J145" s="617"/>
      <c r="K145" s="1693">
        <f>SUM(H145)</f>
        <v>0</v>
      </c>
      <c r="L145" s="466">
        <v>0</v>
      </c>
    </row>
    <row r="146" spans="1:14" ht="12.75" customHeight="1" x14ac:dyDescent="0.2">
      <c r="A146" s="1526" t="s">
        <v>640</v>
      </c>
      <c r="B146" s="615" t="s">
        <v>639</v>
      </c>
      <c r="C146" s="617"/>
      <c r="D146" s="617"/>
      <c r="E146" s="617"/>
      <c r="F146" s="617"/>
      <c r="G146" s="617"/>
      <c r="H146" s="466">
        <v>213</v>
      </c>
      <c r="I146" s="468"/>
      <c r="J146" s="617"/>
      <c r="K146" s="1693">
        <f>SUM(H146)</f>
        <v>213</v>
      </c>
      <c r="L146" s="466"/>
    </row>
    <row r="147" spans="1:14" ht="12.75" customHeight="1" thickBot="1" x14ac:dyDescent="0.25">
      <c r="A147" s="1537" t="s">
        <v>647</v>
      </c>
      <c r="B147" s="660" t="s">
        <v>742</v>
      </c>
      <c r="C147" s="617"/>
      <c r="D147" s="617"/>
      <c r="E147" s="617"/>
      <c r="F147" s="617"/>
      <c r="G147" s="617"/>
      <c r="H147" s="1709">
        <f>SUM(H142:H146)</f>
        <v>213</v>
      </c>
      <c r="I147" s="468"/>
      <c r="J147" s="617"/>
      <c r="K147" s="1691">
        <f>SUM(K142:K146)</f>
        <v>213</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9" t="s">
        <v>659</v>
      </c>
      <c r="B149" s="618" t="s">
        <v>513</v>
      </c>
      <c r="C149" s="617"/>
      <c r="D149" s="617"/>
      <c r="E149" s="617"/>
      <c r="F149" s="617"/>
      <c r="G149" s="617"/>
      <c r="H149" s="1691">
        <f>SUM(H147,H148)</f>
        <v>213</v>
      </c>
      <c r="I149" s="468"/>
      <c r="J149" s="617"/>
      <c r="K149" s="1691">
        <f>SUM(K147:K148)</f>
        <v>213</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7" t="s">
        <v>641</v>
      </c>
      <c r="B151" s="2189"/>
      <c r="C151" s="1691">
        <f>SUM(C129,C130,C139,C149,C150)</f>
        <v>188798</v>
      </c>
      <c r="D151" s="1691">
        <f t="shared" ref="D151:K151" si="16">SUM(D129,D130,D139,D149,D150)</f>
        <v>31507</v>
      </c>
      <c r="E151" s="1691">
        <f t="shared" si="16"/>
        <v>543057</v>
      </c>
      <c r="F151" s="1691">
        <f t="shared" si="16"/>
        <v>495214</v>
      </c>
      <c r="G151" s="1691">
        <f t="shared" si="16"/>
        <v>0</v>
      </c>
      <c r="H151" s="1691">
        <f t="shared" si="16"/>
        <v>213</v>
      </c>
      <c r="I151" s="1691">
        <f t="shared" si="16"/>
        <v>0</v>
      </c>
      <c r="J151" s="1691">
        <f t="shared" si="16"/>
        <v>0</v>
      </c>
      <c r="K151" s="1691">
        <f t="shared" si="16"/>
        <v>1258789</v>
      </c>
      <c r="L151" s="1691">
        <f>SUM(L129,L130,L139,L149,L150)</f>
        <v>1519067</v>
      </c>
    </row>
    <row r="152" spans="1:14" ht="12.75" customHeight="1" thickTop="1" x14ac:dyDescent="0.2">
      <c r="A152" s="2210" t="s">
        <v>1240</v>
      </c>
      <c r="B152" s="2211"/>
      <c r="C152" s="619"/>
      <c r="D152" s="619"/>
      <c r="E152" s="619"/>
      <c r="F152" s="619"/>
      <c r="G152" s="619"/>
      <c r="H152" s="619"/>
      <c r="I152" s="619"/>
      <c r="J152" s="617"/>
      <c r="K152" s="1705">
        <f>'Revenues 9-14'!D275-'Expenditures 15-22'!K151</f>
        <v>220832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5" t="s">
        <v>642</v>
      </c>
      <c r="B154" s="219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1953</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1952</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1954</v>
      </c>
      <c r="C158" s="617"/>
      <c r="D158" s="617"/>
      <c r="E158" s="617"/>
      <c r="F158" s="617"/>
      <c r="G158" s="617"/>
      <c r="H158" s="467"/>
      <c r="I158" s="617"/>
      <c r="J158" s="617"/>
      <c r="K158" s="1692">
        <f>H158</f>
        <v>0</v>
      </c>
      <c r="L158" s="467">
        <v>0</v>
      </c>
      <c r="M158" s="620"/>
      <c r="N158" s="620"/>
    </row>
    <row r="159" spans="1:14" s="621" customFormat="1" ht="12" x14ac:dyDescent="0.2">
      <c r="A159" s="1848" t="s">
        <v>1955</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1956</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v>0</v>
      </c>
    </row>
    <row r="164" spans="1:14" x14ac:dyDescent="0.2">
      <c r="A164" s="1526" t="s">
        <v>90</v>
      </c>
      <c r="B164" s="615">
        <v>5120</v>
      </c>
      <c r="C164" s="617"/>
      <c r="D164" s="617"/>
      <c r="E164" s="617"/>
      <c r="F164" s="617"/>
      <c r="G164" s="617"/>
      <c r="H164" s="466"/>
      <c r="I164" s="617"/>
      <c r="J164" s="617"/>
      <c r="K164" s="1692">
        <f>SUM(C164:J164)</f>
        <v>0</v>
      </c>
      <c r="L164" s="466">
        <v>0</v>
      </c>
    </row>
    <row r="165" spans="1:14" ht="12.75" customHeight="1" x14ac:dyDescent="0.2">
      <c r="A165" s="1526" t="s">
        <v>1232</v>
      </c>
      <c r="B165" s="615" t="s">
        <v>638</v>
      </c>
      <c r="C165" s="617"/>
      <c r="D165" s="617"/>
      <c r="E165" s="617"/>
      <c r="F165" s="617"/>
      <c r="G165" s="617"/>
      <c r="H165" s="466"/>
      <c r="I165" s="617"/>
      <c r="J165" s="617"/>
      <c r="K165" s="1692">
        <f>SUM(C165:J165)</f>
        <v>0</v>
      </c>
      <c r="L165" s="466">
        <v>0</v>
      </c>
    </row>
    <row r="166" spans="1:14" x14ac:dyDescent="0.2">
      <c r="A166" s="1526" t="s">
        <v>91</v>
      </c>
      <c r="B166" s="629" t="s">
        <v>610</v>
      </c>
      <c r="C166" s="617"/>
      <c r="D166" s="617"/>
      <c r="E166" s="617"/>
      <c r="F166" s="617"/>
      <c r="G166" s="617"/>
      <c r="H166" s="466"/>
      <c r="I166" s="617"/>
      <c r="J166" s="617"/>
      <c r="K166" s="1692">
        <f>SUM(C166:J166)</f>
        <v>0</v>
      </c>
      <c r="L166" s="466">
        <v>0</v>
      </c>
    </row>
    <row r="167" spans="1:14" ht="12.75" customHeight="1" x14ac:dyDescent="0.2">
      <c r="A167" s="1526"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180548</v>
      </c>
      <c r="I169" s="617"/>
      <c r="J169" s="617"/>
      <c r="K169" s="1692">
        <f>SUM(C169:H169)</f>
        <v>180548</v>
      </c>
      <c r="L169" s="657">
        <v>97735</v>
      </c>
    </row>
    <row r="170" spans="1:14" ht="33.75" customHeight="1" x14ac:dyDescent="0.2">
      <c r="A170" s="670" t="s">
        <v>1769</v>
      </c>
      <c r="B170" s="672" t="s">
        <v>31</v>
      </c>
      <c r="C170" s="617"/>
      <c r="D170" s="617"/>
      <c r="E170" s="617"/>
      <c r="F170" s="617"/>
      <c r="G170" s="617"/>
      <c r="H170" s="569">
        <v>1747187</v>
      </c>
      <c r="I170" s="617"/>
      <c r="J170" s="617"/>
      <c r="K170" s="1692">
        <f>SUM(C170:J170)</f>
        <v>1747187</v>
      </c>
      <c r="L170" s="569">
        <v>1830000</v>
      </c>
    </row>
    <row r="171" spans="1:14" ht="15.75" customHeight="1" x14ac:dyDescent="0.2">
      <c r="A171" s="622" t="s">
        <v>790</v>
      </c>
      <c r="B171" s="673" t="s">
        <v>86</v>
      </c>
      <c r="C171" s="617"/>
      <c r="D171" s="617"/>
      <c r="E171" s="466"/>
      <c r="F171" s="617"/>
      <c r="G171" s="617"/>
      <c r="H171" s="569">
        <v>187680</v>
      </c>
      <c r="I171" s="477"/>
      <c r="J171" s="617"/>
      <c r="K171" s="1692">
        <f>SUM(C171:J171)</f>
        <v>187680</v>
      </c>
      <c r="L171" s="569">
        <v>210825</v>
      </c>
    </row>
    <row r="172" spans="1:14" ht="12.75" customHeight="1" thickBot="1" x14ac:dyDescent="0.25">
      <c r="A172" s="1689" t="s">
        <v>659</v>
      </c>
      <c r="B172" s="1690" t="s">
        <v>513</v>
      </c>
      <c r="C172" s="617"/>
      <c r="D172" s="617"/>
      <c r="E172" s="1698">
        <f>SUM(E168,E169,E170,E171)</f>
        <v>0</v>
      </c>
      <c r="F172" s="617"/>
      <c r="G172" s="617"/>
      <c r="H172" s="1698">
        <f>SUM(H168,H169,H170,H171)</f>
        <v>2115415</v>
      </c>
      <c r="I172" s="639"/>
      <c r="J172" s="617"/>
      <c r="K172" s="1698">
        <f>SUM(K168,K169,K170,K171)</f>
        <v>2115415</v>
      </c>
      <c r="L172" s="1698">
        <f>SUM(L168,L169,L170,L171)</f>
        <v>2138560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2115415</v>
      </c>
      <c r="I174" s="639"/>
      <c r="J174" s="617"/>
      <c r="K174" s="1698">
        <f>SUM(K160,K172,K173)</f>
        <v>2115415</v>
      </c>
      <c r="L174" s="1698">
        <f>SUM(L160,L172,L173)</f>
        <v>2138560</v>
      </c>
    </row>
    <row r="175" spans="1:14" ht="13.5" thickTop="1" x14ac:dyDescent="0.2">
      <c r="A175" s="2217" t="s">
        <v>1053</v>
      </c>
      <c r="B175" s="2218"/>
      <c r="C175" s="617"/>
      <c r="D175" s="617"/>
      <c r="E175" s="617"/>
      <c r="F175" s="617"/>
      <c r="G175" s="617"/>
      <c r="H175" s="619"/>
      <c r="I175" s="617"/>
      <c r="J175" s="617"/>
      <c r="K175" s="1705">
        <f>'Revenues 9-14'!E275-'Expenditures 15-22'!K174</f>
        <v>-514379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705113</v>
      </c>
      <c r="F182" s="466">
        <v>11718</v>
      </c>
      <c r="G182" s="466">
        <v>20211</v>
      </c>
      <c r="H182" s="466"/>
      <c r="I182" s="467"/>
      <c r="J182" s="467"/>
      <c r="K182" s="1692">
        <f>SUM(C182:J182)</f>
        <v>737042</v>
      </c>
      <c r="L182" s="466">
        <v>749709</v>
      </c>
    </row>
    <row r="183" spans="1:14" ht="12.75" customHeight="1" thickBot="1" x14ac:dyDescent="0.25">
      <c r="A183" s="1531"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705113</v>
      </c>
      <c r="F184" s="1698">
        <f t="shared" si="17"/>
        <v>11718</v>
      </c>
      <c r="G184" s="1698">
        <f t="shared" si="17"/>
        <v>20211</v>
      </c>
      <c r="H184" s="1698">
        <f t="shared" si="17"/>
        <v>0</v>
      </c>
      <c r="I184" s="1698">
        <f t="shared" si="17"/>
        <v>0</v>
      </c>
      <c r="J184" s="1698">
        <f t="shared" si="17"/>
        <v>0</v>
      </c>
      <c r="K184" s="1698">
        <f>SUM(K180,K182,K183)</f>
        <v>737042</v>
      </c>
      <c r="L184" s="1698">
        <f>SUM(L180, L182:L183)</f>
        <v>749709</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v>0</v>
      </c>
    </row>
    <row r="189" spans="1:14" x14ac:dyDescent="0.2">
      <c r="A189" s="1526" t="s">
        <v>322</v>
      </c>
      <c r="B189" s="615">
        <v>4120</v>
      </c>
      <c r="C189" s="617"/>
      <c r="D189" s="617"/>
      <c r="E189" s="466"/>
      <c r="F189" s="617"/>
      <c r="G189" s="617"/>
      <c r="H189" s="466"/>
      <c r="I189" s="477"/>
      <c r="J189" s="617"/>
      <c r="K189" s="1692">
        <f t="shared" si="18"/>
        <v>0</v>
      </c>
      <c r="L189" s="466">
        <v>0</v>
      </c>
    </row>
    <row r="190" spans="1:14" x14ac:dyDescent="0.2">
      <c r="A190" s="1526" t="s">
        <v>323</v>
      </c>
      <c r="B190" s="629">
        <v>4130</v>
      </c>
      <c r="C190" s="617"/>
      <c r="D190" s="617"/>
      <c r="E190" s="466"/>
      <c r="F190" s="617"/>
      <c r="G190" s="617"/>
      <c r="H190" s="466"/>
      <c r="I190" s="477"/>
      <c r="J190" s="617"/>
      <c r="K190" s="1692">
        <f t="shared" si="18"/>
        <v>0</v>
      </c>
      <c r="L190" s="466">
        <v>0</v>
      </c>
    </row>
    <row r="191" spans="1:14" x14ac:dyDescent="0.2">
      <c r="A191" s="1526" t="s">
        <v>721</v>
      </c>
      <c r="B191" s="615">
        <v>4140</v>
      </c>
      <c r="C191" s="617"/>
      <c r="D191" s="617"/>
      <c r="E191" s="466"/>
      <c r="F191" s="617"/>
      <c r="G191" s="617"/>
      <c r="H191" s="466"/>
      <c r="I191" s="477"/>
      <c r="J191" s="617"/>
      <c r="K191" s="1692">
        <f t="shared" si="18"/>
        <v>0</v>
      </c>
      <c r="L191" s="466">
        <v>0</v>
      </c>
    </row>
    <row r="192" spans="1:14" x14ac:dyDescent="0.2">
      <c r="A192" s="1526" t="s">
        <v>88</v>
      </c>
      <c r="B192" s="615">
        <v>4170</v>
      </c>
      <c r="C192" s="617"/>
      <c r="D192" s="617"/>
      <c r="E192" s="466"/>
      <c r="F192" s="617"/>
      <c r="G192" s="617"/>
      <c r="H192" s="466"/>
      <c r="I192" s="477"/>
      <c r="J192" s="617"/>
      <c r="K192" s="1692">
        <f t="shared" si="18"/>
        <v>0</v>
      </c>
      <c r="L192" s="466">
        <v>0</v>
      </c>
    </row>
    <row r="193" spans="1:14" x14ac:dyDescent="0.2">
      <c r="A193" s="1530"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v>0</v>
      </c>
    </row>
    <row r="200" spans="1:14" x14ac:dyDescent="0.2">
      <c r="A200" s="1526" t="s">
        <v>90</v>
      </c>
      <c r="B200" s="615">
        <v>5120</v>
      </c>
      <c r="C200" s="617"/>
      <c r="D200" s="617"/>
      <c r="E200" s="617"/>
      <c r="F200" s="617"/>
      <c r="G200" s="617"/>
      <c r="H200" s="466"/>
      <c r="I200" s="617"/>
      <c r="J200" s="617"/>
      <c r="K200" s="1692">
        <f>SUM(H200)</f>
        <v>0</v>
      </c>
      <c r="L200" s="466">
        <v>0</v>
      </c>
    </row>
    <row r="201" spans="1:14" ht="12.75" customHeight="1" x14ac:dyDescent="0.2">
      <c r="A201" s="1526" t="s">
        <v>1232</v>
      </c>
      <c r="B201" s="629" t="s">
        <v>638</v>
      </c>
      <c r="C201" s="617"/>
      <c r="D201" s="617"/>
      <c r="E201" s="617"/>
      <c r="F201" s="617"/>
      <c r="G201" s="617"/>
      <c r="H201" s="466"/>
      <c r="I201" s="617"/>
      <c r="J201" s="617"/>
      <c r="K201" s="1692">
        <f>SUM(H201)</f>
        <v>0</v>
      </c>
      <c r="L201" s="466">
        <v>0</v>
      </c>
    </row>
    <row r="202" spans="1:14" x14ac:dyDescent="0.2">
      <c r="A202" s="1526" t="s">
        <v>91</v>
      </c>
      <c r="B202" s="615" t="s">
        <v>610</v>
      </c>
      <c r="C202" s="617"/>
      <c r="D202" s="617"/>
      <c r="E202" s="617"/>
      <c r="F202" s="617"/>
      <c r="G202" s="617"/>
      <c r="H202" s="466"/>
      <c r="I202" s="617"/>
      <c r="J202" s="617"/>
      <c r="K202" s="1692">
        <f>SUM(H202)</f>
        <v>0</v>
      </c>
      <c r="L202" s="466">
        <v>0</v>
      </c>
    </row>
    <row r="203" spans="1:14" x14ac:dyDescent="0.2">
      <c r="A203" s="1538"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0</v>
      </c>
      <c r="D210" s="1691">
        <f>SUM(D184,D185)</f>
        <v>0</v>
      </c>
      <c r="E210" s="1691">
        <f>SUM(E184,E185,E196)</f>
        <v>705113</v>
      </c>
      <c r="F210" s="1691">
        <f>SUM(F184,F185)</f>
        <v>11718</v>
      </c>
      <c r="G210" s="1691">
        <f>SUM(G184,G185)</f>
        <v>20211</v>
      </c>
      <c r="H210" s="1691">
        <f>SUM(H184,H185,H196,H208,H209)</f>
        <v>0</v>
      </c>
      <c r="I210" s="1691">
        <f>SUM(I184,I185)</f>
        <v>0</v>
      </c>
      <c r="J210" s="1691">
        <f>SUM(J184,J185)</f>
        <v>0</v>
      </c>
      <c r="K210" s="1692">
        <f>SUM(K184,K185,K196,K208,K209)</f>
        <v>737042</v>
      </c>
      <c r="L210" s="1691">
        <f>SUM(L184,L185,L196,L208,L209)</f>
        <v>749709</v>
      </c>
    </row>
    <row r="211" spans="1:14" ht="13.5" thickTop="1" x14ac:dyDescent="0.2">
      <c r="A211" s="2217" t="s">
        <v>1053</v>
      </c>
      <c r="B211" s="2218"/>
      <c r="C211" s="619"/>
      <c r="D211" s="619"/>
      <c r="E211" s="619"/>
      <c r="F211" s="619"/>
      <c r="G211" s="619"/>
      <c r="H211" s="619"/>
      <c r="I211" s="617"/>
      <c r="J211" s="617"/>
      <c r="K211" s="1705">
        <f>'Revenues 9-14'!F275-'Expenditures 15-22'!K210</f>
        <v>103479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2" t="s">
        <v>1022</v>
      </c>
      <c r="B213" s="221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72290</v>
      </c>
      <c r="E215" s="617"/>
      <c r="F215" s="617"/>
      <c r="G215" s="617"/>
      <c r="H215" s="617"/>
      <c r="I215" s="617"/>
      <c r="J215" s="617"/>
      <c r="K215" s="1692">
        <f>D215</f>
        <v>72290</v>
      </c>
      <c r="L215" s="466">
        <v>81315</v>
      </c>
    </row>
    <row r="216" spans="1:14" x14ac:dyDescent="0.2">
      <c r="A216" s="1526" t="s">
        <v>165</v>
      </c>
      <c r="B216" s="615" t="s">
        <v>1024</v>
      </c>
      <c r="C216" s="617"/>
      <c r="D216" s="467"/>
      <c r="E216" s="617"/>
      <c r="F216" s="617"/>
      <c r="G216" s="617"/>
      <c r="H216" s="617"/>
      <c r="I216" s="617"/>
      <c r="J216" s="617"/>
      <c r="K216" s="1692">
        <f t="shared" ref="K216:K228" si="19">D216</f>
        <v>0</v>
      </c>
      <c r="L216" s="466">
        <v>0</v>
      </c>
    </row>
    <row r="217" spans="1:14" x14ac:dyDescent="0.2">
      <c r="A217" s="1526" t="s">
        <v>166</v>
      </c>
      <c r="B217" s="615">
        <v>1200</v>
      </c>
      <c r="C217" s="617"/>
      <c r="D217" s="466">
        <v>27020</v>
      </c>
      <c r="E217" s="617"/>
      <c r="F217" s="617"/>
      <c r="G217" s="617"/>
      <c r="H217" s="617"/>
      <c r="I217" s="617"/>
      <c r="J217" s="617"/>
      <c r="K217" s="1692">
        <f t="shared" si="19"/>
        <v>27020</v>
      </c>
      <c r="L217" s="466">
        <v>33201</v>
      </c>
    </row>
    <row r="218" spans="1:14" x14ac:dyDescent="0.2">
      <c r="A218" s="1526" t="s">
        <v>296</v>
      </c>
      <c r="B218" s="615" t="s">
        <v>1025</v>
      </c>
      <c r="C218" s="617"/>
      <c r="D218" s="467"/>
      <c r="E218" s="617"/>
      <c r="F218" s="617"/>
      <c r="G218" s="617"/>
      <c r="H218" s="617"/>
      <c r="I218" s="617"/>
      <c r="J218" s="617"/>
      <c r="K218" s="1692">
        <f t="shared" si="19"/>
        <v>0</v>
      </c>
      <c r="L218" s="466">
        <v>0</v>
      </c>
    </row>
    <row r="219" spans="1:14" x14ac:dyDescent="0.2">
      <c r="A219" s="1526" t="s">
        <v>297</v>
      </c>
      <c r="B219" s="615">
        <v>1250</v>
      </c>
      <c r="C219" s="617"/>
      <c r="D219" s="466">
        <v>26611</v>
      </c>
      <c r="E219" s="617"/>
      <c r="F219" s="617"/>
      <c r="G219" s="617"/>
      <c r="H219" s="617"/>
      <c r="I219" s="617"/>
      <c r="J219" s="617"/>
      <c r="K219" s="1692">
        <f t="shared" si="19"/>
        <v>26611</v>
      </c>
      <c r="L219" s="466">
        <v>23576</v>
      </c>
    </row>
    <row r="220" spans="1:14" x14ac:dyDescent="0.2">
      <c r="A220" s="1526" t="s">
        <v>298</v>
      </c>
      <c r="B220" s="615" t="s">
        <v>163</v>
      </c>
      <c r="C220" s="617"/>
      <c r="D220" s="467"/>
      <c r="E220" s="617"/>
      <c r="F220" s="617"/>
      <c r="G220" s="617"/>
      <c r="H220" s="617"/>
      <c r="I220" s="617"/>
      <c r="J220" s="617"/>
      <c r="K220" s="1692">
        <f t="shared" si="19"/>
        <v>0</v>
      </c>
      <c r="L220" s="466">
        <v>0</v>
      </c>
    </row>
    <row r="221" spans="1:14" x14ac:dyDescent="0.2">
      <c r="A221" s="1526" t="s">
        <v>1019</v>
      </c>
      <c r="B221" s="615">
        <v>1300</v>
      </c>
      <c r="C221" s="617"/>
      <c r="D221" s="466">
        <v>65585</v>
      </c>
      <c r="E221" s="617"/>
      <c r="F221" s="617"/>
      <c r="G221" s="617"/>
      <c r="H221" s="617"/>
      <c r="I221" s="617"/>
      <c r="J221" s="617"/>
      <c r="K221" s="1692">
        <f t="shared" si="19"/>
        <v>65585</v>
      </c>
      <c r="L221" s="466">
        <v>47699</v>
      </c>
    </row>
    <row r="222" spans="1:14" x14ac:dyDescent="0.2">
      <c r="A222" s="1526" t="s">
        <v>747</v>
      </c>
      <c r="B222" s="615">
        <v>1400</v>
      </c>
      <c r="C222" s="617"/>
      <c r="D222" s="466">
        <v>6367</v>
      </c>
      <c r="E222" s="617"/>
      <c r="F222" s="617"/>
      <c r="G222" s="617"/>
      <c r="H222" s="617"/>
      <c r="I222" s="617"/>
      <c r="J222" s="617"/>
      <c r="K222" s="1692">
        <f t="shared" si="19"/>
        <v>6367</v>
      </c>
      <c r="L222" s="466">
        <v>7084</v>
      </c>
    </row>
    <row r="223" spans="1:14" x14ac:dyDescent="0.2">
      <c r="A223" s="1526" t="s">
        <v>1020</v>
      </c>
      <c r="B223" s="615">
        <v>1500</v>
      </c>
      <c r="C223" s="617"/>
      <c r="D223" s="466">
        <v>34900</v>
      </c>
      <c r="E223" s="617"/>
      <c r="F223" s="617"/>
      <c r="G223" s="617"/>
      <c r="H223" s="617"/>
      <c r="I223" s="617"/>
      <c r="J223" s="617"/>
      <c r="K223" s="1692">
        <f t="shared" si="19"/>
        <v>34900</v>
      </c>
      <c r="L223" s="466">
        <v>37201</v>
      </c>
    </row>
    <row r="224" spans="1:14" x14ac:dyDescent="0.2">
      <c r="A224" s="1526" t="s">
        <v>1021</v>
      </c>
      <c r="B224" s="615">
        <v>1600</v>
      </c>
      <c r="C224" s="617"/>
      <c r="D224" s="466">
        <v>2815</v>
      </c>
      <c r="E224" s="617"/>
      <c r="F224" s="617"/>
      <c r="G224" s="617"/>
      <c r="H224" s="617"/>
      <c r="I224" s="617"/>
      <c r="J224" s="617"/>
      <c r="K224" s="1692">
        <f t="shared" si="19"/>
        <v>2815</v>
      </c>
      <c r="L224" s="466">
        <v>3985</v>
      </c>
    </row>
    <row r="225" spans="1:12" x14ac:dyDescent="0.2">
      <c r="A225" s="1526" t="s">
        <v>1044</v>
      </c>
      <c r="B225" s="615">
        <v>1650</v>
      </c>
      <c r="C225" s="617"/>
      <c r="D225" s="466"/>
      <c r="E225" s="617"/>
      <c r="F225" s="617"/>
      <c r="G225" s="617"/>
      <c r="H225" s="617"/>
      <c r="I225" s="617"/>
      <c r="J225" s="617"/>
      <c r="K225" s="1692">
        <f t="shared" si="19"/>
        <v>0</v>
      </c>
      <c r="L225" s="466">
        <v>0</v>
      </c>
    </row>
    <row r="226" spans="1:12" x14ac:dyDescent="0.2">
      <c r="A226" s="1526" t="s">
        <v>748</v>
      </c>
      <c r="B226" s="615" t="s">
        <v>164</v>
      </c>
      <c r="C226" s="617"/>
      <c r="D226" s="467"/>
      <c r="E226" s="617"/>
      <c r="F226" s="617"/>
      <c r="G226" s="617"/>
      <c r="H226" s="617"/>
      <c r="I226" s="617"/>
      <c r="J226" s="617"/>
      <c r="K226" s="1692">
        <f t="shared" si="19"/>
        <v>0</v>
      </c>
      <c r="L226" s="466">
        <v>0</v>
      </c>
    </row>
    <row r="227" spans="1:12" x14ac:dyDescent="0.2">
      <c r="A227" s="1526" t="s">
        <v>1148</v>
      </c>
      <c r="B227" s="615">
        <v>1800</v>
      </c>
      <c r="C227" s="617"/>
      <c r="D227" s="466"/>
      <c r="E227" s="617"/>
      <c r="F227" s="617"/>
      <c r="G227" s="617"/>
      <c r="H227" s="617"/>
      <c r="I227" s="617"/>
      <c r="J227" s="617"/>
      <c r="K227" s="1692">
        <f t="shared" si="19"/>
        <v>0</v>
      </c>
      <c r="L227" s="466">
        <v>0</v>
      </c>
    </row>
    <row r="228" spans="1:12" x14ac:dyDescent="0.2">
      <c r="A228" s="1526" t="s">
        <v>1149</v>
      </c>
      <c r="B228" s="615">
        <v>1900</v>
      </c>
      <c r="C228" s="617"/>
      <c r="D228" s="466">
        <v>10194</v>
      </c>
      <c r="E228" s="617"/>
      <c r="F228" s="617"/>
      <c r="G228" s="617"/>
      <c r="H228" s="617"/>
      <c r="I228" s="617"/>
      <c r="J228" s="617"/>
      <c r="K228" s="1692">
        <f t="shared" si="19"/>
        <v>10194</v>
      </c>
      <c r="L228" s="466">
        <v>10699</v>
      </c>
    </row>
    <row r="229" spans="1:12" ht="12.75" customHeight="1" thickBot="1" x14ac:dyDescent="0.25">
      <c r="A229" s="1689" t="s">
        <v>739</v>
      </c>
      <c r="B229" s="1696" t="s">
        <v>591</v>
      </c>
      <c r="C229" s="617"/>
      <c r="D229" s="1691">
        <f>SUM(D215:D228)</f>
        <v>245782</v>
      </c>
      <c r="E229" s="617"/>
      <c r="F229" s="617"/>
      <c r="G229" s="617"/>
      <c r="H229" s="617"/>
      <c r="I229" s="617"/>
      <c r="J229" s="617"/>
      <c r="K229" s="1691">
        <f>SUM(K215:K228)</f>
        <v>245782</v>
      </c>
      <c r="L229" s="1691">
        <f>SUM(L215:L228)</f>
        <v>244760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25614</v>
      </c>
      <c r="E232" s="617"/>
      <c r="F232" s="617"/>
      <c r="G232" s="617"/>
      <c r="H232" s="617"/>
      <c r="I232" s="617"/>
      <c r="J232" s="617"/>
      <c r="K232" s="1692">
        <f t="shared" ref="K232:K237" si="20">D232</f>
        <v>25614</v>
      </c>
      <c r="L232" s="466">
        <v>24948</v>
      </c>
    </row>
    <row r="233" spans="1:12" x14ac:dyDescent="0.2">
      <c r="A233" s="1526" t="s">
        <v>1151</v>
      </c>
      <c r="B233" s="615">
        <v>2120</v>
      </c>
      <c r="C233" s="617"/>
      <c r="D233" s="466">
        <v>17348</v>
      </c>
      <c r="E233" s="617"/>
      <c r="F233" s="617"/>
      <c r="G233" s="617"/>
      <c r="H233" s="617"/>
      <c r="I233" s="617"/>
      <c r="J233" s="617"/>
      <c r="K233" s="1692">
        <f t="shared" si="20"/>
        <v>17348</v>
      </c>
      <c r="L233" s="466">
        <v>14444</v>
      </c>
    </row>
    <row r="234" spans="1:12" x14ac:dyDescent="0.2">
      <c r="A234" s="1526" t="s">
        <v>207</v>
      </c>
      <c r="B234" s="615">
        <v>2130</v>
      </c>
      <c r="C234" s="617"/>
      <c r="D234" s="466"/>
      <c r="E234" s="617"/>
      <c r="F234" s="617"/>
      <c r="G234" s="617"/>
      <c r="H234" s="617"/>
      <c r="I234" s="617"/>
      <c r="J234" s="617"/>
      <c r="K234" s="1692">
        <f t="shared" si="20"/>
        <v>0</v>
      </c>
      <c r="L234" s="466">
        <v>0</v>
      </c>
    </row>
    <row r="235" spans="1:12" x14ac:dyDescent="0.2">
      <c r="A235" s="1526" t="s">
        <v>208</v>
      </c>
      <c r="B235" s="615">
        <v>2140</v>
      </c>
      <c r="C235" s="617"/>
      <c r="D235" s="466"/>
      <c r="E235" s="617"/>
      <c r="F235" s="617"/>
      <c r="G235" s="617"/>
      <c r="H235" s="617"/>
      <c r="I235" s="617"/>
      <c r="J235" s="617"/>
      <c r="K235" s="1692">
        <f t="shared" si="20"/>
        <v>0</v>
      </c>
      <c r="L235" s="466">
        <v>0</v>
      </c>
    </row>
    <row r="236" spans="1:12" x14ac:dyDescent="0.2">
      <c r="A236" s="1526" t="s">
        <v>209</v>
      </c>
      <c r="B236" s="615">
        <v>2150</v>
      </c>
      <c r="C236" s="617"/>
      <c r="D236" s="466"/>
      <c r="E236" s="617"/>
      <c r="F236" s="617"/>
      <c r="G236" s="617"/>
      <c r="H236" s="617"/>
      <c r="I236" s="617"/>
      <c r="J236" s="617"/>
      <c r="K236" s="1692">
        <f t="shared" si="20"/>
        <v>0</v>
      </c>
      <c r="L236" s="466">
        <v>0</v>
      </c>
    </row>
    <row r="237" spans="1:12" x14ac:dyDescent="0.2">
      <c r="A237" s="1526" t="s">
        <v>167</v>
      </c>
      <c r="B237" s="615">
        <v>2190</v>
      </c>
      <c r="C237" s="617"/>
      <c r="D237" s="466">
        <v>8161</v>
      </c>
      <c r="E237" s="617"/>
      <c r="F237" s="617"/>
      <c r="G237" s="617"/>
      <c r="H237" s="617"/>
      <c r="I237" s="617"/>
      <c r="J237" s="617"/>
      <c r="K237" s="1692">
        <f t="shared" si="20"/>
        <v>8161</v>
      </c>
      <c r="L237" s="466">
        <v>8240</v>
      </c>
    </row>
    <row r="238" spans="1:12" ht="12.75" customHeight="1" thickBot="1" x14ac:dyDescent="0.25">
      <c r="A238" s="1689" t="s">
        <v>581</v>
      </c>
      <c r="B238" s="1696" t="s">
        <v>740</v>
      </c>
      <c r="C238" s="617"/>
      <c r="D238" s="1691">
        <f>SUM(D232:D237)</f>
        <v>51123</v>
      </c>
      <c r="E238" s="617"/>
      <c r="F238" s="617"/>
      <c r="G238" s="617"/>
      <c r="H238" s="617"/>
      <c r="I238" s="617"/>
      <c r="J238" s="617"/>
      <c r="K238" s="1691">
        <f>SUM(K232:K237)</f>
        <v>51123</v>
      </c>
      <c r="L238" s="1691">
        <f>SUM(L232:L237)</f>
        <v>47632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v>0</v>
      </c>
    </row>
    <row r="241" spans="1:12" x14ac:dyDescent="0.2">
      <c r="A241" s="1526" t="s">
        <v>869</v>
      </c>
      <c r="B241" s="615">
        <v>2220</v>
      </c>
      <c r="C241" s="617"/>
      <c r="D241" s="466">
        <v>2905</v>
      </c>
      <c r="E241" s="617"/>
      <c r="F241" s="617"/>
      <c r="G241" s="617"/>
      <c r="H241" s="617"/>
      <c r="I241" s="617"/>
      <c r="J241" s="617"/>
      <c r="K241" s="1693">
        <f>D241</f>
        <v>2905</v>
      </c>
      <c r="L241" s="466">
        <v>2915</v>
      </c>
    </row>
    <row r="242" spans="1:12" x14ac:dyDescent="0.2">
      <c r="A242" s="1526"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2905</v>
      </c>
      <c r="E243" s="617"/>
      <c r="F243" s="617"/>
      <c r="G243" s="617"/>
      <c r="H243" s="617"/>
      <c r="I243" s="617"/>
      <c r="J243" s="617"/>
      <c r="K243" s="1691">
        <f>SUM(K240:K242)</f>
        <v>2905</v>
      </c>
      <c r="L243" s="1691">
        <f>SUM(L240:L242)</f>
        <v>2915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v>0</v>
      </c>
    </row>
    <row r="246" spans="1:12" x14ac:dyDescent="0.2">
      <c r="A246" s="1526" t="s">
        <v>872</v>
      </c>
      <c r="B246" s="615">
        <v>2320</v>
      </c>
      <c r="C246" s="617"/>
      <c r="D246" s="466">
        <v>19635</v>
      </c>
      <c r="E246" s="617"/>
      <c r="F246" s="617"/>
      <c r="G246" s="617"/>
      <c r="H246" s="617"/>
      <c r="I246" s="617"/>
      <c r="J246" s="617"/>
      <c r="K246" s="1693">
        <f t="shared" ref="K246:K256" si="21">D246</f>
        <v>19635</v>
      </c>
      <c r="L246" s="466">
        <v>20868</v>
      </c>
    </row>
    <row r="247" spans="1:12" x14ac:dyDescent="0.2">
      <c r="A247" s="1526" t="s">
        <v>873</v>
      </c>
      <c r="B247" s="615">
        <v>2330</v>
      </c>
      <c r="C247" s="617"/>
      <c r="D247" s="466"/>
      <c r="E247" s="617"/>
      <c r="F247" s="617"/>
      <c r="G247" s="617"/>
      <c r="H247" s="617"/>
      <c r="I247" s="617"/>
      <c r="J247" s="617"/>
      <c r="K247" s="1693">
        <f t="shared" si="21"/>
        <v>0</v>
      </c>
      <c r="L247" s="466">
        <v>0</v>
      </c>
    </row>
    <row r="248" spans="1:12" x14ac:dyDescent="0.2">
      <c r="A248" s="1527" t="s">
        <v>317</v>
      </c>
      <c r="B248" s="603" t="s">
        <v>299</v>
      </c>
      <c r="C248" s="617"/>
      <c r="D248" s="474"/>
      <c r="E248" s="617"/>
      <c r="F248" s="617"/>
      <c r="G248" s="617"/>
      <c r="H248" s="617"/>
      <c r="I248" s="617"/>
      <c r="J248" s="617"/>
      <c r="K248" s="1693">
        <f t="shared" si="21"/>
        <v>0</v>
      </c>
      <c r="L248" s="466">
        <v>0</v>
      </c>
    </row>
    <row r="249" spans="1:12" x14ac:dyDescent="0.2">
      <c r="A249" s="1528" t="s">
        <v>1904</v>
      </c>
      <c r="B249" s="684" t="s">
        <v>300</v>
      </c>
      <c r="C249" s="617"/>
      <c r="D249" s="474"/>
      <c r="E249" s="617"/>
      <c r="F249" s="617"/>
      <c r="G249" s="617"/>
      <c r="H249" s="617"/>
      <c r="I249" s="617"/>
      <c r="J249" s="617"/>
      <c r="K249" s="1693">
        <f t="shared" si="21"/>
        <v>0</v>
      </c>
      <c r="L249" s="466">
        <v>0</v>
      </c>
    </row>
    <row r="250" spans="1:12" x14ac:dyDescent="0.2">
      <c r="A250" s="1527" t="s">
        <v>1905</v>
      </c>
      <c r="B250" s="603" t="s">
        <v>301</v>
      </c>
      <c r="C250" s="617"/>
      <c r="D250" s="474"/>
      <c r="E250" s="617"/>
      <c r="F250" s="617"/>
      <c r="G250" s="617"/>
      <c r="H250" s="617"/>
      <c r="I250" s="617"/>
      <c r="J250" s="617"/>
      <c r="K250" s="1693">
        <f t="shared" si="21"/>
        <v>0</v>
      </c>
      <c r="L250" s="466">
        <v>0</v>
      </c>
    </row>
    <row r="251" spans="1:12" x14ac:dyDescent="0.2">
      <c r="A251" s="1527" t="s">
        <v>256</v>
      </c>
      <c r="B251" s="603" t="s">
        <v>302</v>
      </c>
      <c r="C251" s="617"/>
      <c r="D251" s="474"/>
      <c r="E251" s="617"/>
      <c r="F251" s="617"/>
      <c r="G251" s="617"/>
      <c r="H251" s="617"/>
      <c r="I251" s="617"/>
      <c r="J251" s="617"/>
      <c r="K251" s="1693">
        <f t="shared" si="21"/>
        <v>0</v>
      </c>
      <c r="L251" s="466">
        <v>0</v>
      </c>
    </row>
    <row r="252" spans="1:12" x14ac:dyDescent="0.2">
      <c r="A252" s="1527" t="s">
        <v>726</v>
      </c>
      <c r="B252" s="603" t="s">
        <v>303</v>
      </c>
      <c r="C252" s="617"/>
      <c r="D252" s="474"/>
      <c r="E252" s="617"/>
      <c r="F252" s="617"/>
      <c r="G252" s="617"/>
      <c r="H252" s="617"/>
      <c r="I252" s="617"/>
      <c r="J252" s="617"/>
      <c r="K252" s="1693">
        <f t="shared" si="21"/>
        <v>0</v>
      </c>
      <c r="L252" s="466">
        <v>0</v>
      </c>
    </row>
    <row r="253" spans="1:12" x14ac:dyDescent="0.2">
      <c r="A253" s="1527" t="s">
        <v>257</v>
      </c>
      <c r="B253" s="603" t="s">
        <v>304</v>
      </c>
      <c r="C253" s="617"/>
      <c r="D253" s="474"/>
      <c r="E253" s="617"/>
      <c r="F253" s="617"/>
      <c r="G253" s="617"/>
      <c r="H253" s="617"/>
      <c r="I253" s="617"/>
      <c r="J253" s="617"/>
      <c r="K253" s="1693">
        <f t="shared" si="21"/>
        <v>0</v>
      </c>
      <c r="L253" s="466">
        <v>0</v>
      </c>
    </row>
    <row r="254" spans="1:12" ht="22.5" x14ac:dyDescent="0.2">
      <c r="A254" s="1527" t="s">
        <v>1087</v>
      </c>
      <c r="B254" s="684" t="s">
        <v>305</v>
      </c>
      <c r="C254" s="617"/>
      <c r="D254" s="474"/>
      <c r="E254" s="617"/>
      <c r="F254" s="617"/>
      <c r="G254" s="617"/>
      <c r="H254" s="617"/>
      <c r="I254" s="617"/>
      <c r="J254" s="617"/>
      <c r="K254" s="1693">
        <f t="shared" si="21"/>
        <v>0</v>
      </c>
      <c r="L254" s="466">
        <v>0</v>
      </c>
    </row>
    <row r="255" spans="1:12" x14ac:dyDescent="0.2">
      <c r="A255" s="1527" t="s">
        <v>1088</v>
      </c>
      <c r="B255" s="603" t="s">
        <v>306</v>
      </c>
      <c r="C255" s="617"/>
      <c r="D255" s="474"/>
      <c r="E255" s="617"/>
      <c r="F255" s="617"/>
      <c r="G255" s="617"/>
      <c r="H255" s="617"/>
      <c r="I255" s="617"/>
      <c r="J255" s="617"/>
      <c r="K255" s="1693">
        <f t="shared" si="21"/>
        <v>0</v>
      </c>
      <c r="L255" s="466">
        <v>0</v>
      </c>
    </row>
    <row r="256" spans="1:12" x14ac:dyDescent="0.2">
      <c r="A256" s="1527"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19635</v>
      </c>
      <c r="E257" s="617"/>
      <c r="F257" s="617"/>
      <c r="G257" s="617"/>
      <c r="H257" s="617"/>
      <c r="I257" s="617"/>
      <c r="J257" s="617"/>
      <c r="K257" s="1691">
        <f>SUM(K245:K256)</f>
        <v>19635</v>
      </c>
      <c r="L257" s="1691">
        <f>SUM(L245:L256)</f>
        <v>20868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19265</v>
      </c>
      <c r="E259" s="617"/>
      <c r="F259" s="617"/>
      <c r="G259" s="617"/>
      <c r="H259" s="617"/>
      <c r="I259" s="617"/>
      <c r="J259" s="617"/>
      <c r="K259" s="1693">
        <f>D259</f>
        <v>19265</v>
      </c>
      <c r="L259" s="481">
        <v>19785</v>
      </c>
    </row>
    <row r="260" spans="1:14" s="598" customFormat="1" x14ac:dyDescent="0.2">
      <c r="A260" s="1544" t="s">
        <v>1903</v>
      </c>
      <c r="B260" s="629">
        <v>2490</v>
      </c>
      <c r="C260" s="617"/>
      <c r="D260" s="466">
        <v>14366</v>
      </c>
      <c r="E260" s="617"/>
      <c r="F260" s="617"/>
      <c r="G260" s="617"/>
      <c r="H260" s="617"/>
      <c r="I260" s="617"/>
      <c r="J260" s="617"/>
      <c r="K260" s="1693">
        <f>D260</f>
        <v>14366</v>
      </c>
      <c r="L260" s="466">
        <v>16750</v>
      </c>
      <c r="M260" s="210"/>
      <c r="N260" s="210"/>
    </row>
    <row r="261" spans="1:14" ht="12.75" customHeight="1" thickBot="1" x14ac:dyDescent="0.25">
      <c r="A261" s="1713" t="s">
        <v>281</v>
      </c>
      <c r="B261" s="1718" t="s">
        <v>34</v>
      </c>
      <c r="C261" s="617"/>
      <c r="D261" s="1691">
        <f>SUM(D259:D260)</f>
        <v>33631</v>
      </c>
      <c r="E261" s="617"/>
      <c r="F261" s="617"/>
      <c r="G261" s="617"/>
      <c r="H261" s="617"/>
      <c r="I261" s="617"/>
      <c r="J261" s="617"/>
      <c r="K261" s="1691">
        <f>SUM(K259:K260)</f>
        <v>33631</v>
      </c>
      <c r="L261" s="1691">
        <f>SUM(L259:L260)</f>
        <v>36535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11432</v>
      </c>
      <c r="E263" s="617"/>
      <c r="F263" s="617"/>
      <c r="G263" s="617"/>
      <c r="H263" s="617"/>
      <c r="I263" s="617"/>
      <c r="J263" s="617"/>
      <c r="K263" s="1693">
        <f>D263</f>
        <v>11432</v>
      </c>
      <c r="L263" s="481">
        <v>27747</v>
      </c>
    </row>
    <row r="264" spans="1:14" x14ac:dyDescent="0.2">
      <c r="A264" s="1526" t="s">
        <v>483</v>
      </c>
      <c r="B264" s="686">
        <v>2520</v>
      </c>
      <c r="C264" s="617"/>
      <c r="D264" s="466">
        <v>15590</v>
      </c>
      <c r="E264" s="617"/>
      <c r="F264" s="617"/>
      <c r="G264" s="617"/>
      <c r="H264" s="617"/>
      <c r="I264" s="617"/>
      <c r="J264" s="617"/>
      <c r="K264" s="1693">
        <f t="shared" ref="K264:K269" si="22">D264</f>
        <v>15590</v>
      </c>
      <c r="L264" s="466">
        <v>0</v>
      </c>
    </row>
    <row r="265" spans="1:14" x14ac:dyDescent="0.2">
      <c r="A265" s="1526" t="s">
        <v>4</v>
      </c>
      <c r="B265" s="615">
        <v>2530</v>
      </c>
      <c r="C265" s="617"/>
      <c r="D265" s="466"/>
      <c r="E265" s="617"/>
      <c r="F265" s="617"/>
      <c r="G265" s="617"/>
      <c r="H265" s="617"/>
      <c r="I265" s="617"/>
      <c r="J265" s="617"/>
      <c r="K265" s="1693">
        <f t="shared" si="22"/>
        <v>0</v>
      </c>
      <c r="L265" s="466">
        <v>0</v>
      </c>
    </row>
    <row r="266" spans="1:14" x14ac:dyDescent="0.2">
      <c r="A266" s="1526" t="s">
        <v>206</v>
      </c>
      <c r="B266" s="615">
        <v>2540</v>
      </c>
      <c r="C266" s="617"/>
      <c r="D266" s="466">
        <v>39348</v>
      </c>
      <c r="E266" s="617"/>
      <c r="F266" s="617"/>
      <c r="G266" s="617"/>
      <c r="H266" s="617"/>
      <c r="I266" s="617"/>
      <c r="J266" s="617"/>
      <c r="K266" s="1693">
        <f t="shared" si="22"/>
        <v>39348</v>
      </c>
      <c r="L266" s="466">
        <v>38252</v>
      </c>
    </row>
    <row r="267" spans="1:14" x14ac:dyDescent="0.2">
      <c r="A267" s="1526" t="s">
        <v>1010</v>
      </c>
      <c r="B267" s="615">
        <v>2550</v>
      </c>
      <c r="C267" s="617"/>
      <c r="D267" s="466"/>
      <c r="E267" s="617"/>
      <c r="F267" s="617"/>
      <c r="G267" s="617"/>
      <c r="H267" s="617"/>
      <c r="I267" s="617"/>
      <c r="J267" s="617"/>
      <c r="K267" s="1693">
        <f t="shared" si="22"/>
        <v>0</v>
      </c>
      <c r="L267" s="466">
        <v>0</v>
      </c>
    </row>
    <row r="268" spans="1:14" x14ac:dyDescent="0.2">
      <c r="A268" s="1526" t="s">
        <v>102</v>
      </c>
      <c r="B268" s="615">
        <v>2560</v>
      </c>
      <c r="C268" s="617"/>
      <c r="D268" s="466">
        <v>36010</v>
      </c>
      <c r="E268" s="617"/>
      <c r="F268" s="617"/>
      <c r="G268" s="617"/>
      <c r="H268" s="617"/>
      <c r="I268" s="617"/>
      <c r="J268" s="617"/>
      <c r="K268" s="1693">
        <f t="shared" si="22"/>
        <v>36010</v>
      </c>
      <c r="L268" s="466">
        <v>38509</v>
      </c>
    </row>
    <row r="269" spans="1:14" x14ac:dyDescent="0.2">
      <c r="A269" s="1526"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102380</v>
      </c>
      <c r="E270" s="617"/>
      <c r="F270" s="617"/>
      <c r="G270" s="617"/>
      <c r="H270" s="617"/>
      <c r="I270" s="617"/>
      <c r="J270" s="617"/>
      <c r="K270" s="1691">
        <f>SUM(K263:K269)</f>
        <v>102380</v>
      </c>
      <c r="L270" s="1691">
        <f>SUM(L263:L269)</f>
        <v>104508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v>0</v>
      </c>
    </row>
    <row r="273" spans="1:12" x14ac:dyDescent="0.2">
      <c r="A273" s="1526" t="s">
        <v>628</v>
      </c>
      <c r="B273" s="629">
        <v>2620</v>
      </c>
      <c r="C273" s="617"/>
      <c r="D273" s="466"/>
      <c r="E273" s="617"/>
      <c r="F273" s="617"/>
      <c r="G273" s="617"/>
      <c r="H273" s="617"/>
      <c r="I273" s="617"/>
      <c r="J273" s="617"/>
      <c r="K273" s="1693">
        <f>D273</f>
        <v>0</v>
      </c>
      <c r="L273" s="466">
        <v>0</v>
      </c>
    </row>
    <row r="274" spans="1:12" ht="12" customHeight="1" x14ac:dyDescent="0.2">
      <c r="A274" s="1526" t="s">
        <v>1121</v>
      </c>
      <c r="B274" s="615">
        <v>2630</v>
      </c>
      <c r="C274" s="617"/>
      <c r="D274" s="466"/>
      <c r="E274" s="617"/>
      <c r="F274" s="617"/>
      <c r="G274" s="617"/>
      <c r="H274" s="617"/>
      <c r="I274" s="617"/>
      <c r="J274" s="617"/>
      <c r="K274" s="1693">
        <f>D274</f>
        <v>0</v>
      </c>
      <c r="L274" s="466">
        <v>0</v>
      </c>
    </row>
    <row r="275" spans="1:12" x14ac:dyDescent="0.2">
      <c r="A275" s="1526" t="s">
        <v>423</v>
      </c>
      <c r="B275" s="615">
        <v>2640</v>
      </c>
      <c r="C275" s="617"/>
      <c r="D275" s="466"/>
      <c r="E275" s="617"/>
      <c r="F275" s="617"/>
      <c r="G275" s="617"/>
      <c r="H275" s="617"/>
      <c r="I275" s="617"/>
      <c r="J275" s="617"/>
      <c r="K275" s="1693">
        <f>D275</f>
        <v>0</v>
      </c>
      <c r="L275" s="466">
        <v>0</v>
      </c>
    </row>
    <row r="276" spans="1:12" x14ac:dyDescent="0.2">
      <c r="A276" s="1526"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v>16207</v>
      </c>
      <c r="E278" s="617"/>
      <c r="F278" s="617"/>
      <c r="G278" s="617"/>
      <c r="H278" s="617"/>
      <c r="I278" s="617"/>
      <c r="J278" s="617"/>
      <c r="K278" s="1706">
        <f>D278</f>
        <v>16207</v>
      </c>
      <c r="L278" s="657">
        <v>18874</v>
      </c>
    </row>
    <row r="279" spans="1:12" ht="12.75" customHeight="1" thickBot="1" x14ac:dyDescent="0.25">
      <c r="A279" s="1719" t="s">
        <v>865</v>
      </c>
      <c r="B279" s="1702">
        <v>2000</v>
      </c>
      <c r="C279" s="617"/>
      <c r="D279" s="1698">
        <f>SUM(D238,D243,D257,D261,D270,D277,D278)</f>
        <v>225881</v>
      </c>
      <c r="E279" s="617"/>
      <c r="F279" s="617"/>
      <c r="G279" s="617"/>
      <c r="H279" s="617"/>
      <c r="I279" s="617"/>
      <c r="J279" s="617"/>
      <c r="K279" s="1698">
        <f>SUM(K238,K243,K257,K261,K270,K277,K278)</f>
        <v>225881</v>
      </c>
      <c r="L279" s="1698">
        <f>SUM(L238,L243,L257,L261,L270,L277,L278)</f>
        <v>231332</v>
      </c>
    </row>
    <row r="280" spans="1:12" ht="15.75" customHeight="1" thickTop="1" thickBot="1" x14ac:dyDescent="0.25">
      <c r="A280" s="1646" t="s">
        <v>930</v>
      </c>
      <c r="B280" s="1635">
        <v>3000</v>
      </c>
      <c r="C280" s="617"/>
      <c r="D280" s="576"/>
      <c r="E280" s="617"/>
      <c r="F280" s="617"/>
      <c r="G280" s="617"/>
      <c r="H280" s="617"/>
      <c r="I280" s="617"/>
      <c r="J280" s="617"/>
      <c r="K280" s="1700">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1952</v>
      </c>
      <c r="C282" s="617"/>
      <c r="D282" s="467"/>
      <c r="E282" s="617"/>
      <c r="F282" s="617"/>
      <c r="G282" s="617"/>
      <c r="H282" s="617"/>
      <c r="I282" s="617"/>
      <c r="J282" s="617"/>
      <c r="K282" s="1692">
        <f>D282</f>
        <v>0</v>
      </c>
      <c r="L282" s="467">
        <v>0</v>
      </c>
    </row>
    <row r="283" spans="1:12" x14ac:dyDescent="0.2">
      <c r="A283" s="1526" t="s">
        <v>322</v>
      </c>
      <c r="B283" s="615">
        <v>4120</v>
      </c>
      <c r="C283" s="617"/>
      <c r="D283" s="466"/>
      <c r="E283" s="617"/>
      <c r="F283" s="617"/>
      <c r="G283" s="617"/>
      <c r="H283" s="617"/>
      <c r="I283" s="617"/>
      <c r="J283" s="617"/>
      <c r="K283" s="1692">
        <f>D283</f>
        <v>0</v>
      </c>
      <c r="L283" s="466">
        <v>0</v>
      </c>
    </row>
    <row r="284" spans="1:12" x14ac:dyDescent="0.2">
      <c r="A284" s="1526"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v>0</v>
      </c>
    </row>
    <row r="289" spans="1:14" x14ac:dyDescent="0.2">
      <c r="A289" s="1526" t="s">
        <v>90</v>
      </c>
      <c r="B289" s="615">
        <v>5120</v>
      </c>
      <c r="C289" s="617"/>
      <c r="D289" s="617"/>
      <c r="E289" s="617"/>
      <c r="F289" s="617"/>
      <c r="G289" s="617"/>
      <c r="H289" s="466"/>
      <c r="I289" s="617"/>
      <c r="J289" s="617"/>
      <c r="K289" s="1692">
        <f>H289</f>
        <v>0</v>
      </c>
      <c r="L289" s="466">
        <v>0</v>
      </c>
    </row>
    <row r="290" spans="1:14" ht="12.75" customHeight="1" x14ac:dyDescent="0.2">
      <c r="A290" s="1526" t="s">
        <v>1232</v>
      </c>
      <c r="B290" s="629" t="s">
        <v>638</v>
      </c>
      <c r="C290" s="617"/>
      <c r="D290" s="617"/>
      <c r="E290" s="617"/>
      <c r="F290" s="617"/>
      <c r="G290" s="617"/>
      <c r="H290" s="466"/>
      <c r="I290" s="617"/>
      <c r="J290" s="617"/>
      <c r="K290" s="1692">
        <f>H290</f>
        <v>0</v>
      </c>
      <c r="L290" s="466">
        <v>0</v>
      </c>
    </row>
    <row r="291" spans="1:14" x14ac:dyDescent="0.2">
      <c r="A291" s="1526" t="s">
        <v>91</v>
      </c>
      <c r="B291" s="615" t="s">
        <v>610</v>
      </c>
      <c r="C291" s="617"/>
      <c r="D291" s="617"/>
      <c r="E291" s="617"/>
      <c r="F291" s="617"/>
      <c r="G291" s="617"/>
      <c r="H291" s="466"/>
      <c r="I291" s="617"/>
      <c r="J291" s="617"/>
      <c r="K291" s="1692">
        <f>H291</f>
        <v>0</v>
      </c>
      <c r="L291" s="466">
        <v>0</v>
      </c>
    </row>
    <row r="292" spans="1:14" x14ac:dyDescent="0.2">
      <c r="A292" s="1526"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8" t="s">
        <v>526</v>
      </c>
      <c r="B295" s="2209"/>
      <c r="C295" s="617"/>
      <c r="D295" s="1691">
        <f>SUM(D229,D279,D280,D285)</f>
        <v>471663</v>
      </c>
      <c r="E295" s="617"/>
      <c r="F295" s="617"/>
      <c r="G295" s="617"/>
      <c r="H295" s="1691">
        <f>H293</f>
        <v>0</v>
      </c>
      <c r="I295" s="617"/>
      <c r="J295" s="617"/>
      <c r="K295" s="1691">
        <f>SUM(K229,K279,K280,K285,K293,K294)</f>
        <v>471663</v>
      </c>
      <c r="L295" s="1691">
        <f>SUM(L229,L279,L280,L285,L293,L294)</f>
        <v>476092</v>
      </c>
    </row>
    <row r="296" spans="1:14" ht="13.5" thickTop="1" x14ac:dyDescent="0.2">
      <c r="A296" s="2217" t="s">
        <v>1053</v>
      </c>
      <c r="B296" s="2218"/>
      <c r="C296" s="617"/>
      <c r="D296" s="619"/>
      <c r="E296" s="617"/>
      <c r="F296" s="617"/>
      <c r="G296" s="617"/>
      <c r="H296" s="688"/>
      <c r="I296" s="617"/>
      <c r="J296" s="617"/>
      <c r="K296" s="1705">
        <f>'Revenues 9-14'!G275-'Expenditures 15-22'!K295</f>
        <v>25429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0" t="s">
        <v>145</v>
      </c>
      <c r="B298" s="219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62510</v>
      </c>
      <c r="F301" s="466"/>
      <c r="G301" s="466"/>
      <c r="H301" s="466"/>
      <c r="I301" s="467"/>
      <c r="J301" s="467"/>
      <c r="K301" s="1692">
        <f>SUM(C301:J301)</f>
        <v>62510</v>
      </c>
      <c r="L301" s="467">
        <v>150000</v>
      </c>
    </row>
    <row r="302" spans="1:14" ht="13.5" customHeight="1" x14ac:dyDescent="0.2">
      <c r="A302" s="1539"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62510</v>
      </c>
      <c r="F303" s="1698">
        <f t="shared" si="23"/>
        <v>0</v>
      </c>
      <c r="G303" s="1698">
        <f t="shared" si="23"/>
        <v>0</v>
      </c>
      <c r="H303" s="1698">
        <f t="shared" si="23"/>
        <v>0</v>
      </c>
      <c r="I303" s="1698">
        <f t="shared" si="23"/>
        <v>0</v>
      </c>
      <c r="J303" s="1698">
        <f t="shared" si="23"/>
        <v>0</v>
      </c>
      <c r="K303" s="1698">
        <f t="shared" si="23"/>
        <v>62510</v>
      </c>
      <c r="L303" s="1698">
        <f t="shared" si="23"/>
        <v>150000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2">
        <f>SUM(E306,H306)</f>
        <v>0</v>
      </c>
      <c r="L306" s="467">
        <v>0</v>
      </c>
    </row>
    <row r="307" spans="1:14" x14ac:dyDescent="0.2">
      <c r="A307" s="1526" t="s">
        <v>322</v>
      </c>
      <c r="B307" s="615">
        <v>4120</v>
      </c>
      <c r="C307" s="617"/>
      <c r="D307" s="617"/>
      <c r="E307" s="467"/>
      <c r="F307" s="617"/>
      <c r="G307" s="617"/>
      <c r="H307" s="467"/>
      <c r="I307" s="477"/>
      <c r="J307" s="617"/>
      <c r="K307" s="1692">
        <f>SUM(E307,H307)</f>
        <v>0</v>
      </c>
      <c r="L307" s="466">
        <v>0</v>
      </c>
    </row>
    <row r="308" spans="1:14" x14ac:dyDescent="0.2">
      <c r="A308" s="1526" t="s">
        <v>721</v>
      </c>
      <c r="B308" s="615">
        <v>4140</v>
      </c>
      <c r="C308" s="617"/>
      <c r="D308" s="617"/>
      <c r="E308" s="467"/>
      <c r="F308" s="617"/>
      <c r="G308" s="617"/>
      <c r="H308" s="467"/>
      <c r="I308" s="477"/>
      <c r="J308" s="617"/>
      <c r="K308" s="1692">
        <f>SUM(E308,H308)</f>
        <v>0</v>
      </c>
      <c r="L308" s="466">
        <v>0</v>
      </c>
    </row>
    <row r="309" spans="1:14" ht="12.75" customHeight="1" x14ac:dyDescent="0.2">
      <c r="A309" s="1530"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5" t="s">
        <v>295</v>
      </c>
      <c r="B312" s="2206"/>
      <c r="C312" s="1691">
        <f>SUM(C303)</f>
        <v>0</v>
      </c>
      <c r="D312" s="1691">
        <f>SUM(D303)</f>
        <v>0</v>
      </c>
      <c r="E312" s="1691">
        <f>SUM(E303,E310)</f>
        <v>62510</v>
      </c>
      <c r="F312" s="1691">
        <f>SUM(F303)</f>
        <v>0</v>
      </c>
      <c r="G312" s="1691">
        <f>SUM(G303)</f>
        <v>0</v>
      </c>
      <c r="H312" s="1691">
        <f>SUM(H303,H310)</f>
        <v>0</v>
      </c>
      <c r="I312" s="1691">
        <f>SUM(I303)</f>
        <v>0</v>
      </c>
      <c r="J312" s="1691">
        <f>SUM(J303)</f>
        <v>0</v>
      </c>
      <c r="K312" s="1691">
        <f>SUM(K303,K310,K311)</f>
        <v>62510</v>
      </c>
      <c r="L312" s="1691">
        <f>SUM(L303,L310,L311)</f>
        <v>150000</v>
      </c>
      <c r="M312" s="666"/>
      <c r="N312" s="666"/>
    </row>
    <row r="313" spans="1:14" ht="13.5" thickTop="1" x14ac:dyDescent="0.2">
      <c r="A313" s="2201" t="s">
        <v>1053</v>
      </c>
      <c r="B313" s="2202"/>
      <c r="C313" s="627"/>
      <c r="D313" s="627"/>
      <c r="E313" s="627"/>
      <c r="F313" s="627"/>
      <c r="G313" s="627"/>
      <c r="H313" s="627"/>
      <c r="I313" s="627"/>
      <c r="J313" s="627"/>
      <c r="K313" s="1706">
        <f>'Revenues 9-14'!H275-'Expenditures 15-22'!K312</f>
        <v>463750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4" t="s">
        <v>151</v>
      </c>
      <c r="B315" s="221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6" t="s">
        <v>954</v>
      </c>
      <c r="B317" s="221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5" t="s">
        <v>1904</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1" t="s">
        <v>256</v>
      </c>
      <c r="B322" s="698" t="s">
        <v>302</v>
      </c>
      <c r="C322" s="467"/>
      <c r="D322" s="467">
        <v>241155</v>
      </c>
      <c r="E322" s="467"/>
      <c r="F322" s="467"/>
      <c r="G322" s="467"/>
      <c r="H322" s="467"/>
      <c r="I322" s="467"/>
      <c r="J322" s="467"/>
      <c r="K322" s="1692">
        <f t="shared" si="24"/>
        <v>241155</v>
      </c>
      <c r="L322" s="467">
        <v>235569</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1" t="s">
        <v>1087</v>
      </c>
      <c r="B325" s="699" t="s">
        <v>305</v>
      </c>
      <c r="C325" s="467"/>
      <c r="D325" s="467">
        <v>102592</v>
      </c>
      <c r="E325" s="467"/>
      <c r="F325" s="467"/>
      <c r="G325" s="467"/>
      <c r="H325" s="467"/>
      <c r="I325" s="467"/>
      <c r="J325" s="467"/>
      <c r="K325" s="1692">
        <f t="shared" si="24"/>
        <v>102592</v>
      </c>
      <c r="L325" s="467">
        <v>106000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343747</v>
      </c>
      <c r="E330" s="1691">
        <f t="shared" si="25"/>
        <v>0</v>
      </c>
      <c r="F330" s="1691">
        <f t="shared" si="25"/>
        <v>0</v>
      </c>
      <c r="G330" s="1691">
        <f t="shared" si="25"/>
        <v>0</v>
      </c>
      <c r="H330" s="1691">
        <f t="shared" si="25"/>
        <v>0</v>
      </c>
      <c r="I330" s="1691">
        <f t="shared" si="25"/>
        <v>0</v>
      </c>
      <c r="J330" s="1691">
        <f t="shared" si="25"/>
        <v>0</v>
      </c>
      <c r="K330" s="1691">
        <f>SUM(K319:K329)</f>
        <v>343747</v>
      </c>
      <c r="L330" s="1691">
        <f>SUM(L319:L329)</f>
        <v>341569</v>
      </c>
      <c r="M330" s="666"/>
      <c r="N330" s="666"/>
    </row>
    <row r="331" spans="1:14" s="675" customFormat="1" ht="12.75" customHeight="1" thickTop="1" x14ac:dyDescent="0.2">
      <c r="A331" s="1853" t="s">
        <v>1958</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1952</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1954</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1959</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v>0</v>
      </c>
    </row>
    <row r="338" spans="1:14" ht="12.75" customHeight="1" x14ac:dyDescent="0.2">
      <c r="A338" s="1540" t="s">
        <v>1232</v>
      </c>
      <c r="B338" s="691" t="s">
        <v>638</v>
      </c>
      <c r="C338" s="639"/>
      <c r="D338" s="639"/>
      <c r="E338" s="639"/>
      <c r="F338" s="639"/>
      <c r="G338" s="639"/>
      <c r="H338" s="478"/>
      <c r="I338" s="639"/>
      <c r="J338" s="639"/>
      <c r="K338" s="1692">
        <f>H338</f>
        <v>0</v>
      </c>
      <c r="L338" s="478">
        <v>0</v>
      </c>
    </row>
    <row r="339" spans="1:14" x14ac:dyDescent="0.2">
      <c r="A339" s="1526"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343747</v>
      </c>
      <c r="E342" s="1691">
        <f>SUM(E330)</f>
        <v>0</v>
      </c>
      <c r="F342" s="1691">
        <f>SUM(F330)</f>
        <v>0</v>
      </c>
      <c r="G342" s="1691">
        <f>SUM(G330)</f>
        <v>0</v>
      </c>
      <c r="H342" s="1691">
        <f>SUM(H330,H334,H340)</f>
        <v>0</v>
      </c>
      <c r="I342" s="1691">
        <f>SUM(I330)</f>
        <v>0</v>
      </c>
      <c r="J342" s="1691">
        <f>SUM(J330)</f>
        <v>0</v>
      </c>
      <c r="K342" s="1691">
        <f>SUM(K330,K334,K340)</f>
        <v>343747</v>
      </c>
      <c r="L342" s="1698">
        <f>SUM(L330,L340,L341)</f>
        <v>341569</v>
      </c>
    </row>
    <row r="343" spans="1:14" ht="12.75" customHeight="1" thickTop="1" x14ac:dyDescent="0.2">
      <c r="A343" s="2203" t="s">
        <v>1053</v>
      </c>
      <c r="B343" s="2204"/>
      <c r="C343" s="617"/>
      <c r="D343" s="617"/>
      <c r="E343" s="617"/>
      <c r="F343" s="617"/>
      <c r="G343" s="617"/>
      <c r="H343" s="617"/>
      <c r="I343" s="617"/>
      <c r="J343" s="617"/>
      <c r="K343" s="1705">
        <f>'Revenues 9-14'!J275-'Expenditures 15-22'!K342</f>
        <v>-1222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3" t="s">
        <v>1023</v>
      </c>
      <c r="B345" s="219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230938</v>
      </c>
      <c r="F348" s="466"/>
      <c r="G348" s="466"/>
      <c r="H348" s="466"/>
      <c r="I348" s="467"/>
      <c r="J348" s="467"/>
      <c r="K348" s="1692">
        <f>SUM(C348:J348)</f>
        <v>230938</v>
      </c>
      <c r="L348" s="466">
        <v>282000</v>
      </c>
    </row>
    <row r="349" spans="1:14" x14ac:dyDescent="0.2">
      <c r="A349" s="1526"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230938</v>
      </c>
      <c r="F350" s="1691">
        <f t="shared" si="26"/>
        <v>0</v>
      </c>
      <c r="G350" s="1691">
        <f t="shared" si="26"/>
        <v>0</v>
      </c>
      <c r="H350" s="1691">
        <f t="shared" si="26"/>
        <v>0</v>
      </c>
      <c r="I350" s="1691">
        <f t="shared" si="26"/>
        <v>0</v>
      </c>
      <c r="J350" s="1691">
        <f t="shared" si="26"/>
        <v>0</v>
      </c>
      <c r="K350" s="1691">
        <f t="shared" si="26"/>
        <v>230938</v>
      </c>
      <c r="L350" s="1691">
        <f t="shared" si="26"/>
        <v>282000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230938</v>
      </c>
      <c r="F352" s="1691">
        <f t="shared" si="27"/>
        <v>0</v>
      </c>
      <c r="G352" s="1691">
        <f t="shared" si="27"/>
        <v>0</v>
      </c>
      <c r="H352" s="1691">
        <f t="shared" si="27"/>
        <v>0</v>
      </c>
      <c r="I352" s="1691">
        <f t="shared" si="27"/>
        <v>0</v>
      </c>
      <c r="J352" s="1691">
        <f t="shared" si="27"/>
        <v>0</v>
      </c>
      <c r="K352" s="1691">
        <f t="shared" si="27"/>
        <v>230938</v>
      </c>
      <c r="L352" s="1691">
        <f t="shared" si="27"/>
        <v>282000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1960</v>
      </c>
      <c r="B354" s="684" t="s">
        <v>1952</v>
      </c>
      <c r="C354" s="617"/>
      <c r="D354" s="617"/>
      <c r="E354" s="617"/>
      <c r="F354" s="617"/>
      <c r="G354" s="617"/>
      <c r="H354" s="474"/>
      <c r="I354" s="702"/>
      <c r="J354" s="617"/>
      <c r="K354" s="1720">
        <f>H354</f>
        <v>0</v>
      </c>
      <c r="L354" s="471">
        <v>0</v>
      </c>
    </row>
    <row r="355" spans="1:14" ht="12.75" customHeight="1" x14ac:dyDescent="0.2">
      <c r="A355" s="1535" t="s">
        <v>1961</v>
      </c>
      <c r="B355" s="691" t="s">
        <v>1954</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v>0</v>
      </c>
    </row>
    <row r="361" spans="1:14" ht="12.75" customHeight="1" x14ac:dyDescent="0.2">
      <c r="A361" s="1527"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230938</v>
      </c>
      <c r="F367" s="1691">
        <f t="shared" si="28"/>
        <v>0</v>
      </c>
      <c r="G367" s="1691">
        <f t="shared" si="28"/>
        <v>0</v>
      </c>
      <c r="H367" s="1691">
        <f t="shared" si="28"/>
        <v>0</v>
      </c>
      <c r="I367" s="1691">
        <f t="shared" si="28"/>
        <v>0</v>
      </c>
      <c r="J367" s="1691">
        <f t="shared" si="28"/>
        <v>0</v>
      </c>
      <c r="K367" s="1691">
        <f t="shared" si="28"/>
        <v>230938</v>
      </c>
      <c r="L367" s="1691">
        <f t="shared" si="28"/>
        <v>282000</v>
      </c>
    </row>
    <row r="368" spans="1:14" ht="13.5" thickTop="1" x14ac:dyDescent="0.2">
      <c r="A368" s="2217" t="s">
        <v>1053</v>
      </c>
      <c r="B368" s="2218"/>
      <c r="C368" s="655"/>
      <c r="D368" s="655"/>
      <c r="E368" s="627"/>
      <c r="F368" s="627"/>
      <c r="G368" s="627"/>
      <c r="H368" s="627"/>
      <c r="I368" s="627"/>
      <c r="J368" s="624"/>
      <c r="K368" s="1692">
        <f>'Revenues 9-14'!K275-'Expenditures 15-22'!K367</f>
        <v>-73655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&amp;L&amp;8Print Date: &amp;D
&amp;F&amp;CThe Notes to the Basic Financial Statements are an integral part of this statement.
</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www.w3.org/XML/1998/namespace"/>
    <ds:schemaRef ds:uri="4d435f69-8686-490b-bd6d-b153bf22ab50"/>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vt:lpstr>
      <vt:lpstr> SEFA (2)</vt:lpstr>
      <vt:lpstr> SEFA (3)</vt:lpstr>
      <vt:lpstr> SEFA (4)</vt:lpstr>
      <vt:lpstr>SF&amp;QC Sec-1</vt:lpstr>
      <vt:lpstr>SF&amp;QC Sec-2 </vt:lpstr>
      <vt:lpstr>SF&amp;QC Sec-3</vt:lpstr>
      <vt:lpstr>SSPAF</vt:lpstr>
      <vt:lpstr>' SEFA '!Print_Area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2019-04-25T14:57:15Z</cp:lastPrinted>
  <dcterms:created xsi:type="dcterms:W3CDTF">2003-10-29T19:06:34Z</dcterms:created>
  <dcterms:modified xsi:type="dcterms:W3CDTF">2019-07-16T19:03:36Z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