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22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9" i="3" l="1"/>
  <c r="D18" i="181" l="1"/>
  <c r="D17" i="181"/>
  <c r="G5" i="29" l="1"/>
  <c r="F5" i="29"/>
  <c r="H5" i="12" l="1"/>
  <c r="E10" i="108" l="1"/>
  <c r="H170" i="29"/>
  <c r="C7" i="29" l="1"/>
  <c r="E7" i="29"/>
  <c r="C5" i="29" l="1"/>
  <c r="C124" i="29" l="1"/>
  <c r="F4" i="3"/>
  <c r="D4" i="3"/>
  <c r="C4" i="3"/>
  <c r="H75" i="4"/>
  <c r="D268" i="29" l="1"/>
  <c r="D267" i="29"/>
  <c r="D266" i="29"/>
  <c r="E9" i="108" s="1"/>
  <c r="D264" i="29"/>
  <c r="E8" i="108" s="1"/>
  <c r="D246" i="29"/>
  <c r="D232" i="29"/>
  <c r="D227" i="29"/>
  <c r="D223" i="29"/>
  <c r="D219" i="29"/>
  <c r="D216" i="29"/>
  <c r="D215" i="29"/>
  <c r="D182" i="29"/>
  <c r="C182" i="29"/>
  <c r="E124" i="29"/>
  <c r="E73" i="29"/>
  <c r="D55" i="29"/>
  <c r="D50" i="29"/>
  <c r="C50" i="29"/>
  <c r="F44" i="29"/>
  <c r="E44" i="29"/>
  <c r="D44" i="29"/>
  <c r="E18" i="29"/>
  <c r="D18" i="29"/>
  <c r="C18" i="29"/>
  <c r="D14" i="29"/>
  <c r="C14" i="29"/>
  <c r="D10" i="29"/>
  <c r="C10" i="29"/>
  <c r="C45" i="29"/>
  <c r="F8" i="29"/>
  <c r="D8" i="29"/>
  <c r="F7" i="29"/>
  <c r="D7" i="29"/>
  <c r="E5" i="29"/>
  <c r="D5" i="29"/>
  <c r="C194" i="5" l="1"/>
  <c r="C158" i="5"/>
  <c r="C145" i="5"/>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B7765" i="106"/>
  <c r="B7764" i="106"/>
  <c r="D7764" i="106" s="1"/>
  <c r="J85" i="28"/>
  <c r="B7758" i="106" s="1"/>
  <c r="D7758" i="106" s="1"/>
  <c r="J88" i="28"/>
  <c r="K6" i="29"/>
  <c r="B7763" i="106" s="1"/>
  <c r="B7762" i="106"/>
  <c r="K12" i="12"/>
  <c r="K23" i="12"/>
  <c r="J12" i="12"/>
  <c r="J21" i="12"/>
  <c r="B7729" i="106"/>
  <c r="B7734" i="106"/>
  <c r="D7734" i="106" s="1"/>
  <c r="B7726" i="106"/>
  <c r="D7726" i="106" s="1"/>
  <c r="F162" i="34"/>
  <c r="B30" i="36"/>
  <c r="B33" i="36" s="1"/>
  <c r="B43" i="36" s="1"/>
  <c r="B56" i="36" s="1"/>
  <c r="B66" i="36" s="1"/>
  <c r="B70" i="36" s="1"/>
  <c r="B74" i="36" s="1"/>
  <c r="D73" i="36"/>
  <c r="C191" i="5"/>
  <c r="C201" i="5"/>
  <c r="B5246" i="106" s="1"/>
  <c r="D5246" i="106" s="1"/>
  <c r="C211" i="5"/>
  <c r="C216" i="5"/>
  <c r="B4411" i="106" s="1"/>
  <c r="D4411" i="106" s="1"/>
  <c r="C224" i="5"/>
  <c r="C228" i="5"/>
  <c r="C259" i="5"/>
  <c r="B7761" i="106"/>
  <c r="D7761" i="106" s="1"/>
  <c r="L127" i="29"/>
  <c r="L129" i="29" s="1"/>
  <c r="L139" i="29"/>
  <c r="L149" i="29"/>
  <c r="I7" i="145"/>
  <c r="I6" i="145"/>
  <c r="D78" i="36"/>
  <c r="K75" i="29"/>
  <c r="K130" i="29"/>
  <c r="K185" i="29"/>
  <c r="B2836" i="106" s="1"/>
  <c r="D2836" i="106" s="1"/>
  <c r="K122" i="29"/>
  <c r="F15" i="145" s="1"/>
  <c r="F19" i="145" s="1"/>
  <c r="K67" i="29"/>
  <c r="K64" i="29"/>
  <c r="D31" i="108" s="1"/>
  <c r="K59" i="29"/>
  <c r="E15" i="145" s="1"/>
  <c r="K56" i="29"/>
  <c r="E14" i="145" s="1"/>
  <c r="G14" i="145" s="1"/>
  <c r="K51" i="29"/>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B2976" i="106" s="1"/>
  <c r="D2976" i="106" s="1"/>
  <c r="K82" i="29"/>
  <c r="B2977" i="106" s="1"/>
  <c r="D2977" i="106" s="1"/>
  <c r="K83" i="29"/>
  <c r="B2978" i="106" s="1"/>
  <c r="D2978" i="106" s="1"/>
  <c r="K93" i="29"/>
  <c r="K94" i="29"/>
  <c r="K95" i="29"/>
  <c r="B7001" i="106" s="1"/>
  <c r="D7001" i="106" s="1"/>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0" i="29"/>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c r="B6763" i="106"/>
  <c r="D6763" i="106" s="1"/>
  <c r="B6764" i="106"/>
  <c r="D6764" i="106" s="1"/>
  <c r="B6765" i="106"/>
  <c r="D6765" i="106" s="1"/>
  <c r="B6766" i="106"/>
  <c r="D6766" i="106" s="1"/>
  <c r="B6767" i="106"/>
  <c r="D6767" i="106" s="1"/>
  <c r="B6768" i="106"/>
  <c r="D6768" i="106" s="1"/>
  <c r="B6769" i="106"/>
  <c r="D6769" i="106" s="1"/>
  <c r="B6770" i="106"/>
  <c r="D6770" i="106"/>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c r="B6827" i="106"/>
  <c r="D6827" i="106" s="1"/>
  <c r="B6828" i="106"/>
  <c r="D6828" i="106" s="1"/>
  <c r="B6829" i="106"/>
  <c r="D6829" i="106" s="1"/>
  <c r="B6830" i="106"/>
  <c r="D6830" i="106" s="1"/>
  <c r="B6831" i="106"/>
  <c r="D6831" i="106" s="1"/>
  <c r="B6832" i="106"/>
  <c r="D6832" i="106" s="1"/>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4" i="106"/>
  <c r="D6884" i="106" s="1"/>
  <c r="K24" i="29"/>
  <c r="B6886" i="106"/>
  <c r="D6886" i="106" s="1"/>
  <c r="K25" i="29"/>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D7729" i="106"/>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5" i="106"/>
  <c r="D7766"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D26" i="108"/>
  <c r="E26" i="108"/>
  <c r="F26" i="108"/>
  <c r="G26" i="108"/>
  <c r="E27" i="108"/>
  <c r="G27" i="108"/>
  <c r="F36" i="108"/>
  <c r="G28" i="108"/>
  <c r="E30" i="108"/>
  <c r="G30" i="108"/>
  <c r="D36" i="108"/>
  <c r="E31" i="108"/>
  <c r="G31" i="108"/>
  <c r="E34" i="108"/>
  <c r="G34"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C45" i="34"/>
  <c r="D45" i="34"/>
  <c r="F45" i="34"/>
  <c r="C46" i="34"/>
  <c r="D46" i="34"/>
  <c r="C47" i="34"/>
  <c r="D47" i="34"/>
  <c r="C48" i="34"/>
  <c r="D48" i="34"/>
  <c r="C49" i="34"/>
  <c r="D49" i="34"/>
  <c r="F49" i="34"/>
  <c r="C50" i="34"/>
  <c r="D50" i="34"/>
  <c r="C51" i="34"/>
  <c r="D51" i="34"/>
  <c r="C52" i="34"/>
  <c r="C53" i="34"/>
  <c r="D53" i="34"/>
  <c r="C56" i="34"/>
  <c r="F56" i="34"/>
  <c r="C57" i="34"/>
  <c r="D57" i="34"/>
  <c r="C61" i="34"/>
  <c r="C62" i="34"/>
  <c r="F62" i="34"/>
  <c r="C63" i="34"/>
  <c r="D63" i="34"/>
  <c r="C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s="1"/>
  <c r="D5878" i="106" s="1"/>
  <c r="I18" i="5"/>
  <c r="B5923" i="106" s="1"/>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I274" i="5"/>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29" i="118"/>
  <c r="K28" i="118" s="1"/>
  <c r="O27" i="118" s="1"/>
  <c r="O29" i="118" s="1"/>
  <c r="H33" i="118"/>
  <c r="J22" i="37"/>
  <c r="L22" i="37"/>
  <c r="L5" i="11"/>
  <c r="B2056" i="106" s="1"/>
  <c r="D2056" i="106" s="1"/>
  <c r="D13" i="7"/>
  <c r="B3726" i="106" s="1"/>
  <c r="D3726" i="106" s="1"/>
  <c r="D9" i="7"/>
  <c r="B1767" i="106" s="1"/>
  <c r="D1767" i="106" s="1"/>
  <c r="B5847" i="106"/>
  <c r="D5847" i="106" s="1"/>
  <c r="K274" i="5"/>
  <c r="D7" i="7"/>
  <c r="B1763" i="106" s="1"/>
  <c r="D1763" i="106" s="1"/>
  <c r="D11" i="7"/>
  <c r="B1768" i="106" s="1"/>
  <c r="D1768" i="106" s="1"/>
  <c r="D15" i="7"/>
  <c r="B1772" i="106" s="1"/>
  <c r="D1772" i="106" s="1"/>
  <c r="D12" i="7" l="1"/>
  <c r="B1769" i="106" s="1"/>
  <c r="D1769" i="106" s="1"/>
  <c r="F37" i="108"/>
  <c r="D37" i="108"/>
  <c r="F31" i="108"/>
  <c r="G15" i="4"/>
  <c r="B6032" i="106" s="1"/>
  <c r="D6032" i="106" s="1"/>
  <c r="F127" i="34"/>
  <c r="I210" i="29"/>
  <c r="J129" i="29"/>
  <c r="B7038" i="106" s="1"/>
  <c r="D7038" i="106" s="1"/>
  <c r="D22" i="37"/>
  <c r="D54" i="36"/>
  <c r="N22" i="3"/>
  <c r="B283" i="106" s="1"/>
  <c r="D283" i="106" s="1"/>
  <c r="E109" i="5"/>
  <c r="E4" i="4" s="1"/>
  <c r="B2630" i="106" s="1"/>
  <c r="D2630" i="106" s="1"/>
  <c r="F172" i="5"/>
  <c r="B5644" i="106" s="1"/>
  <c r="D5644" i="106" s="1"/>
  <c r="J352" i="29"/>
  <c r="L312" i="29"/>
  <c r="B6191" i="106"/>
  <c r="D6191" i="106" s="1"/>
  <c r="J41" i="3"/>
  <c r="B6216" i="106" s="1"/>
  <c r="D6216" i="106" s="1"/>
  <c r="G33" i="108"/>
  <c r="E33" i="108"/>
  <c r="F52" i="34"/>
  <c r="G39" i="108"/>
  <c r="F67" i="34"/>
  <c r="F64" i="34"/>
  <c r="F27" i="108"/>
  <c r="B7047" i="106"/>
  <c r="D7047" i="106" s="1"/>
  <c r="B1792" i="106"/>
  <c r="D1792" i="106" s="1"/>
  <c r="F19" i="7"/>
  <c r="B1807" i="106" s="1"/>
  <c r="D1807" i="106" s="1"/>
  <c r="B5444" i="106"/>
  <c r="D5444" i="106" s="1"/>
  <c r="F130" i="34"/>
  <c r="B5893" i="106"/>
  <c r="D5893" i="106" s="1"/>
  <c r="H173" i="5"/>
  <c r="B4102" i="106"/>
  <c r="D4102" i="106" s="1"/>
  <c r="D17" i="7"/>
  <c r="B4104" i="106" s="1"/>
  <c r="D4104" i="106" s="1"/>
  <c r="B1745" i="106"/>
  <c r="D1745" i="106" s="1"/>
  <c r="D5" i="7"/>
  <c r="B1761" i="106" s="1"/>
  <c r="D1761" i="106" s="1"/>
  <c r="F46" i="34"/>
  <c r="B7078" i="106"/>
  <c r="D7078" i="106" s="1"/>
  <c r="F69" i="34"/>
  <c r="E13" i="145"/>
  <c r="G13" i="145" s="1"/>
  <c r="B2724" i="106"/>
  <c r="D2724" i="106" s="1"/>
  <c r="D109" i="5"/>
  <c r="B5356" i="106" s="1"/>
  <c r="D5356" i="106" s="1"/>
  <c r="D5" i="4"/>
  <c r="B3406" i="106" s="1"/>
  <c r="D3406" i="106" s="1"/>
  <c r="G38" i="108"/>
  <c r="J367" i="29"/>
  <c r="B7245" i="106" s="1"/>
  <c r="D7245" i="106" s="1"/>
  <c r="B7235" i="106"/>
  <c r="D7235" i="106" s="1"/>
  <c r="B6899" i="106"/>
  <c r="D6899" i="106" s="1"/>
  <c r="F50" i="34"/>
  <c r="B6887" i="106"/>
  <c r="D6887" i="106" s="1"/>
  <c r="F44" i="34"/>
  <c r="B6883" i="106"/>
  <c r="D6883" i="106" s="1"/>
  <c r="F42" i="34"/>
  <c r="J23" i="12"/>
  <c r="B7727" i="106"/>
  <c r="D7727" i="106" s="1"/>
  <c r="L342" i="29"/>
  <c r="G15" i="145"/>
  <c r="K24" i="12"/>
  <c r="G352" i="29"/>
  <c r="G367" i="29" s="1"/>
  <c r="B3650" i="106" s="1"/>
  <c r="D3650" i="106" s="1"/>
  <c r="F128" i="34"/>
  <c r="F106" i="34"/>
  <c r="G29" i="108"/>
  <c r="K184" i="29"/>
  <c r="F13" i="4" s="1"/>
  <c r="B2596" i="106" s="1"/>
  <c r="D2596" i="106" s="1"/>
  <c r="E29" i="108"/>
  <c r="C129" i="29"/>
  <c r="B1225" i="106" s="1"/>
  <c r="D1225" i="106" s="1"/>
  <c r="E28" i="108"/>
  <c r="F28" i="108"/>
  <c r="F34" i="34"/>
  <c r="G109" i="5"/>
  <c r="B6024" i="106" s="1"/>
  <c r="D6024" i="106" s="1"/>
  <c r="B1746" i="106"/>
  <c r="D1746" i="106" s="1"/>
  <c r="C172" i="5"/>
  <c r="C109" i="5"/>
  <c r="B5121" i="106" s="1"/>
  <c r="D5121" i="106" s="1"/>
  <c r="C342" i="29"/>
  <c r="B7216" i="106" s="1"/>
  <c r="D7216" i="106" s="1"/>
  <c r="F21" i="8"/>
  <c r="B3689" i="106"/>
  <c r="D3689" i="106" s="1"/>
  <c r="K173" i="5"/>
  <c r="K6" i="4" s="1"/>
  <c r="B3570" i="106" s="1"/>
  <c r="D3570" i="106" s="1"/>
  <c r="G172" i="5"/>
  <c r="B6238" i="106"/>
  <c r="D6238" i="106" s="1"/>
  <c r="J77" i="4"/>
  <c r="B6262" i="106" s="1"/>
  <c r="D6262" i="106" s="1"/>
  <c r="D4" i="7"/>
  <c r="B1760" i="106" s="1"/>
  <c r="D1760" i="106" s="1"/>
  <c r="J274" i="5"/>
  <c r="B7054" i="106" s="1"/>
  <c r="D7054" i="106" s="1"/>
  <c r="I173" i="5"/>
  <c r="B4216" i="106" s="1"/>
  <c r="D4216" i="106" s="1"/>
  <c r="B5096" i="106"/>
  <c r="D5096" i="106" s="1"/>
  <c r="L367" i="29"/>
  <c r="B6881" i="106"/>
  <c r="D6881" i="106" s="1"/>
  <c r="F41" i="34"/>
  <c r="B6853" i="106"/>
  <c r="D6853" i="106" s="1"/>
  <c r="F35" i="34"/>
  <c r="B3658" i="106"/>
  <c r="D3658" i="106" s="1"/>
  <c r="H365" i="29"/>
  <c r="B3565" i="106"/>
  <c r="D3565" i="106" s="1"/>
  <c r="K41" i="3"/>
  <c r="H44" i="4"/>
  <c r="B3296" i="106" s="1"/>
  <c r="D3296" i="106" s="1"/>
  <c r="B6289" i="106"/>
  <c r="D6289" i="106" s="1"/>
  <c r="H109" i="5"/>
  <c r="F111" i="34"/>
  <c r="F131" i="34"/>
  <c r="D24" i="37"/>
  <c r="B4270" i="106" s="1"/>
  <c r="D4270" i="106" s="1"/>
  <c r="G5" i="4"/>
  <c r="B3409" i="106" s="1"/>
  <c r="D3409" i="106" s="1"/>
  <c r="F36" i="34"/>
  <c r="D69" i="36"/>
  <c r="I342" i="29"/>
  <c r="B7222" i="106" s="1"/>
  <c r="D7222" i="106" s="1"/>
  <c r="J210" i="29"/>
  <c r="B7072" i="106" s="1"/>
  <c r="D7072" i="106" s="1"/>
  <c r="B3670" i="106"/>
  <c r="D3670" i="106" s="1"/>
  <c r="K352" i="29"/>
  <c r="K13" i="4" s="1"/>
  <c r="B3572" i="106" s="1"/>
  <c r="D3572" i="106" s="1"/>
  <c r="B3619" i="106"/>
  <c r="D3619" i="106" s="1"/>
  <c r="C352" i="29"/>
  <c r="B3170" i="106"/>
  <c r="D3170" i="106" s="1"/>
  <c r="H76" i="4"/>
  <c r="B3298" i="106" s="1"/>
  <c r="D3298" i="106" s="1"/>
  <c r="B1995" i="106"/>
  <c r="D1995" i="106" s="1"/>
  <c r="I24" i="12"/>
  <c r="F77" i="4"/>
  <c r="B3255" i="106" s="1"/>
  <c r="D3255" i="106" s="1"/>
  <c r="L15" i="11"/>
  <c r="B3459" i="106" s="1"/>
  <c r="D3459" i="106" s="1"/>
  <c r="L13" i="11"/>
  <c r="B2060" i="106" s="1"/>
  <c r="D2060" i="106" s="1"/>
  <c r="G210" i="29"/>
  <c r="D6103" i="106"/>
  <c r="K76" i="4"/>
  <c r="B3586" i="106" s="1"/>
  <c r="D3586" i="106" s="1"/>
  <c r="E174" i="29"/>
  <c r="B1309" i="106" s="1"/>
  <c r="D1309" i="106" s="1"/>
  <c r="B3649" i="106"/>
  <c r="D3649" i="106" s="1"/>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5914" i="106"/>
  <c r="D5914" i="106" s="1"/>
  <c r="B3447" i="106"/>
  <c r="D3447" i="106" s="1"/>
  <c r="B7270" i="106"/>
  <c r="J151" i="29" l="1"/>
  <c r="B7052" i="106" s="1"/>
  <c r="D7052" i="106" s="1"/>
  <c r="B7071" i="106"/>
  <c r="D7071" i="106" s="1"/>
  <c r="F66" i="34"/>
  <c r="G4" i="4"/>
  <c r="B2603" i="106" s="1"/>
  <c r="D2603" i="106" s="1"/>
  <c r="B3672" i="106"/>
  <c r="D3672" i="106" s="1"/>
  <c r="F274" i="5"/>
  <c r="D7252" i="106"/>
  <c r="D7255" i="106"/>
  <c r="D7253" i="106"/>
  <c r="F41" i="108"/>
  <c r="G43" i="108" s="1"/>
  <c r="L114" i="29"/>
  <c r="B1317" i="106"/>
  <c r="D1317" i="106" s="1"/>
  <c r="N23" i="3"/>
  <c r="B284" i="106" s="1"/>
  <c r="D284" i="106" s="1"/>
  <c r="K342" i="29"/>
  <c r="F13" i="34" s="1"/>
  <c r="B7215" i="106"/>
  <c r="D7215" i="106" s="1"/>
  <c r="D4" i="4"/>
  <c r="B2564" i="106" s="1"/>
  <c r="D2564" i="106" s="1"/>
  <c r="B5906" i="106"/>
  <c r="D5906" i="106" s="1"/>
  <c r="H6" i="4"/>
  <c r="B2656" i="106" s="1"/>
  <c r="D2656" i="106" s="1"/>
  <c r="D7256" i="106"/>
  <c r="D7251" i="106"/>
  <c r="J7" i="4"/>
  <c r="H77" i="4"/>
  <c r="B3299" i="106" s="1"/>
  <c r="D3299" i="106" s="1"/>
  <c r="K365" i="29"/>
  <c r="K367" i="29" s="1"/>
  <c r="D7254" i="106"/>
  <c r="J16" i="4"/>
  <c r="B6226" i="106" s="1"/>
  <c r="D6226" i="106" s="1"/>
  <c r="D7250" i="106"/>
  <c r="C151" i="29"/>
  <c r="B1226" i="106" s="1"/>
  <c r="D1226" i="106" s="1"/>
  <c r="B7733" i="106"/>
  <c r="D7733" i="106" s="1"/>
  <c r="K26" i="12"/>
  <c r="B7743" i="106" s="1"/>
  <c r="D7743" i="106" s="1"/>
  <c r="B1381" i="106"/>
  <c r="D1381" i="106" s="1"/>
  <c r="B1328" i="106"/>
  <c r="D1328" i="106" s="1"/>
  <c r="H151" i="29"/>
  <c r="B1273" i="106" s="1"/>
  <c r="D1273" i="106" s="1"/>
  <c r="C114" i="29"/>
  <c r="B757" i="106" s="1"/>
  <c r="D757" i="106" s="1"/>
  <c r="F6" i="4"/>
  <c r="B2593" i="106" s="1"/>
  <c r="D2593" i="106" s="1"/>
  <c r="F275" i="5"/>
  <c r="B5720" i="106" s="1"/>
  <c r="D5720" i="106" s="1"/>
  <c r="C4" i="4"/>
  <c r="B2551" i="106" s="1"/>
  <c r="D2551" i="106" s="1"/>
  <c r="B1879" i="106"/>
  <c r="D1879" i="106" s="1"/>
  <c r="H22" i="37"/>
  <c r="D274" i="5"/>
  <c r="B3628" i="106"/>
  <c r="D3628" i="106" s="1"/>
  <c r="I6" i="4"/>
  <c r="B5011" i="106" s="1"/>
  <c r="D5011" i="106" s="1"/>
  <c r="B1365" i="106"/>
  <c r="D1365" i="106" s="1"/>
  <c r="F65" i="34"/>
  <c r="B1996" i="106"/>
  <c r="D1996" i="106" s="1"/>
  <c r="I26" i="12"/>
  <c r="B7741" i="106" s="1"/>
  <c r="D7741" i="106" s="1"/>
  <c r="B3621" i="106"/>
  <c r="D3621" i="106" s="1"/>
  <c r="C367" i="29"/>
  <c r="B3622" i="106" s="1"/>
  <c r="D3622" i="106" s="1"/>
  <c r="B3568" i="106"/>
  <c r="D3568" i="106" s="1"/>
  <c r="D52" i="36"/>
  <c r="G173" i="5"/>
  <c r="B5770" i="106"/>
  <c r="D5770" i="106" s="1"/>
  <c r="B6025" i="106"/>
  <c r="D6025" i="106" s="1"/>
  <c r="H4" i="4"/>
  <c r="D19" i="7"/>
  <c r="B1775" i="106" s="1"/>
  <c r="D1775" i="106" s="1"/>
  <c r="H275" i="5"/>
  <c r="L16" i="11"/>
  <c r="B2061" i="106" s="1"/>
  <c r="D2061" i="106" s="1"/>
  <c r="H367" i="29"/>
  <c r="B3660" i="106" s="1"/>
  <c r="D3660" i="106" s="1"/>
  <c r="B7242" i="106"/>
  <c r="D7242" i="106" s="1"/>
  <c r="B5214" i="106"/>
  <c r="D5214" i="106" s="1"/>
  <c r="C173" i="5"/>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J8" i="4" l="1"/>
  <c r="B1145" i="106"/>
  <c r="D1145" i="106" s="1"/>
  <c r="G41" i="108"/>
  <c r="G44" i="108" s="1"/>
  <c r="G45" i="108" s="1"/>
  <c r="F8" i="4"/>
  <c r="D8" i="146" s="1"/>
  <c r="E41" i="108"/>
  <c r="E44" i="108" s="1"/>
  <c r="E45" i="108" s="1"/>
  <c r="B5223" i="106"/>
  <c r="D5223" i="106" s="1"/>
  <c r="C6" i="4"/>
  <c r="B2553" i="106" s="1"/>
  <c r="D2553" i="106" s="1"/>
  <c r="B5778" i="106"/>
  <c r="D5778" i="106" s="1"/>
  <c r="G6" i="4"/>
  <c r="B2604" i="106" s="1"/>
  <c r="D2604"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F10" i="4"/>
  <c r="B4125" i="106" s="1"/>
  <c r="D4125" i="106" s="1"/>
  <c r="D8" i="4"/>
  <c r="D10" i="4" s="1"/>
  <c r="B4123" i="106" s="1"/>
  <c r="D4123" i="106" s="1"/>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B2568" i="106"/>
  <c r="D2568" i="106" s="1"/>
  <c r="D20" i="4" l="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I39" i="3" s="1"/>
  <c r="K17" i="118"/>
  <c r="B3300" i="106"/>
  <c r="D3300" i="106" s="1"/>
  <c r="H81" i="4"/>
  <c r="H38" i="3" s="1"/>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2535" i="106" l="1"/>
  <c r="D2535" i="106" s="1"/>
  <c r="H41" i="3"/>
  <c r="B2912" i="106"/>
  <c r="D2912" i="106" s="1"/>
  <c r="I41" i="3"/>
  <c r="B123" i="106"/>
  <c r="D123" i="106" s="1"/>
  <c r="D41" i="3"/>
  <c r="B3278" i="106"/>
  <c r="D3278" i="106" s="1"/>
  <c r="E81" i="4"/>
  <c r="E38" i="3" s="1"/>
  <c r="B3233" i="106"/>
  <c r="D3233" i="106" s="1"/>
  <c r="C81" i="4"/>
  <c r="C39" i="3" s="1"/>
  <c r="A7263" i="106"/>
  <c r="D7262" i="106"/>
  <c r="B1700" i="106"/>
  <c r="D1700" i="106" s="1"/>
  <c r="H82" i="4"/>
  <c r="D62" i="36"/>
  <c r="O16"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913" i="106" l="1"/>
  <c r="D2913" i="106" s="1"/>
  <c r="D50" i="36"/>
  <c r="B2477" i="106"/>
  <c r="D2477" i="106" s="1"/>
  <c r="G41" i="3"/>
  <c r="B213" i="106"/>
  <c r="D213" i="106" s="1"/>
  <c r="D49" i="36"/>
  <c r="B2475" i="106"/>
  <c r="D2475" i="106" s="1"/>
  <c r="F41" i="3"/>
  <c r="B2504" i="106"/>
  <c r="D2504" i="106" s="1"/>
  <c r="D75" i="36"/>
  <c r="E41" i="3"/>
  <c r="B92" i="106"/>
  <c r="D92" i="106" s="1"/>
  <c r="C41" i="3"/>
  <c r="D76" i="36"/>
  <c r="D45" i="36"/>
  <c r="B124" i="106"/>
  <c r="D124"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190" i="106"/>
  <c r="D190" i="106" s="1"/>
  <c r="D48" i="36"/>
  <c r="D46" i="36"/>
  <c r="B141" i="106"/>
  <c r="D141" i="106" s="1"/>
  <c r="B93" i="106"/>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<sst xmlns="http://schemas.openxmlformats.org/spreadsheetml/2006/main" count="5048" uniqueCount="2110">
  <si>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</si>
  <si>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</si>
  <si>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</si>
  <si>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</si>
  <si>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</si>
  <si>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</si>
  <si>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</si>
  <si>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</si>
  <si>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</si>
  <si>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</si>
  <si>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</si>
  <si>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</si>
  <si>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</si>
  <si>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</si>
  <si>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</si>
  <si>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</si>
  <si>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</si>
  <si>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</si>
  <si>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</si>
  <si>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</si>
  <si>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</si>
  <si>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</si>
  <si>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</si>
  <si>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</si>
  <si>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</si>
  <si>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</si>
  <si>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</si>
  <si>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</si>
  <si>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</si>
  <si>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</si>
  <si>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</si>
  <si>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</si>
  <si>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</si>
  <si>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</si>
  <si>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</si>
  <si>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</si>
  <si>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</si>
  <si>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</si>
  <si>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</si>
  <si>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</si>
  <si>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</si>
  <si>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</si>
  <si>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</si>
  <si>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</si>
  <si>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</si>
  <si>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</si>
  <si>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</si>
  <si>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</si>
  <si>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</si>
  <si>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</si>
  <si>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</si>
  <si>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</si>
  <si>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</si>
  <si>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</si>
  <si>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</si>
  <si>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</si>
  <si>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</si>
  <si>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</si>
  <si>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</si>
  <si>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</si>
  <si>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</si>
  <si>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</si>
  <si>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</si>
  <si>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</si>
  <si>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</si>
  <si>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</si>
  <si>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</si>
  <si>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</si>
  <si>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</si>
  <si>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</si>
  <si>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</si>
  <si>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</si>
  <si>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</si>
  <si>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</si>
  <si>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</si>
  <si>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</si>
  <si>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</si>
  <si>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</si>
  <si>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</si>
  <si>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</si>
  <si>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</si>
  <si>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</si>
  <si>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</si>
  <si>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</si>
  <si>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</si>
  <si>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</si>
  <si>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</si>
  <si>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</si>
  <si>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</si>
  <si>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</si>
  <si>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</si>
  <si>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</si>
  <si>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</si>
  <si>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</si>
  <si>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</si>
  <si>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</si>
  <si>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</si>
  <si>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</si>
  <si>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</si>
  <si>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</si>
  <si>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</si>
  <si>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</si>
  <si>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</si>
  <si>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</si>
  <si>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</si>
  <si>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</si>
  <si>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</si>
  <si>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</si>
  <si>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</si>
  <si>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</si>
  <si>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</si>
  <si>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</si>
  <si>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</si>
  <si>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</si>
  <si>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</si>
  <si>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</si>
  <si>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</si>
  <si>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</si>
  <si>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</si>
  <si>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</si>
  <si>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</si>
  <si>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</si>
  <si>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</si>
  <si>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</si>
  <si>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</si>
  <si>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</si>
  <si>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</si>
  <si>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</si>
  <si>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</si>
  <si>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</si>
  <si>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</si>
  <si>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</si>
  <si>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</si>
  <si>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</si>
  <si>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</si>
  <si>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</si>
  <si>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</si>
  <si>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</si>
  <si>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</si>
  <si>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</si>
  <si>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</si>
  <si>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</si>
  <si>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</si>
  <si>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</si>
  <si>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</si>
  <si>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</si>
  <si>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</si>
  <si>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</si>
  <si>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</si>
  <si>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</si>
  <si>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</si>
  <si>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</si>
  <si>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</si>
  <si>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</si>
  <si>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</si>
  <si>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</si>
  <si>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</si>
  <si>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</si>
  <si>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</si>
  <si>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</si>
  <si>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</si>
  <si>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</si>
  <si>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</si>
  <si>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</si>
  <si>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</si>
  <si>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</si>
  <si>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</si>
  <si>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</si>
  <si>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</si>
  <si>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</si>
  <si>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</si>
  <si>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</si>
  <si>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</si>
  <si>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</si>
  <si>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</si>
  <si>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</si>
  <si>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</si>
  <si>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</si>
  <si>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</si>
  <si>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</si>
  <si>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</si>
  <si>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</si>
  <si>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</si>
  <si>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</si>
  <si>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</si>
  <si>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</si>
  <si>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</si>
  <si>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</si>
  <si>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</si>
  <si>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</si>
  <si>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</si>
  <si>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</si>
  <si>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</si>
  <si>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</si>
  <si>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</si>
  <si>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</si>
  <si>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</si>
  <si>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</si>
  <si>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</si>
  <si>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</si>
  <si>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</si>
  <si>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</si>
  <si>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</si>
  <si>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</si>
  <si>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</si>
  <si>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</si>
  <si>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</si>
  <si>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</si>
  <si>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</si>
  <si>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</si>
  <si>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</si>
  <si>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</si>
  <si>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</si>
  <si>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</si>
  <si>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</si>
  <si>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</si>
  <si>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</si>
  <si>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</si>
  <si>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</si>
  <si>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</si>
  <si>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</si>
  <si>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</si>
  <si>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</si>
  <si>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</si>
  <si>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</si>
  <si>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</si>
  <si>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</si>
  <si>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</si>
  <si>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</si>
  <si>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</si>
  <si>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</si>
  <si>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</si>
  <si>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</si>
  <si>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</si>
  <si>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</si>
  <si>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</si>
  <si>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</si>
  <si>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</si>
  <si>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</si>
  <si>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</si>
  <si>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</si>
  <si>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</si>
  <si>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</si>
  <si>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</si>
  <si>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</si>
  <si>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</si>
  <si>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</si>
  <si>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</si>
  <si>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</si>
  <si>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</si>
  <si>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</si>
  <si>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</si>
  <si>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</si>
  <si>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</si>
  <si>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</si>
  <si>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</si>
  <si>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</si>
  <si>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</si>
  <si>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</si>
  <si>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</si>
  <si>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</si>
  <si>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</si>
  <si>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</si>
  <si>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</si>
  <si>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</si>
  <si>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</si>
  <si>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</si>
  <si>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</si>
  <si>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</si>
  <si>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</si>
  <si>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</si>
  <si>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</si>
  <si>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</si>
  <si>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</si>
  <si>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</si>
  <si>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</si>
  <si>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</si>
  <si>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</si>
  <si>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</si>
  <si>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</si>
  <si>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</si>
  <si>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</si>
  <si>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</si>
  <si>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</si>
  <si>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</si>
  <si>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</si>
  <si>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</si>
  <si>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</si>
  <si>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</si>
  <si>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</si>
  <si>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</si>
  <si>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</si>
  <si>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</si>
  <si>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</si>
  <si>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</si>
  <si>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</si>
  <si>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</si>
  <si>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</si>
  <si>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</si>
  <si>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</si>
  <si>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</si>
  <si>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</si>
  <si>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</si>
  <si>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</si>
  <si>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</si>
  <si>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</si>
  <si>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</si>
  <si>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</si>
  <si>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</si>
  <si>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</si>
  <si>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</si>
  <si>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</si>
  <si>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</si>
  <si>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</si>
  <si>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</si>
  <si>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</si>
  <si>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</si>
  <si>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</si>
  <si>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</si>
  <si>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</si>
  <si>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</si>
  <si>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</si>
  <si>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</si>
  <si>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</si>
  <si>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</si>
  <si>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</si>
  <si>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</si>
  <si>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</si>
  <si>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</si>
  <si>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</si>
  <si>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</si>
  <si>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</si>
  <si>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</si>
  <si>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</si>
  <si>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</si>
  <si>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</si>
  <si>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</si>
  <si>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</si>
  <si>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</si>
  <si>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</si>
  <si>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</si>
  <si>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</si>
  <si>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</si>
  <si>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</si>
  <si>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</si>
  <si>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</si>
  <si>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</si>
  <si>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</si>
  <si>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</si>
  <si>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</si>
  <si>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</si>
  <si>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</si>
  <si>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</si>
  <si>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</si>
  <si>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</si>
  <si>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</si>
  <si>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</si>
  <si>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</si>
  <si>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</si>
  <si>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</si>
  <si>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</si>
  <si>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</si>
  <si>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</si>
  <si>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</si>
  <si>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</si>
  <si>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</si>
  <si>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</si>
  <si>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</si>
  <si>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</si>
  <si>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</si>
  <si>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</si>
  <si>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</si>
  <si>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</si>
  <si>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</si>
  <si>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</si>
  <si>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</si>
  <si>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</si>
  <si>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</si>
  <si>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</si>
  <si>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</si>
  <si>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</si>
  <si>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</si>
  <si>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</si>
  <si>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</si>
  <si>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</si>
  <si>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</si>
  <si>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</si>
  <si>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</si>
  <si>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</si>
  <si>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</si>
  <si>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</si>
  <si>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</si>
  <si>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</si>
  <si>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</si>
  <si>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</si>
  <si>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</si>
  <si>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</si>
  <si>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</si>
  <si>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</si>
  <si>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</si>
  <si>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</si>
  <si>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</si>
  <si>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</si>
  <si>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</si>
  <si>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</si>
  <si>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</si>
  <si>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</si>
  <si>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</si>
  <si>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</si>
  <si>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</si>
  <si>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</si>
  <si>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</si>
  <si>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</si>
  <si>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</si>
  <si>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</si>
  <si>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</si>
  <si>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</si>
  <si>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</si>
  <si>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</si>
  <si>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</si>
  <si>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</si>
  <si>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</si>
  <si>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</si>
  <si>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</si>
  <si>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</si>
  <si>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</si>
  <si>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</si>
  <si>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</si>
  <si>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</si>
  <si>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</si>
  <si>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</si>
  <si>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</si>
  <si>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</si>
  <si>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</si>
  <si>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</si>
  <si>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</si>
  <si>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</si>
  <si>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</si>
  <si>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</si>
  <si>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</si>
  <si>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</si>
  <si>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</si>
  <si>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</si>
  <si>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</si>
  <si>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</si>
  <si>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</si>
  <si>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</si>
  <si>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</si>
  <si>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</si>
  <si>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</si>
  <si>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</si>
  <si>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</si>
  <si>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</si>
  <si>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</si>
  <si>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</si>
  <si>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</si>
  <si>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</si>
  <si>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</si>
  <si>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</si>
  <si>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</si>
  <si>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</si>
  <si>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</si>
  <si>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</si>
  <si>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</si>
  <si>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</si>
  <si>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</si>
  <si>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</si>
  <si>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</si>
  <si>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</si>
  <si>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</si>
  <si>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</si>
  <si>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</si>
  <si>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</si>
  <si>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</si>
  <si>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</si>
  <si>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</si>
  <si>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</si>
  <si>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</si>
  <si>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</si>
  <si>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</si>
  <si>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</si>
  <si>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</si>
  <si>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</si>
  <si>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</si>
  <si>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</si>
  <si>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</si>
  <si>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</si>
  <si>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</si>
  <si>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</si>
  <si>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</si>
  <si>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</si>
  <si>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</si>
  <si>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</si>
  <si>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</si>
  <si>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</si>
  <si>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</si>
  <si>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</si>
  <si>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</si>
  <si>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</si>
  <si>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</si>
  <si>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</si>
  <si>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</si>
  <si>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</si>
  <si>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</si>
  <si>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</si>
  <si>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</si>
  <si>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</si>
  <si>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</si>
  <si>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</si>
  <si>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</si>
  <si>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</si>
  <si>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</si>
  <si>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</si>
  <si>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</si>
  <si>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</si>
  <si>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</si>
  <si>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</si>
  <si>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</si>
  <si>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</si>
  <si>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</si>
  <si>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</si>
  <si>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</si>
  <si>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</si>
  <si>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</si>
  <si>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</si>
  <si>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</si>
  <si>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</si>
  <si>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</si>
  <si>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</si>
  <si>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</si>
  <si>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</si>
  <si>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</si>
  <si>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</si>
  <si>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</si>
  <si>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</si>
  <si>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</si>
  <si>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</si>
  <si>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</si>
  <si>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</si>
  <si>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</si>
  <si>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</si>
  <si>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</si>
  <si>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</si>
  <si>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</si>
  <si>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</si>
  <si>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</si>
  <si>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</si>
  <si>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</si>
  <si>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</si>
  <si>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</si>
  <si>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</si>
  <si>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</si>
  <si>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</si>
  <si>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</si>
  <si>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</si>
  <si>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</si>
  <si>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</si>
  <si>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</si>
  <si>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</si>
  <si>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</si>
  <si>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</si>
  <si>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</si>
  <si>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</si>
  <si>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</si>
  <si>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</si>
  <si>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</si>
  <si>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</si>
  <si>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</si>
  <si>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</si>
  <si>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</si>
  <si>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</si>
  <si>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</si>
  <si>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</si>
  <si>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</si>
  <si>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</si>
  <si>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</si>
  <si>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</si>
  <si>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</si>
  <si>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</si>
  <si>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</si>
  <si>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</si>
  <si>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</si>
  <si>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</si>
  <si>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</si>
  <si>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</si>
  <si>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</si>
  <si>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</si>
  <si>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</si>
  <si>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</si>
  <si>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</si>
  <si>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</si>
  <si>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</si>
  <si>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</si>
  <si>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</si>
  <si>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</si>
  <si>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</si>
  <si>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</si>
  <si>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</si>
  <si>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</si>
  <si>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</si>
  <si>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</si>
  <si>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</si>
  <si>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</si>
  <si>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</si>
  <si>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</si>
  <si>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</si>
  <si>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</si>
  <si>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</si>
  <si>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</si>
  <si>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</si>
  <si>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</si>
  <si>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</si>
  <si>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</si>
  <si>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</si>
  <si>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</si>
  <si>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</si>
  <si>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</si>
  <si>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</si>
  <si>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</si>
  <si>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</si>
  <si>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</si>
  <si>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</si>
  <si>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</si>
  <si>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</si>
  <si>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</si>
  <si>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</si>
  <si>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</si>
  <si>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</si>
  <si>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</si>
  <si>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</si>
  <si>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</si>
  <si>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</si>
  <si>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</si>
  <si>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</si>
  <si>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</si>
  <si>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</si>
  <si>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</si>
  <si>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</si>
  <si>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</si>
  <si>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</si>
  <si>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</si>
  <si>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</si>
  <si>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</si>
  <si>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</si>
  <si>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</si>
  <si>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</si>
  <si>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</si>
  <si>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</si>
  <si>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</si>
  <si>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</si>
  <si>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</si>
  <si>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</si>
  <si>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</si>
  <si>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</si>
  <si>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</si>
  <si>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</si>
  <si>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</si>
  <si>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</si>
  <si>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</si>
  <si>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</si>
  <si>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</si>
  <si>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</si>
  <si>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</si>
  <si>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</si>
  <si>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</si>
  <si>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</si>
  <si>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</si>
  <si>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</si>
  <si>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</si>
  <si>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</si>
  <si>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</si>
  <si>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</si>
  <si>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</si>
  <si>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</si>
  <si>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</si>
  <si>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</si>
  <si>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</si>
  <si>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</si>
  <si>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</si>
  <si>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</si>
  <si>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</si>
  <si>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</si>
  <si>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</si>
  <si>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</si>
  <si>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</si>
  <si>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</si>
  <si>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</si>
  <si>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</si>
  <si>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</si>
  <si>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</si>
  <si>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</si>
  <si>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</si>
  <si>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</si>
  <si>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</si>
  <si>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</si>
  <si>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</si>
  <si>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</si>
  <si>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</si>
  <si>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</si>
  <si>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</si>
  <si>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</si>
  <si>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</si>
  <si>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</si>
  <si>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</si>
  <si>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</si>
  <si>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</si>
  <si>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</si>
  <si>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</si>
  <si>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</si>
  <si>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</si>
  <si>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</si>
  <si>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</si>
  <si>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</si>
  <si>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</si>
  <si>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</si>
  <si>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</si>
  <si>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</si>
  <si>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</si>
  <si>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</si>
  <si>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</si>
  <si>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</si>
  <si>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</si>
  <si>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</si>
  <si>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</si>
  <si>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</si>
  <si>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</si>
  <si>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</si>
  <si>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</si>
  <si>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</si>
  <si>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</si>
  <si>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</si>
  <si>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</si>
  <si>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</si>
  <si>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</si>
  <si>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</si>
  <si>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</si>
  <si>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</si>
  <si>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</si>
  <si>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</si>
  <si>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</si>
  <si>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</si>
  <si>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</si>
  <si>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</si>
  <si>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</si>
  <si>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</si>
  <si>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</si>
  <si>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</si>
  <si>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</si>
  <si>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</si>
  <si>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</si>
  <si>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</si>
  <si>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</si>
  <si>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</si>
  <si>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</si>
  <si>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</si>
  <si>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</si>
  <si>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</si>
  <si>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</si>
  <si>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</si>
  <si>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</si>
  <si>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</si>
  <si>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</si>
  <si>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</si>
  <si>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</si>
  <si>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</si>
  <si>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</si>
  <si>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</si>
  <si>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</si>
  <si>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</si>
  <si>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</si>
  <si>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</si>
  <si>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</si>
  <si>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</si>
  <si>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</si>
  <si>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</si>
  <si>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</si>
  <si>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</si>
  <si>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</si>
  <si>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</si>
  <si>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</si>
  <si>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</si>
  <si>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</si>
  <si>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</si>
  <si>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</si>
  <si>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</si>
  <si>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</si>
  <si>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</si>
  <si>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</si>
  <si>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</si>
  <si>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</si>
  <si>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</si>
  <si>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</si>
  <si>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</si>
  <si>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</si>
  <si>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</si>
  <si>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</si>
  <si>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</si>
  <si>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</si>
  <si>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</si>
  <si>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</si>
  <si>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</si>
  <si>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</si>
  <si>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</si>
  <si>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</si>
  <si>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</si>
  <si>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</si>
  <si>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</si>
  <si>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</si>
  <si>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</si>
  <si>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</si>
  <si>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</si>
  <si>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</si>
  <si>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</si>
  <si>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</si>
  <si>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</si>
  <si>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</si>
  <si>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</si>
  <si>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</si>
  <si>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</si>
  <si>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</si>
  <si>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</si>
  <si>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</si>
  <si>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</si>
  <si>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</si>
  <si>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</si>
  <si>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</si>
  <si>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</si>
  <si>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</si>
  <si>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</si>
  <si>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</si>
  <si>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</si>
  <si>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</si>
  <si>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</si>
  <si>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</si>
  <si>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</si>
  <si>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</si>
  <si>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</si>
  <si>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</si>
  <si>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</si>
  <si>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</si>
  <si>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</si>
  <si>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</si>
  <si>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</si>
  <si>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</si>
  <si>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</si>
  <si>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</si>
  <si>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</si>
  <si>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</si>
  <si>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</si>
  <si>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</si>
  <si>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</si>
  <si>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</si>
  <si>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</si>
  <si>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</si>
  <si>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</si>
  <si>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</si>
  <si>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</si>
  <si>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</si>
  <si>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</si>
  <si>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</si>
  <si>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</si>
  <si>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</si>
  <si>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</si>
  <si>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</si>
  <si>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</si>
  <si>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</si>
  <si>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</si>
  <si>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</si>
  <si>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</si>
  <si>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</si>
  <si>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</si>
  <si>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</si>
  <si>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</si>
  <si>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</si>
  <si>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</si>
  <si>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</si>
  <si>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</si>
  <si>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</si>
  <si>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</si>
  <si>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</si>
  <si>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</si>
  <si>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</si>
  <si>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</si>
  <si>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</si>
  <si>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</si>
  <si>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</si>
  <si>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</si>
  <si>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</si>
  <si>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</si>
  <si>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</si>
  <si>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</si>
  <si>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</si>
  <si>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</si>
  <si>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</si>
  <si>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</si>
  <si>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</si>
  <si>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</si>
  <si>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</si>
  <si>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</si>
  <si>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</si>
  <si>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</si>
  <si>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</si>
  <si>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</si>
  <si>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</si>
  <si>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</si>
  <si>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</si>
  <si>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</si>
  <si>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</si>
  <si>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</si>
  <si>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</si>
  <si>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</si>
  <si>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</si>
  <si>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</si>
  <si>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</si>
  <si>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</si>
  <si>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</si>
  <si>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</si>
  <si>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</si>
  <si>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</si>
  <si>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</si>
  <si>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</si>
  <si>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</si>
  <si>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</si>
  <si>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</si>
  <si>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</si>
  <si>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</si>
  <si>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</si>
  <si>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</si>
  <si>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</si>
  <si>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</si>
  <si>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</si>
  <si>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</si>
  <si>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</si>
  <si>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</si>
  <si>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</si>
  <si>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</si>
  <si>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</si>
  <si>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</si>
  <si>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</si>
  <si>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</si>
  <si>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</si>
  <si>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</si>
  <si>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</si>
  <si>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</si>
  <si>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</si>
  <si>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</si>
  <si>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</si>
  <si>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</si>
  <si>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</si>
  <si>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</si>
  <si>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</si>
  <si>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</si>
  <si>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</si>
  <si>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</si>
  <si>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</si>
  <si>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</si>
  <si>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</si>
  <si>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</si>
  <si>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</si>
  <si>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</si>
  <si>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</si>
  <si>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</si>
  <si>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</si>
  <si>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</si>
  <si>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</si>
  <si>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</si>
  <si>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</si>
  <si>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</si>
  <si>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</si>
  <si>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</si>
  <si>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</si>
  <si>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</si>
  <si>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</si>
  <si>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</si>
  <si>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</si>
  <si>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</si>
  <si>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</si>
  <si>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</si>
  <si>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</si>
  <si>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</si>
  <si>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</si>
  <si>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</si>
  <si>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</si>
  <si>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</si>
  <si>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</si>
  <si>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</si>
  <si>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</si>
  <si>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</si>
  <si>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</si>
  <si>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</si>
  <si>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</si>
  <si>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</si>
  <si>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</si>
  <si>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</si>
  <si>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</si>
  <si>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</si>
  <si>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</si>
  <si>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</si>
  <si>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</si>
  <si>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</si>
  <si>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</si>
  <si>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</si>
  <si>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</si>
  <si>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</si>
  <si>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</si>
  <si>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</si>
  <si>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</si>
  <si>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</si>
  <si>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</si>
  <si>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</si>
  <si>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</si>
  <si>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</si>
  <si>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</si>
  <si>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</si>
  <si>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</si>
  <si>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</si>
  <si>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</si>
  <si>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</si>
  <si>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</si>
  <si>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</si>
  <si>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</si>
  <si>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</si>
  <si>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</si>
  <si>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</si>
  <si>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</si>
  <si>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</si>
  <si>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</si>
  <si>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</si>
  <si>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</si>
  <si>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</si>
  <si>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</si>
  <si>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</si>
  <si>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</si>
  <si>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</si>
  <si>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</si>
  <si>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</si>
  <si>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</si>
  <si>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</si>
  <si>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</si>
  <si>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</si>
  <si>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</si>
  <si>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</si>
  <si>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</si>
  <si>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</si>
  <si>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</si>
  <si>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</si>
  <si>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</si>
  <si>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</si>
  <si>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</si>
  <si>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</si>
  <si>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</si>
  <si>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</si>
  <si>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</si>
  <si>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</si>
  <si>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</si>
  <si>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</si>
  <si>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</si>
  <si>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</si>
  <si>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</si>
  <si>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</si>
  <si>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</si>
  <si>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</si>
  <si>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</si>
  <si>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</si>
  <si>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</si>
  <si>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</si>
  <si>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</si>
  <si>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</si>
  <si>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</si>
  <si>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</si>
  <si>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</si>
  <si>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</si>
  <si>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</si>
  <si>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</si>
  <si>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</si>
  <si>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</si>
  <si>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</si>
  <si>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</si>
  <si>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</si>
  <si>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</si>
  <si>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</si>
  <si>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</si>
  <si>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</si>
  <si>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</si>
  <si>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</si>
  <si>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</si>
  <si>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</si>
  <si>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</si>
  <si>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</si>
  <si>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</si>
  <si>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</si>
  <si>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</si>
  <si>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</si>
  <si>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</si>
  <si>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</si>
  <si>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</si>
  <si>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</si>
  <si>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</si>
  <si>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</si>
  <si>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</si>
  <si>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</si>
  <si>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</si>
  <si>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</si>
  <si>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</si>
  <si>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</si>
  <si>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</si>
  <si>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</si>
  <si>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</si>
  <si>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</si>
  <si>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</si>
  <si>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</si>
  <si>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</si>
  <si>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</si>
  <si>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</si>
  <si>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</si>
  <si>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</si>
  <si>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</si>
  <si>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</si>
  <si>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</si>
  <si>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</si>
  <si>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</si>
  <si>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</si>
  <si>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</si>
  <si>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</si>
  <si>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</si>
  <si>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</si>
  <si>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</si>
  <si>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</si>
  <si>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</si>
  <si>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</si>
  <si>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</si>
  <si>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</si>
  <si>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</si>
  <si>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</si>
  <si>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</si>
  <si>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</si>
  <si>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</si>
  <si>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</si>
  <si>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</si>
  <si>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</si>
  <si>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</si>
  <si>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</si>
  <si>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</si>
  <si>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</si>
  <si>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</si>
  <si>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</si>
  <si>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</si>
  <si>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</si>
  <si>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</si>
  <si>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</si>
  <si>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</si>
  <si>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</si>
  <si>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</si>
  <si>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</si>
  <si>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</si>
  <si>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</si>
  <si>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</si>
  <si>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</si>
  <si>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</si>
  <si>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</si>
  <si>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</si>
  <si>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</si>
  <si>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</si>
  <si>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</si>
  <si>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</si>
  <si>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</si>
  <si>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</si>
  <si>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</si>
  <si>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</si>
  <si>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</si>
  <si>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</si>
  <si>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</si>
  <si>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</si>
  <si>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</si>
  <si>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</si>
  <si>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</si>
  <si>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</si>
  <si>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</si>
  <si>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</si>
  <si>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</si>
  <si>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</si>
  <si>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</si>
  <si>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</si>
  <si>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</si>
  <si>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</si>
  <si>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</si>
  <si>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</si>
  <si>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</si>
  <si>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</si>
  <si>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</si>
  <si>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</si>
  <si>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</si>
  <si>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</si>
  <si>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</si>
  <si>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</si>
  <si>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</si>
  <si>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</si>
  <si>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</si>
  <si>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</si>
  <si>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</si>
  <si>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</si>
  <si>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</si>
  <si>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</si>
  <si>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</si>
  <si>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</si>
  <si>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</si>
  <si>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</si>
  <si>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</si>
  <si>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</si>
  <si>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</si>
  <si>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</si>
  <si>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</si>
  <si>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</si>
  <si>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</si>
  <si>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</si>
  <si>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</si>
  <si>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</si>
  <si>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</si>
  <si>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</si>
  <si>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</si>
  <si>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</si>
  <si>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</si>
  <si>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</si>
  <si>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</si>
  <si>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</si>
  <si>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</si>
  <si>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</si>
  <si>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</si>
  <si>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</si>
  <si>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</si>
  <si>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</si>
  <si>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</si>
  <si>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</si>
  <si>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</si>
  <si>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</si>
  <si>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</si>
  <si>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</si>
  <si>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</si>
  <si>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</si>
  <si>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</si>
  <si>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</si>
  <si>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</si>
  <si>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</si>
  <si>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</si>
  <si>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</si>
  <si>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</si>
  <si>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</si>
  <si>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</si>
  <si>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</si>
  <si>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</si>
  <si>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</si>
  <si>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</si>
  <si>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</si>
  <si>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</si>
  <si>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</si>
  <si>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</si>
  <si>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</si>
  <si>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</si>
  <si>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</si>
  <si>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</si>
  <si>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</si>
  <si>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</si>
  <si>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</si>
  <si>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</si>
  <si>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</si>
  <si>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</si>
  <si>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</si>
  <si>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</si>
  <si>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</si>
  <si>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</si>
  <si>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</si>
  <si>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</si>
  <si>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</si>
  <si>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</si>
  <si>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</si>
  <si>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</si>
  <si>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</si>
  <si>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</si>
  <si>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</si>
  <si>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</si>
  <si>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</si>
  <si>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</si>
  <si>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</si>
  <si>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</si>
  <si>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</si>
  <si>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</si>
  <si>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</si>
  <si>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</si>
  <si>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</si>
  <si>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</si>
  <si>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</si>
  <si>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</si>
  <si>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</si>
  <si>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</si>
  <si>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</si>
  <si>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</si>
  <si>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</si>
  <si>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</si>
  <si>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</si>
  <si>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</si>
  <si>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</si>
  <si>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</si>
  <si>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</si>
  <si>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</si>
  <si>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</si>
  <si>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</si>
  <si>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</si>
  <si>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</si>
  <si>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</si>
  <si>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</si>
  <si>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</si>
  <si>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</si>
  <si>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</si>
  <si>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</si>
  <si>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</si>
  <si>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</si>
  <si>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</si>
  <si>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</si>
  <si>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</si>
  <si>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</si>
  <si>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</si>
  <si>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</si>
  <si>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</si>
  <si>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</si>
  <si>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</si>
  <si>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</si>
  <si>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</si>
  <si>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</si>
  <si>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</si>
  <si>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</si>
  <si>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</si>
  <si>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</si>
  <si>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</si>
  <si>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</si>
  <si>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</si>
  <si>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</si>
  <si>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</si>
  <si>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</si>
  <si>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</si>
  <si>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</si>
  <si>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</si>
  <si>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</si>
  <si>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</si>
  <si>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</si>
  <si>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</si>
  <si>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</si>
  <si>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</si>
  <si>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</si>
  <si>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</si>
  <si>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</si>
  <si>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</si>
  <si>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</si>
  <si>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</si>
  <si>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</si>
  <si>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</si>
  <si>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</si>
  <si>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</si>
  <si>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</si>
  <si>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</si>
  <si>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</si>
  <si>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</si>
  <si>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</si>
  <si>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</si>
  <si>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</si>
  <si>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</si>
  <si>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</si>
  <si>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</si>
  <si>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</si>
  <si>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</si>
  <si>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</si>
  <si>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</si>
  <si>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</si>
  <si>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</si>
  <si>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</si>
  <si>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</si>
  <si>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</si>
  <si>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</si>
  <si>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</si>
  <si>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</si>
  <si>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</si>
  <si>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</si>
  <si>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</si>
  <si>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</si>
  <si>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</si>
  <si>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</si>
  <si>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</si>
  <si>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</si>
  <si>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</si>
  <si>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</si>
  <si>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</si>
  <si>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</si>
  <si>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</si>
  <si>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</si>
  <si>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</si>
  <si>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</si>
  <si>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</si>
  <si>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</si>
  <si>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</si>
  <si>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</si>
  <si>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</si>
  <si>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</si>
  <si>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</si>
  <si>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</si>
  <si>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</si>
  <si>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</si>
  <si>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</si>
  <si>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</si>
  <si>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</si>
  <si>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</si>
  <si>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</si>
  <si>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</si>
  <si>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</si>
  <si>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</si>
  <si>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</si>
  <si>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</si>
  <si>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</si>
  <si>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</si>
  <si>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</si>
  <si>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</si>
  <si>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</si>
  <si>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</si>
  <si>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</si>
  <si>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</si>
  <si>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</si>
  <si>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</si>
  <si>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</si>
  <si>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</si>
  <si>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</si>
  <si>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</si>
  <si>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</si>
  <si>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</si>
  <si>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</si>
  <si>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</si>
  <si>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</si>
  <si>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</si>
  <si>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</si>
  <si>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</si>
  <si>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</si>
  <si>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</si>
  <si>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</si>
  <si>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</si>
  <si>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</si>
  <si>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</si>
  <si>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</si>
  <si>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</si>
  <si>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</si>
  <si>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</si>
  <si>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</si>
  <si>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</si>
  <si>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</si>
  <si>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</si>
  <si>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</si>
  <si>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</si>
  <si>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</si>
  <si>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</si>
  <si>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</si>
  <si>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</si>
  <si>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</si>
  <si>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</si>
  <si>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</si>
  <si>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</si>
  <si>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</si>
  <si>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</si>
  <si>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</si>
  <si>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</si>
  <si>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</si>
  <si>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</si>
  <si>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</si>
  <si>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</si>
  <si>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</si>
  <si>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</si>
  <si>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</si>
  <si>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</si>
  <si>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</si>
  <si>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</si>
  <si>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</si>
  <si>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</si>
  <si>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</si>
  <si>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</si>
  <si>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</si>
  <si>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</si>
  <si>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</si>
  <si>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</si>
  <si>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</si>
  <si>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</si>
  <si>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</si>
  <si>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</si>
  <si>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</si>
  <si>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</si>
  <si>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</si>
  <si>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</si>
  <si>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</si>
  <si>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</si>
  <si>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</si>
  <si>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</si>
  <si>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</si>
  <si>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</si>
  <si>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</si>
  <si>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</si>
  <si>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</si>
  <si>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</si>
  <si>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</si>
  <si>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</si>
  <si>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</si>
  <si>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</si>
  <si>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</si>
  <si>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</si>
  <si>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</si>
  <si>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</si>
  <si>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</si>
  <si>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</si>
  <si>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</si>
  <si>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</si>
  <si>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</si>
  <si>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</si>
  <si>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</si>
  <si>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</si>
  <si>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</si>
  <si>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</si>
  <si>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</si>
  <si>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</si>
  <si>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</si>
  <si>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</si>
  <si>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</si>
  <si>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</si>
  <si>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</si>
  <si>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</si>
  <si>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</si>
  <si>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</si>
  <si>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</si>
  <si>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</si>
  <si>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</si>
  <si>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</si>
  <si>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</si>
  <si>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</si>
  <si>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</si>
  <si>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</si>
  <si>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</si>
  <si>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</si>
  <si>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</si>
  <si>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</si>
  <si>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</si>
  <si>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</si>
  <si>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</si>
  <si>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</si>
  <si>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</si>
  <si>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</si>
  <si>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</si>
  <si>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</si>
  <si>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</si>
  <si>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</si>
  <si>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</si>
  <si>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</si>
  <si>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</si>
  <si>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</si>
  <si>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</si>
  <si>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</si>
  <si>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</si>
  <si>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</si>
  <si>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</si>
  <si>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</si>
  <si>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</si>
  <si>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</si>
  <si>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</si>
  <si>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</si>
  <si>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</si>
  <si>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</si>
  <si>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</si>
  <si>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</si>
  <si>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</si>
  <si>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</si>
  <si>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</si>
  <si>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</si>
  <si>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</si>
  <si>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</si>
  <si>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</si>
  <si>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</si>
  <si>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</si>
  <si>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</si>
  <si>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</si>
  <si>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</si>
  <si>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</si>
  <si>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</si>
  <si>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</si>
  <si>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</si>
  <si>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</si>
  <si>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</si>
  <si>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</si>
  <si>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</si>
  <si>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</si>
  <si>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</si>
  <si>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</si>
  <si>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</si>
  <si>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</si>
  <si>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</si>
  <si>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</si>
  <si>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</si>
  <si>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</si>
  <si>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</si>
  <si>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</si>
  <si>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</si>
  <si>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</si>
  <si>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</si>
  <si>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</si>
  <si>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</si>
  <si>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</si>
  <si>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</si>
  <si>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</si>
  <si>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</si>
  <si>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</si>
  <si>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</si>
  <si>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</si>
  <si>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</si>
  <si>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</si>
  <si>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</si>
  <si>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</si>
  <si>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</si>
  <si>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</si>
  <si>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</si>
  <si>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</si>
  <si>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</si>
  <si>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</si>
  <si>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</si>
  <si>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</si>
  <si>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</si>
  <si>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</si>
  <si>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</si>
  <si>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</si>
  <si>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</si>
  <si>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</si>
  <si>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</si>
  <si>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</si>
  <si>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</si>
  <si>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</si>
  <si>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</si>
  <si>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</si>
  <si>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</si>
  <si>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</si>
  <si>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</si>
  <si>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</si>
  <si>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</si>
  <si>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</si>
  <si>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</si>
  <si>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</si>
  <si>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</si>
  <si>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</si>
  <si>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</si>
  <si>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</si>
  <si>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</si>
  <si>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</si>
  <si>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</si>
  <si>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</si>
  <si>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</si>
  <si>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</si>
  <si>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</si>
  <si>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</si>
  <si>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</si>
  <si>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</si>
  <si>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</si>
  <si>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</si>
  <si>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</si>
  <si>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</si>
  <si>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</si>
  <si>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</si>
  <si>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</si>
  <si>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</si>
  <si>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</si>
  <si>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</si>
  <si>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</si>
  <si>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</si>
  <si>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</si>
  <si>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</si>
  <si>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</si>
  <si>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</si>
  <si>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</si>
  <si>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</si>
  <si>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</si>
  <si>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</si>
  <si>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</si>
  <si>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</si>
  <si>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</si>
  <si>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</si>
  <si>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</si>
  <si>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</si>
  <si>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</si>
  <si>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</si>
  <si>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</si>
  <si>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</si>
  <si>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</si>
  <si>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</si>
  <si>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</si>
  <si>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</si>
  <si>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</si>
  <si>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</si>
  <si>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</si>
  <si>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</si>
  <si>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</si>
  <si>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</si>
  <si>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</si>
  <si>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</si>
  <si>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</si>
  <si>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</si>
  <si>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</si>
  <si>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</si>
  <si>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</si>
  <si>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</si>
  <si>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</si>
  <si>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</si>
  <si>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</si>
  <si>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</si>
  <si>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</si>
  <si>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</si>
  <si>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</si>
  <si>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</si>
  <si>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</si>
  <si>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</si>
  <si>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</si>
  <si>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</si>
  <si>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</si>
  <si>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</si>
  <si>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</si>
  <si>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</si>
  <si>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</si>
  <si>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</si>
  <si>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</si>
  <si>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</si>
  <si>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</si>
  <si>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</si>
  <si>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</si>
  <si>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</si>
  <si>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</si>
  <si>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</si>
  <si>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</si>
  <si>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</si>
  <si>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</si>
  <si>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</si>
  <si>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</si>
  <si>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</si>
  <si>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</si>
  <si>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</si>
  <si>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</si>
  <si>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</si>
  <si>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</si>
  <si>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</si>
  <si>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</si>
  <si>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</si>
  <si>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</si>
  <si>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</si>
  <si>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</si>
  <si>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</si>
  <si>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</si>
  <si>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</si>
  <si>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</si>
  <si>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</si>
  <si>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</si>
  <si>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</si>
  <si>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</si>
  <si>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</si>
  <si>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</si>
  <si>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</si>
  <si>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</si>
  <si>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</si>
  <si>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</si>
  <si>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</si>
  <si>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</si>
  <si>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</si>
  <si>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</si>
  <si>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</si>
  <si>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</si>
  <si>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</si>
  <si>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</si>
  <si>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</si>
  <si>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</si>
  <si>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</si>
  <si>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</si>
  <si>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</si>
  <si>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</si>
  <si>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</si>
  <si>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</si>
  <si>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</si>
  <si>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</si>
  <si>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</si>
  <si>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</si>
  <si>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</si>
  <si>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</si>
  <si>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</si>
  <si>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</si>
  <si>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</si>
  <si>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</si>
  <si>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</si>
  <si>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</si>
  <si>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</si>
  <si>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</si>
  <si>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</si>
  <si>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</si>
  <si>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</si>
  <si>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</si>
  <si>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</si>
  <si>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</si>
  <si>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</si>
  <si>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</si>
  <si>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</si>
  <si>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</si>
  <si>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</si>
  <si>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</si>
  <si>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</si>
  <si>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</si>
  <si>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</si>
  <si>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</si>
  <si>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</si>
  <si>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</si>
  <si>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</si>
  <si>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</si>
  <si>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</si>
  <si>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</si>
  <si>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</si>
  <si>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</si>
  <si>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</si>
  <si>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</si>
  <si>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</si>
  <si>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</si>
  <si>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</si>
  <si>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</si>
  <si>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</si>
  <si>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</si>
  <si>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</si>
  <si>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</si>
  <si>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</si>
  <si>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</si>
  <si>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</si>
  <si>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</si>
  <si>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</si>
  <si>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</si>
  <si>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</si>
  <si>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</si>
  <si>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</si>
  <si>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</si>
  <si>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</si>
  <si>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</si>
  <si>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</si>
  <si>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</si>
  <si>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</si>
  <si>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</si>
  <si>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</si>
  <si>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</si>
  <si>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</si>
  <si>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</si>
  <si>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</si>
  <si>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</si>
  <si>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</si>
  <si>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</si>
  <si>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</si>
  <si>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</si>
  <si>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</si>
  <si>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</si>
  <si>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</si>
  <si>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</si>
  <si>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</si>
  <si>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</si>
  <si>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</si>
  <si>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</si>
  <si>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</si>
  <si>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</si>
  <si>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</si>
  <si>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</si>
  <si>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</si>
  <si>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</si>
  <si>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</si>
  <si>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</si>
  <si>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</si>
  <si>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</si>
  <si>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</si>
  <si>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</si>
  <si>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</si>
  <si>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</si>
  <si>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</si>
  <si>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</si>
  <si>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</si>
  <si>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</si>
  <si>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</si>
  <si>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</si>
  <si>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</si>
  <si>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</si>
  <si>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</si>
  <si>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</si>
  <si>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</si>
  <si>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</si>
  <si>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</si>
  <si>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</si>
  <si>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</si>
  <si>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</si>
  <si>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</si>
  <si>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</si>
  <si>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</si>
  <si>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</si>
  <si>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</si>
  <si>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</si>
  <si>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</si>
  <si>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</si>
  <si>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</si>
  <si>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</si>
  <si>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</si>
  <si>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</si>
  <si>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</si>
  <si>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</si>
  <si>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</si>
  <si>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</si>
  <si>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</si>
  <si>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</si>
  <si>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</si>
  <si>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</si>
  <si>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</si>
  <si>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</si>
  <si>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</si>
  <si>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</si>
  <si>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</si>
  <si>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</si>
  <si>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</si>
  <si>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</si>
  <si>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</si>
  <si>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</si>
  <si>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</si>
  <si>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</si>
  <si>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</si>
  <si>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</si>
  <si>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</si>
  <si>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</si>
  <si>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</si>
  <si>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</si>
  <si>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</si>
  <si>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</si>
  <si>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</si>
  <si>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</si>
  <si>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</si>
  <si>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</si>
  <si>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</si>
  <si>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</si>
  <si>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</si>
  <si>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</si>
  <si>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</si>
  <si>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</si>
  <si>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</si>
  <si>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</si>
  <si>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</si>
  <si>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</si>
  <si>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</si>
  <si>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</si>
  <si>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</si>
  <si>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</si>
  <si>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</si>
  <si>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</si>
  <si>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</si>
  <si>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</si>
  <si>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</si>
  <si>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</si>
  <si>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</si>
  <si>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</si>
  <si>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</si>
  <si>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</si>
  <si>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</si>
  <si>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</si>
  <si>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</si>
  <si>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</si>
  <si>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</si>
  <si>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</si>
  <si>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</si>
  <si>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</si>
  <si>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</si>
  <si>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</si>
  <si>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</si>
  <si>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</si>
  <si>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</si>
  <si>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</si>
  <si>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</si>
  <si>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</si>
  <si>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</si>
  <si>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</si>
  <si>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</si>
  <si>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</si>
  <si>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</si>
  <si>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</si>
  <si>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</si>
  <si>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</si>
  <si>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</si>
  <si>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</si>
  <si>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</si>
  <si>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</si>
  <si>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</si>
  <si>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</si>
  <si>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</si>
  <si>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</si>
  <si>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</si>
  <si>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</si>
  <si>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</si>
  <si>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</si>
  <si>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</si>
  <si>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</si>
  <si>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</si>
  <si>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</si>
  <si>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</si>
  <si>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</si>
  <si>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</si>
  <si>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</si>
  <si>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</si>
  <si>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</si>
  <si>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</si>
  <si>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</si>
  <si>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</si>
  <si>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</si>
  <si>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</si>
  <si>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</si>
  <si>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</si>
  <si>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</si>
  <si>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</si>
  <si>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</si>
  <si>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</si>
  <si>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</si>
  <si>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</si>
  <si>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</si>
  <si>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</si>
  <si>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</si>
  <si>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</si>
  <si>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</si>
  <si>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</si>
  <si>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</si>
  <si>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</si>
  <si>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</si>
  <si>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</si>
  <si>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</si>
  <si>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</si>
  <si>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</si>
  <si>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</si>
  <si>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</si>
  <si>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</si>
  <si>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</si>
  <si>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</si>
  <si>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</si>
  <si>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</si>
  <si>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</si>
  <si>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</si>
  <si>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</si>
  <si>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</si>
  <si>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</si>
  <si>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</si>
  <si>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</si>
  <si>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</si>
  <si>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</si>
  <si>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</si>
  <si>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</si>
  <si>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</si>
  <si>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</si>
  <si>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</si>
  <si>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</si>
  <si>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</si>
  <si>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</si>
  <si>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</si>
  <si>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</si>
  <si>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</si>
  <si>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</si>
  <si>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</si>
  <si>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</si>
  <si>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</si>
  <si>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</si>
  <si>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</si>
  <si>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</si>
  <si>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</si>
  <si>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</si>
  <si>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</si>
  <si>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</si>
  <si>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</si>
  <si>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</si>
  <si>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</si>
  <si>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</si>
  <si>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</si>
  <si>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</si>
  <si>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</si>
  <si>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</si>
  <si>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</si>
  <si>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Jackson</t>
  </si>
  <si>
    <t>4033 S. Illinois Avenue</t>
  </si>
  <si>
    <t>Carbondale</t>
  </si>
  <si>
    <t>ljgross@up140.org</t>
  </si>
  <si>
    <t>Dr. Lori James-Gross</t>
  </si>
  <si>
    <t>618-529-4151</t>
  </si>
  <si>
    <t>618-529-4154</t>
  </si>
  <si>
    <t>Kujawa &amp; Batteau, P.C.</t>
  </si>
  <si>
    <t>Kevin Batteau</t>
  </si>
  <si>
    <t>309 S. Walnut St.</t>
  </si>
  <si>
    <t>Pinckneyville</t>
  </si>
  <si>
    <t>IL</t>
  </si>
  <si>
    <t>(618) 357-3000</t>
  </si>
  <si>
    <t>(618) 357-3654</t>
  </si>
  <si>
    <t>Qualified Zone Academy Bonds</t>
  </si>
  <si>
    <t>Working Cash Bonds 2014A Series</t>
  </si>
  <si>
    <t>Working Cash Bonds 2014B Series</t>
  </si>
  <si>
    <t>Alternate Revenue Bonds 2018A Series</t>
  </si>
  <si>
    <t>Alternate Revenue Bonds 2018B Series</t>
  </si>
  <si>
    <t>Page 24 the new bonds both had Bond Issue costs, Series 2018A $21,289 and Series 2018B $21,711.</t>
  </si>
  <si>
    <t>Tri County Special Education</t>
  </si>
  <si>
    <t>Giant City School- Special Education student to Unity Point</t>
  </si>
  <si>
    <t>Lunchrm Purch. Services</t>
  </si>
  <si>
    <t>10.2560.300</t>
  </si>
  <si>
    <t>Ameripride</t>
  </si>
  <si>
    <t>Lanter Company</t>
  </si>
  <si>
    <t>Page 15-24 10.2190.300 $11,476 and 10.2190.400 $12,370 activity fund purshcased services and supply.</t>
  </si>
  <si>
    <t>Page 15-24 10.2900.300 $41,035 is Insurance Premiums to PSIC</t>
  </si>
  <si>
    <t>Page 9-14 10.3999 $7,904 is Project Chance and Library Ser/Tech Grants</t>
  </si>
  <si>
    <t>Page 9-14 10.1792 $12,254 Fundraiser and T-shirt sales revenue.</t>
  </si>
  <si>
    <t>N/A</t>
  </si>
  <si>
    <t>Unity Point CCSD 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</si>
</sst>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598F42AC-51B2-45DD-88AE-3A3E2C1CCB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30039140004</v>
      </c>
      <c r="B13" s="2037"/>
      <c r="C13" s="2037"/>
      <c r="D13" s="2037"/>
      <c r="E13" s="2037"/>
      <c r="F13" s="2037"/>
      <c r="G13" s="2037"/>
      <c r="H13" s="2038"/>
      <c r="I13" s="31"/>
      <c r="J13" s="30"/>
      <c r="K13" s="28"/>
      <c r="L13" s="30"/>
      <c r="M13" s="30"/>
      <c r="N13" s="30"/>
      <c r="O13" s="30"/>
      <c r="P13" s="30"/>
      <c r="Q13" s="30"/>
      <c r="R13" s="30"/>
      <c r="S13" s="30"/>
      <c r="T13" s="2041" t="s">
        <v>2085</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2078</v>
      </c>
      <c r="B15" s="2039"/>
      <c r="C15" s="2039"/>
      <c r="D15" s="2039"/>
      <c r="E15" s="2039"/>
      <c r="F15" s="2039"/>
      <c r="G15" s="2039"/>
      <c r="H15" s="2040"/>
      <c r="T15" s="2045" t="s">
        <v>2086</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2109</v>
      </c>
      <c r="B17" s="1996"/>
      <c r="C17" s="1996"/>
      <c r="D17" s="1996"/>
      <c r="E17" s="1996"/>
      <c r="F17" s="1996"/>
      <c r="G17" s="1996"/>
      <c r="H17" s="2021"/>
      <c r="T17" s="2052" t="s">
        <v>2087</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2079</v>
      </c>
      <c r="B19" s="1981"/>
      <c r="C19" s="1981"/>
      <c r="D19" s="1981"/>
      <c r="E19" s="1981"/>
      <c r="F19" s="1981"/>
      <c r="G19" s="1981"/>
      <c r="H19" s="1961"/>
      <c r="I19" s="30"/>
      <c r="J19" s="99"/>
      <c r="K19" s="40"/>
      <c r="L19" s="38"/>
      <c r="M19" s="112" t="s">
        <v>333</v>
      </c>
      <c r="P19" s="27"/>
      <c r="Q19" s="27"/>
      <c r="R19" s="27"/>
      <c r="S19" s="31"/>
      <c r="T19" s="2035" t="s">
        <v>2088</v>
      </c>
      <c r="U19" s="1960"/>
      <c r="V19" s="1960"/>
      <c r="W19" s="1961"/>
      <c r="X19" s="2050" t="s">
        <v>2089</v>
      </c>
      <c r="Y19" s="2051"/>
      <c r="Z19" s="2048">
        <v>62274</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2080</v>
      </c>
      <c r="B21" s="1960"/>
      <c r="C21" s="1960"/>
      <c r="D21" s="1960"/>
      <c r="E21" s="1960"/>
      <c r="F21" s="1960"/>
      <c r="G21" s="1960"/>
      <c r="H21" s="1961"/>
      <c r="I21" s="2015" t="s">
        <v>699</v>
      </c>
      <c r="J21" s="2010"/>
      <c r="K21" s="2010"/>
      <c r="L21" s="2010"/>
      <c r="M21" s="2010"/>
      <c r="N21" s="2010"/>
      <c r="O21" s="2010"/>
      <c r="P21" s="2010"/>
      <c r="Q21" s="2010"/>
      <c r="R21" s="2010"/>
      <c r="S21" s="2016"/>
      <c r="T21" s="2059" t="s">
        <v>2090</v>
      </c>
      <c r="U21" s="2060"/>
      <c r="V21" s="2060"/>
      <c r="W21" s="2060"/>
      <c r="X21" s="2065" t="s">
        <v>2091</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2081</v>
      </c>
      <c r="B23" s="2013"/>
      <c r="C23" s="2013"/>
      <c r="D23" s="2013"/>
      <c r="E23" s="2013"/>
      <c r="F23" s="2013"/>
      <c r="G23" s="2013"/>
      <c r="H23" s="2014"/>
      <c r="T23" s="1995">
        <v>65.028419999999997</v>
      </c>
      <c r="U23" s="2058"/>
      <c r="V23" s="2058"/>
      <c r="W23" s="2058"/>
      <c r="X23" s="2062">
        <v>44469</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62903</v>
      </c>
      <c r="B25" s="1960"/>
      <c r="C25" s="1960"/>
      <c r="D25" s="1960"/>
      <c r="E25" s="1960"/>
      <c r="F25" s="1960"/>
      <c r="G25" s="1960"/>
      <c r="H25" s="1961"/>
      <c r="I25" s="113"/>
      <c r="J25" s="1984"/>
      <c r="K25" s="1984"/>
      <c r="L25" s="1984"/>
      <c r="M25" s="1984"/>
      <c r="N25" s="1984"/>
      <c r="O25" s="1984"/>
      <c r="P25" s="1984"/>
      <c r="Q25" s="1984"/>
      <c r="R25" s="1984"/>
      <c r="S25" s="1985"/>
      <c r="T25" s="2055"/>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2082</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2081</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2083</v>
      </c>
      <c r="B42" s="1979"/>
      <c r="C42" s="1980"/>
      <c r="D42" s="1978" t="s">
        <v>2084</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&amp;L&amp;8"The notes are an integral part of these statements"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6" sqref="F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1214816</v>
      </c>
      <c r="C4" s="1546"/>
      <c r="D4" s="1774">
        <f>B4-C4</f>
        <v>1214816</v>
      </c>
      <c r="E4" s="1546">
        <v>1226990.57</v>
      </c>
      <c r="F4" s="1774">
        <f>E4-C4</f>
        <v>1226990.57</v>
      </c>
    </row>
    <row r="5" spans="1:6" ht="13.7" customHeight="1" x14ac:dyDescent="0.2">
      <c r="A5" s="716" t="s">
        <v>925</v>
      </c>
      <c r="B5" s="1772">
        <f>'Revenues 9-14'!D5</f>
        <v>273006</v>
      </c>
      <c r="C5" s="585"/>
      <c r="D5" s="1775">
        <f t="shared" ref="D5:D18" si="0">B5-C5</f>
        <v>273006</v>
      </c>
      <c r="E5" s="585">
        <v>285000.40999999997</v>
      </c>
      <c r="F5" s="1775">
        <f>E5-C5</f>
        <v>285000.40999999997</v>
      </c>
    </row>
    <row r="6" spans="1:6" ht="13.7" customHeight="1" x14ac:dyDescent="0.2">
      <c r="A6" s="716" t="s">
        <v>431</v>
      </c>
      <c r="B6" s="1772">
        <f>'Revenues 9-14'!E5</f>
        <v>113298</v>
      </c>
      <c r="C6" s="585"/>
      <c r="D6" s="1775">
        <f t="shared" si="0"/>
        <v>113298</v>
      </c>
      <c r="E6" s="585">
        <v>115767.83</v>
      </c>
      <c r="F6" s="1775">
        <f t="shared" ref="F6:F18" si="1">E6-C6</f>
        <v>115767.83</v>
      </c>
    </row>
    <row r="7" spans="1:6" ht="13.7" customHeight="1" x14ac:dyDescent="0.2">
      <c r="A7" s="716" t="s">
        <v>157</v>
      </c>
      <c r="B7" s="1772">
        <f>'Revenues 9-14'!F5</f>
        <v>84386</v>
      </c>
      <c r="C7" s="585"/>
      <c r="D7" s="1775">
        <f t="shared" si="0"/>
        <v>84386</v>
      </c>
      <c r="E7" s="585">
        <v>90002.5</v>
      </c>
      <c r="F7" s="1775">
        <f t="shared" si="1"/>
        <v>90002.5</v>
      </c>
    </row>
    <row r="8" spans="1:6" ht="13.7" customHeight="1" x14ac:dyDescent="0.2">
      <c r="A8" s="716" t="s">
        <v>1241</v>
      </c>
      <c r="B8" s="1772">
        <f>'Revenues 9-14'!G5</f>
        <v>84386</v>
      </c>
      <c r="C8" s="585"/>
      <c r="D8" s="1775">
        <f t="shared" si="0"/>
        <v>84386</v>
      </c>
      <c r="E8" s="585">
        <v>95002.64</v>
      </c>
      <c r="F8" s="1775">
        <f t="shared" si="1"/>
        <v>95002.64</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35998</v>
      </c>
      <c r="C10" s="585"/>
      <c r="D10" s="1775">
        <f t="shared" si="0"/>
        <v>35998</v>
      </c>
      <c r="E10" s="585">
        <v>37482.300000000003</v>
      </c>
      <c r="F10" s="1775">
        <f t="shared" si="1"/>
        <v>37482.300000000003</v>
      </c>
    </row>
    <row r="11" spans="1:6" x14ac:dyDescent="0.2">
      <c r="A11" s="716" t="s">
        <v>429</v>
      </c>
      <c r="B11" s="1772">
        <f>'Revenues 9-14'!J5</f>
        <v>0</v>
      </c>
      <c r="C11" s="585"/>
      <c r="D11" s="1775">
        <f t="shared" si="0"/>
        <v>0</v>
      </c>
      <c r="E11" s="585">
        <v>0</v>
      </c>
      <c r="F11" s="1775">
        <f t="shared" si="1"/>
        <v>0</v>
      </c>
    </row>
    <row r="12" spans="1:6" ht="13.7" customHeight="1" x14ac:dyDescent="0.2">
      <c r="A12" s="716" t="s">
        <v>159</v>
      </c>
      <c r="B12" s="1772">
        <f>'Revenues 9-14'!K5</f>
        <v>0</v>
      </c>
      <c r="C12" s="585"/>
      <c r="D12" s="1775">
        <f t="shared" si="0"/>
        <v>0</v>
      </c>
      <c r="E12" s="585">
        <v>0</v>
      </c>
      <c r="F12" s="1775">
        <f t="shared" si="1"/>
        <v>0</v>
      </c>
    </row>
    <row r="13" spans="1:6" ht="13.7" customHeight="1" x14ac:dyDescent="0.2">
      <c r="A13" s="716" t="s">
        <v>993</v>
      </c>
      <c r="B13" s="1772">
        <f>SUM('Revenues 9-14'!C6:D6)</f>
        <v>0</v>
      </c>
      <c r="C13" s="585"/>
      <c r="D13" s="1775">
        <f t="shared" si="0"/>
        <v>0</v>
      </c>
      <c r="E13" s="585">
        <v>0</v>
      </c>
      <c r="F13" s="1775">
        <f t="shared" si="1"/>
        <v>0</v>
      </c>
    </row>
    <row r="14" spans="1:6" ht="13.7" customHeight="1" x14ac:dyDescent="0.2">
      <c r="A14" s="716" t="s">
        <v>430</v>
      </c>
      <c r="B14" s="1772">
        <f>SUM('Revenues 9-14'!C7:D7,'Revenues 9-14'!F7:H7)</f>
        <v>23823</v>
      </c>
      <c r="C14" s="585"/>
      <c r="D14" s="1775">
        <f t="shared" si="0"/>
        <v>23823</v>
      </c>
      <c r="E14" s="585">
        <v>25997.72</v>
      </c>
      <c r="F14" s="1775">
        <f t="shared" si="1"/>
        <v>25997.72</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86373</v>
      </c>
      <c r="C16" s="585"/>
      <c r="D16" s="1775">
        <f t="shared" si="0"/>
        <v>86373</v>
      </c>
      <c r="E16" s="585">
        <v>105002.91</v>
      </c>
      <c r="F16" s="1775">
        <f t="shared" si="1"/>
        <v>105002.91</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1916086</v>
      </c>
      <c r="C19" s="1773">
        <f>SUM(C4:C18)</f>
        <v>0</v>
      </c>
      <c r="D19" s="1773">
        <f>SUM(D4:D18)</f>
        <v>1916086</v>
      </c>
      <c r="E19" s="1773">
        <f>SUM(E4:E18)</f>
        <v>1981246.88</v>
      </c>
      <c r="F19" s="1773">
        <f>SUM(F4:F18)</f>
        <v>1981246.88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&amp;L&amp;8"The notes are an integral part of these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F6" sqref="F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2038</v>
      </c>
      <c r="D2" s="724" t="s">
        <v>2045</v>
      </c>
      <c r="E2" s="724" t="s">
        <v>2046</v>
      </c>
      <c r="F2" s="1909" t="s">
        <v>2039</v>
      </c>
    </row>
    <row r="3" spans="1:7" ht="15.75" customHeight="1" x14ac:dyDescent="0.2">
      <c r="A3" s="2230" t="s">
        <v>1176</v>
      </c>
      <c r="B3" s="2231"/>
      <c r="C3" s="2224"/>
      <c r="D3" s="2225"/>
      <c r="E3" s="2225"/>
      <c r="F3" s="2226"/>
    </row>
    <row r="4" spans="1:7" ht="12.75" customHeight="1" thickBot="1" x14ac:dyDescent="0.25">
      <c r="A4" s="2218" t="s">
        <v>651</v>
      </c>
      <c r="B4" s="2219"/>
      <c r="C4" s="581">
        <v>0</v>
      </c>
      <c r="D4" s="581">
        <v>0</v>
      </c>
      <c r="E4" s="581">
        <v>0</v>
      </c>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2092</v>
      </c>
      <c r="B31" s="734">
        <v>39364</v>
      </c>
      <c r="C31" s="735">
        <v>1010995</v>
      </c>
      <c r="D31" s="736">
        <v>7</v>
      </c>
      <c r="E31" s="735">
        <v>404382</v>
      </c>
      <c r="F31" s="735"/>
      <c r="G31" s="735"/>
      <c r="H31" s="735">
        <v>67397</v>
      </c>
      <c r="I31" s="1778">
        <f>((E31+F31)-H31)+G31</f>
        <v>336985</v>
      </c>
      <c r="J31" s="735">
        <v>97434</v>
      </c>
      <c r="K31" s="737"/>
    </row>
    <row r="32" spans="1:11" ht="12" customHeight="1" x14ac:dyDescent="0.2">
      <c r="A32" s="733" t="s">
        <v>2093</v>
      </c>
      <c r="B32" s="734">
        <v>41821</v>
      </c>
      <c r="C32" s="735">
        <v>215000</v>
      </c>
      <c r="D32" s="736">
        <v>1</v>
      </c>
      <c r="E32" s="735"/>
      <c r="F32" s="735"/>
      <c r="G32" s="735"/>
      <c r="H32" s="735"/>
      <c r="I32" s="1778">
        <f>((E32+F32)-H32)+G32</f>
        <v>0</v>
      </c>
      <c r="J32" s="735"/>
      <c r="K32" s="737"/>
    </row>
    <row r="33" spans="1:11" ht="12" customHeight="1" x14ac:dyDescent="0.2">
      <c r="A33" s="733" t="s">
        <v>2094</v>
      </c>
      <c r="B33" s="734">
        <v>41821</v>
      </c>
      <c r="C33" s="735">
        <v>801000</v>
      </c>
      <c r="D33" s="736">
        <v>1</v>
      </c>
      <c r="E33" s="735">
        <v>689000</v>
      </c>
      <c r="F33" s="735"/>
      <c r="G33" s="735"/>
      <c r="H33" s="735">
        <v>89000</v>
      </c>
      <c r="I33" s="1778">
        <f t="shared" ref="I33:I48" si="1">((E33+F33)-H33)+G33</f>
        <v>600000</v>
      </c>
      <c r="J33" s="735">
        <v>600000</v>
      </c>
      <c r="K33" s="737"/>
    </row>
    <row r="34" spans="1:11" ht="12" customHeight="1" x14ac:dyDescent="0.2">
      <c r="A34" s="733" t="s">
        <v>2095</v>
      </c>
      <c r="B34" s="734">
        <v>43277</v>
      </c>
      <c r="C34" s="735">
        <v>1412000</v>
      </c>
      <c r="D34" s="736">
        <v>2</v>
      </c>
      <c r="E34" s="735"/>
      <c r="F34" s="735">
        <v>1390711</v>
      </c>
      <c r="G34" s="735">
        <v>21289</v>
      </c>
      <c r="H34" s="735"/>
      <c r="I34" s="1778">
        <f t="shared" si="1"/>
        <v>1412000</v>
      </c>
      <c r="J34" s="735">
        <v>1412000</v>
      </c>
      <c r="K34" s="738"/>
    </row>
    <row r="35" spans="1:11" ht="12" customHeight="1" x14ac:dyDescent="0.2">
      <c r="A35" s="733" t="s">
        <v>2096</v>
      </c>
      <c r="B35" s="734">
        <v>43277</v>
      </c>
      <c r="C35" s="739">
        <v>1444000</v>
      </c>
      <c r="D35" s="736">
        <v>2</v>
      </c>
      <c r="E35" s="739"/>
      <c r="F35" s="739">
        <v>1422289</v>
      </c>
      <c r="G35" s="739">
        <v>21711</v>
      </c>
      <c r="H35" s="739"/>
      <c r="I35" s="1778">
        <f t="shared" si="1"/>
        <v>1444000</v>
      </c>
      <c r="J35" s="739">
        <v>1444000</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4882995</v>
      </c>
      <c r="D49" s="746"/>
      <c r="E49" s="1778">
        <f t="shared" ref="E49:J49" si="2">SUM(E31:E48)</f>
        <v>1093382</v>
      </c>
      <c r="F49" s="1778">
        <f t="shared" si="2"/>
        <v>2813000</v>
      </c>
      <c r="G49" s="1778">
        <f t="shared" si="2"/>
        <v>43000</v>
      </c>
      <c r="H49" s="1778">
        <f t="shared" si="2"/>
        <v>156397</v>
      </c>
      <c r="I49" s="1778">
        <f t="shared" si="2"/>
        <v>3792985</v>
      </c>
      <c r="J49" s="1778">
        <f t="shared" si="2"/>
        <v>3553434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&amp;L&amp;8"The notes are an integral part of these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110" zoomScaleNormal="110" workbookViewId="0">
      <selection activeCell="F6" sqref="F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v>0</v>
      </c>
      <c r="H3" s="765">
        <v>0</v>
      </c>
      <c r="I3" s="765">
        <v>0</v>
      </c>
      <c r="J3" s="766">
        <v>0</v>
      </c>
      <c r="K3" s="766">
        <v>0</v>
      </c>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f>'Revenues 9-14'!C7</f>
        <v>23823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23823</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23823</v>
      </c>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23823</v>
      </c>
      <c r="I23" s="1780">
        <f>SUM(I14:I16,I21,I22)</f>
        <v>0</v>
      </c>
      <c r="J23" s="1780">
        <f>SUM(J14:J16,J21,J22)</f>
        <v>0</v>
      </c>
      <c r="K23" s="1780">
        <f>SUM(K14:K16,K21,K22)</f>
        <v>0</v>
      </c>
    </row>
    <row r="24" spans="1:11" ht="14.25" thickTop="1" thickBot="1" x14ac:dyDescent="0.25">
      <c r="A24" s="2266" t="s">
        <v>2026</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&amp;L&amp;8"The notes are an integral part of these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6" sqref="F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30100</v>
      </c>
      <c r="D5" s="842"/>
      <c r="E5" s="842"/>
      <c r="F5" s="1782">
        <f>(C5+D5)-E5</f>
        <v>30100</v>
      </c>
      <c r="G5" s="838"/>
      <c r="H5" s="843"/>
      <c r="I5" s="843"/>
      <c r="J5" s="843"/>
      <c r="K5" s="794"/>
      <c r="L5" s="1791">
        <f>F5-K5</f>
        <v>30100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10661344</v>
      </c>
      <c r="D8" s="845">
        <v>918373</v>
      </c>
      <c r="E8" s="845"/>
      <c r="F8" s="1782">
        <f>(C8+D8)-E8</f>
        <v>11579717</v>
      </c>
      <c r="G8" s="844">
        <v>50</v>
      </c>
      <c r="H8" s="766">
        <v>4733304</v>
      </c>
      <c r="I8" s="766">
        <v>233465</v>
      </c>
      <c r="J8" s="766"/>
      <c r="K8" s="1791">
        <f>(H8+I8)-J8</f>
        <v>4966769</v>
      </c>
      <c r="L8" s="1791">
        <f>F8-K8</f>
        <v>6612948</v>
      </c>
    </row>
    <row r="9" spans="1:14" ht="14.25" thickTop="1" thickBot="1" x14ac:dyDescent="0.25">
      <c r="A9" s="779" t="s">
        <v>1181</v>
      </c>
      <c r="B9" s="841">
        <v>232</v>
      </c>
      <c r="C9" s="766"/>
      <c r="D9" s="766"/>
      <c r="E9" s="766"/>
      <c r="F9" s="1782">
        <f>(C9+D9)-E9</f>
        <v>0</v>
      </c>
      <c r="G9" s="844">
        <v>20</v>
      </c>
      <c r="H9" s="766">
        <v>0</v>
      </c>
      <c r="I9" s="766"/>
      <c r="J9" s="766"/>
      <c r="K9" s="1791">
        <f>(H9+I9)-J9</f>
        <v>0</v>
      </c>
      <c r="L9" s="1791">
        <f>F9-K9</f>
        <v>0</v>
      </c>
    </row>
    <row r="10" spans="1:14" ht="24" thickTop="1" thickBot="1" x14ac:dyDescent="0.25">
      <c r="A10" s="846" t="s">
        <v>1182</v>
      </c>
      <c r="B10" s="841">
        <v>240</v>
      </c>
      <c r="C10" s="847">
        <v>963844</v>
      </c>
      <c r="D10" s="847">
        <v>25228.23</v>
      </c>
      <c r="E10" s="847"/>
      <c r="F10" s="1786">
        <f>(C10+D10)-E10</f>
        <v>989072.23</v>
      </c>
      <c r="G10" s="844">
        <v>20</v>
      </c>
      <c r="H10" s="848">
        <v>459462</v>
      </c>
      <c r="I10" s="848">
        <v>49454</v>
      </c>
      <c r="J10" s="848"/>
      <c r="K10" s="1791">
        <f>(H10+I10)-J10</f>
        <v>508916</v>
      </c>
      <c r="L10" s="1791">
        <f>F10-K10</f>
        <v>480156.23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1309271</v>
      </c>
      <c r="D12" s="845"/>
      <c r="E12" s="845"/>
      <c r="F12" s="1782">
        <f>(C12+D12)-E12</f>
        <v>1309271</v>
      </c>
      <c r="G12" s="844">
        <v>10</v>
      </c>
      <c r="H12" s="766">
        <v>1309271</v>
      </c>
      <c r="I12" s="766"/>
      <c r="J12" s="766"/>
      <c r="K12" s="1791">
        <f>(H12+I12)-J12</f>
        <v>1309271</v>
      </c>
      <c r="L12" s="1791">
        <f>F12-K12</f>
        <v>0</v>
      </c>
    </row>
    <row r="13" spans="1:14" ht="14.25" thickTop="1" thickBot="1" x14ac:dyDescent="0.25">
      <c r="A13" s="849" t="s">
        <v>1184</v>
      </c>
      <c r="B13" s="841">
        <v>252</v>
      </c>
      <c r="C13" s="845">
        <v>1690061</v>
      </c>
      <c r="D13" s="845">
        <v>338164.8</v>
      </c>
      <c r="E13" s="845"/>
      <c r="F13" s="1782">
        <f>(C13+D13)-E13</f>
        <v>2028225.8</v>
      </c>
      <c r="G13" s="844">
        <v>5</v>
      </c>
      <c r="H13" s="766">
        <v>1653397</v>
      </c>
      <c r="I13" s="766">
        <v>80125</v>
      </c>
      <c r="J13" s="766"/>
      <c r="K13" s="1791">
        <f>(H13+I13)-J13</f>
        <v>1733522</v>
      </c>
      <c r="L13" s="1791">
        <f>F13-K13</f>
        <v>294703.80000000005</v>
      </c>
    </row>
    <row r="14" spans="1:14" ht="14.25" thickTop="1" thickBot="1" x14ac:dyDescent="0.25">
      <c r="A14" s="849" t="s">
        <v>1185</v>
      </c>
      <c r="B14" s="841">
        <v>253</v>
      </c>
      <c r="C14" s="766"/>
      <c r="D14" s="766"/>
      <c r="E14" s="766"/>
      <c r="F14" s="1782">
        <f>(C14+D14)-E14</f>
        <v>0</v>
      </c>
      <c r="G14" s="844">
        <v>3</v>
      </c>
      <c r="H14" s="766">
        <v>0</v>
      </c>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14654620</v>
      </c>
      <c r="D16" s="1782">
        <f>SUM(D3,D5:D6,D8:D10,D12:D15)</f>
        <v>1281766.03</v>
      </c>
      <c r="E16" s="1782">
        <f>SUM(E3,E5:E6,E8:E10,E12:E15)</f>
        <v>0</v>
      </c>
      <c r="F16" s="1782">
        <f>SUM(F3,F5:F6,F8:F10,F12:F15)</f>
        <v>15936386.030000001</v>
      </c>
      <c r="G16" s="844"/>
      <c r="H16" s="1782">
        <f>SUM(H3,H6,H8:H10,H12:H14,)</f>
        <v>8155434</v>
      </c>
      <c r="I16" s="1782">
        <f>SUM(I3,I6,I8:I10,I12:I14,)</f>
        <v>363044</v>
      </c>
      <c r="J16" s="1782">
        <f>SUM(J3,J6,J8:J10,J12:J14,)</f>
        <v>0</v>
      </c>
      <c r="K16" s="1782">
        <f>(H16+I16)-J16</f>
        <v>8518478</v>
      </c>
      <c r="L16" s="1782">
        <f>F16-K16</f>
        <v>7417908.0300000012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363044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&amp;L&amp;8"The notes are an integral part of these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A49" colorId="8" zoomScale="110" zoomScaleNormal="110" workbookViewId="0">
      <selection activeCell="F6" sqref="F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5470438</v>
      </c>
      <c r="G8" s="866"/>
    </row>
    <row r="9" spans="1:7" x14ac:dyDescent="0.2">
      <c r="A9" s="870" t="s">
        <v>480</v>
      </c>
      <c r="B9" s="871" t="s">
        <v>1989</v>
      </c>
      <c r="C9" s="872"/>
      <c r="D9" s="870" t="s">
        <v>522</v>
      </c>
      <c r="E9" s="869"/>
      <c r="F9" s="1935">
        <f>'Expenditures 15-22'!K151</f>
        <v>512677</v>
      </c>
      <c r="G9" s="873"/>
    </row>
    <row r="10" spans="1:7" x14ac:dyDescent="0.2">
      <c r="A10" s="870" t="s">
        <v>520</v>
      </c>
      <c r="B10" s="871" t="s">
        <v>1990</v>
      </c>
      <c r="C10" s="872"/>
      <c r="D10" s="870" t="s">
        <v>522</v>
      </c>
      <c r="E10" s="869"/>
      <c r="F10" s="1935">
        <f>'Expenditures 15-22'!K174</f>
        <v>181523</v>
      </c>
      <c r="G10" s="873"/>
    </row>
    <row r="11" spans="1:7" x14ac:dyDescent="0.2">
      <c r="A11" s="870" t="s">
        <v>481</v>
      </c>
      <c r="B11" s="871" t="s">
        <v>1991</v>
      </c>
      <c r="C11" s="872"/>
      <c r="D11" s="870" t="s">
        <v>522</v>
      </c>
      <c r="E11" s="869"/>
      <c r="F11" s="1935">
        <f>'Expenditures 15-22'!K210</f>
        <v>376384</v>
      </c>
      <c r="G11" s="873"/>
    </row>
    <row r="12" spans="1:7" x14ac:dyDescent="0.2">
      <c r="A12" s="870" t="s">
        <v>482</v>
      </c>
      <c r="B12" s="871" t="s">
        <v>1992</v>
      </c>
      <c r="C12" s="872"/>
      <c r="D12" s="870" t="s">
        <v>522</v>
      </c>
      <c r="E12" s="869"/>
      <c r="F12" s="1935">
        <f>'Expenditures 15-22'!K295</f>
        <v>269710</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6810732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2775</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468844</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201100</v>
      </c>
      <c r="G53" s="866"/>
    </row>
    <row r="54" spans="1:7" x14ac:dyDescent="0.2">
      <c r="A54" s="870" t="s">
        <v>479</v>
      </c>
      <c r="B54" s="870" t="s">
        <v>1552</v>
      </c>
      <c r="C54" s="890" t="s">
        <v>1039</v>
      </c>
      <c r="D54" s="886" t="s">
        <v>1157</v>
      </c>
      <c r="E54" s="869"/>
      <c r="F54" s="1939">
        <f>'Expenditures 15-22'!G114</f>
        <v>280890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93808</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156397</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53728</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26963</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1284505</v>
      </c>
      <c r="G76" s="866"/>
    </row>
    <row r="77" spans="1:8" s="894" customFormat="1" ht="12" customHeight="1" thickTop="1" thickBot="1" x14ac:dyDescent="0.25">
      <c r="A77" s="1801"/>
      <c r="B77" s="1798"/>
      <c r="C77" s="1794"/>
      <c r="D77" s="1799" t="s">
        <v>2012</v>
      </c>
      <c r="E77" s="1796"/>
      <c r="F77" s="1802">
        <f>(F14-F76)</f>
        <v>5526227</v>
      </c>
      <c r="G77" s="870"/>
    </row>
    <row r="78" spans="1:8" s="894" customFormat="1" ht="12" customHeight="1" thickTop="1" x14ac:dyDescent="0.2">
      <c r="A78" s="1803"/>
      <c r="B78" s="1798"/>
      <c r="C78" s="1794"/>
      <c r="D78" s="1799" t="s">
        <v>2059</v>
      </c>
      <c r="E78" s="1796"/>
      <c r="F78" s="899">
        <v>585.70000000000005</v>
      </c>
      <c r="G78" s="900"/>
      <c r="H78" s="870"/>
    </row>
    <row r="79" spans="1:8" s="894" customFormat="1" ht="12" customHeight="1" thickBot="1" x14ac:dyDescent="0.25">
      <c r="A79" s="1804"/>
      <c r="B79" s="1798"/>
      <c r="C79" s="1794"/>
      <c r="D79" s="1799" t="s">
        <v>2013</v>
      </c>
      <c r="E79" s="1796" t="s">
        <v>1015</v>
      </c>
      <c r="F79" s="1805">
        <f>IF(F78&gt;0,F77/F78," Complete Line 78")</f>
        <v>9435.2518354106196</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43</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63752</v>
      </c>
      <c r="G94" s="913"/>
    </row>
    <row r="95" spans="1:7" x14ac:dyDescent="0.2">
      <c r="A95" s="909" t="s">
        <v>142</v>
      </c>
      <c r="B95" s="909" t="s">
        <v>177</v>
      </c>
      <c r="C95" s="911">
        <v>1700</v>
      </c>
      <c r="D95" s="919" t="str">
        <f>'Revenues 9-14'!A82</f>
        <v>Total District/School Activity Income</v>
      </c>
      <c r="E95" s="907"/>
      <c r="F95" s="1811">
        <f>SUM('Revenues 9-14'!C82,'Revenues 9-14'!D82)</f>
        <v>22012</v>
      </c>
      <c r="G95" s="913"/>
    </row>
    <row r="96" spans="1:7" x14ac:dyDescent="0.2">
      <c r="A96" s="909" t="s">
        <v>479</v>
      </c>
      <c r="B96" s="909" t="s">
        <v>178</v>
      </c>
      <c r="C96" s="911">
        <f>'Revenues 9-14'!B84</f>
        <v>1811</v>
      </c>
      <c r="D96" s="912" t="str">
        <f>'Revenues 9-14'!A84</f>
        <v>Rentals - Regular Textbooks</v>
      </c>
      <c r="E96" s="907"/>
      <c r="F96" s="1811">
        <f>'Revenues 9-14'!C84</f>
        <v>12210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94</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31600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108029</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45604</v>
      </c>
      <c r="G107" s="913"/>
    </row>
    <row r="108" spans="1:7" x14ac:dyDescent="0.2">
      <c r="A108" s="909" t="s">
        <v>479</v>
      </c>
      <c r="B108" s="909" t="s">
        <v>844</v>
      </c>
      <c r="C108" s="921">
        <f>'Revenues 9-14'!B145</f>
        <v>3360</v>
      </c>
      <c r="D108" s="912" t="str">
        <f>'Revenues 9-14'!A145</f>
        <v>State Free Lunch &amp; Breakfast</v>
      </c>
      <c r="E108" s="907"/>
      <c r="F108" s="1811">
        <f>'Revenues 9-14'!C145</f>
        <v>3385</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254333</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1500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7904</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7121</v>
      </c>
      <c r="G128" s="931"/>
    </row>
    <row r="129" spans="1:7" x14ac:dyDescent="0.2">
      <c r="A129" s="928" t="s">
        <v>685</v>
      </c>
      <c r="B129" s="928" t="s">
        <v>803</v>
      </c>
      <c r="C129" s="933">
        <v>4200</v>
      </c>
      <c r="D129" s="930" t="str">
        <f>'Revenues 9-14'!A201</f>
        <v>Total Food Service</v>
      </c>
      <c r="E129" s="907"/>
      <c r="F129" s="1811">
        <f>SUM('Revenues 9-14'!C201,'Revenues 9-14'!G201)</f>
        <v>227009</v>
      </c>
      <c r="G129" s="931"/>
    </row>
    <row r="130" spans="1:7" x14ac:dyDescent="0.2">
      <c r="A130" s="928" t="s">
        <v>689</v>
      </c>
      <c r="B130" s="928" t="s">
        <v>804</v>
      </c>
      <c r="C130" s="933">
        <v>4300</v>
      </c>
      <c r="D130" s="934" t="str">
        <f>'Revenues 9-14'!A211</f>
        <v>Total Title I</v>
      </c>
      <c r="E130" s="907"/>
      <c r="F130" s="1811">
        <f>SUM('Revenues 9-14'!C211,'Revenues 9-14'!D211,'Revenues 9-14'!F211,'Revenues 9-14'!G211)</f>
        <v>241915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6404</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3170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46621</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3866</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27529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59</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1114160</v>
      </c>
    </row>
    <row r="179" spans="1:7" ht="12" customHeight="1" x14ac:dyDescent="0.2">
      <c r="A179" s="1792"/>
      <c r="B179" s="1806"/>
      <c r="C179" s="1807"/>
      <c r="D179" s="1808" t="s">
        <v>2015</v>
      </c>
      <c r="E179" s="1809"/>
      <c r="F179" s="1811">
        <f>'PCTC-OEPP 27-28'!F77-F178</f>
        <v>4412067</v>
      </c>
    </row>
    <row r="180" spans="1:7" ht="12" customHeight="1" x14ac:dyDescent="0.2">
      <c r="A180" s="1792"/>
      <c r="B180" s="1806"/>
      <c r="C180" s="1807"/>
      <c r="D180" s="1808" t="s">
        <v>1924</v>
      </c>
      <c r="E180" s="1809"/>
      <c r="F180" s="1811">
        <f>'Cap Outlay Deprec 26'!I18</f>
        <v>363044</v>
      </c>
    </row>
    <row r="181" spans="1:7" ht="12" customHeight="1" x14ac:dyDescent="0.2">
      <c r="A181" s="1792"/>
      <c r="B181" s="1806"/>
      <c r="C181" s="1807"/>
      <c r="D181" s="1808" t="s">
        <v>2016</v>
      </c>
      <c r="E181" s="1809"/>
      <c r="F181" s="1811">
        <f>F179+F180</f>
        <v>4775111</v>
      </c>
    </row>
    <row r="182" spans="1:7" ht="12" customHeight="1" x14ac:dyDescent="0.2">
      <c r="A182" s="1792"/>
      <c r="B182" s="1812"/>
      <c r="C182" s="1807"/>
      <c r="D182" s="1808" t="str">
        <f>D78</f>
        <v>9 Month ADA from District Average Daily Attendance/Prior General State Aid Inquiry 2017-2018</v>
      </c>
      <c r="E182" s="1809"/>
      <c r="F182" s="1813">
        <f>'PCTC-OEPP 27-28'!F78</f>
        <v>585.70000000000005</v>
      </c>
      <c r="G182" s="931"/>
    </row>
    <row r="183" spans="1:7" ht="12" customHeight="1" thickBot="1" x14ac:dyDescent="0.25">
      <c r="A183" s="1792"/>
      <c r="B183" s="1812"/>
      <c r="C183" s="1807"/>
      <c r="D183" s="1808" t="s">
        <v>2017</v>
      </c>
      <c r="E183" s="1809" t="s">
        <v>1626</v>
      </c>
      <c r="F183" s="1814">
        <f>F181/F182</f>
        <v>8152.8273860338049</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ageMargins left="0.54" right="0.2" top="0.7" bottom="0.45" header="0.19" footer="0.17"/>
  <pageSetup scale="70" firstPageNumber="27" orientation="portrait" useFirstPageNumber="1" r:id="rId2"/>
  <headerFooter alignWithMargins="0">
    <oddHeader>&amp;L&amp;8Page &amp;P&amp;C &amp;R&amp;8Page &amp;P</oddHeader>
    <oddFooter>&amp;L&amp;8"The notes are an integral part of these statements"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6" zoomScaleNormal="100" workbookViewId="0">
      <selection activeCell="F6" sqref="F6"/>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2100</v>
      </c>
      <c r="B17" s="1957" t="s">
        <v>2101</v>
      </c>
      <c r="C17" s="1958" t="s">
        <v>2102</v>
      </c>
      <c r="D17" s="1867">
        <f>220.52+279.36+307.28+307.28+153.64+230.46+307.28+307.23+156.64</f>
        <v>2269.69</v>
      </c>
      <c r="E17" s="1562">
        <f t="shared" ref="E17:E141" si="1">IF(D17&lt;=25000,D17,IF(D17&gt;25000,25000,0))</f>
        <v>2269.69</v>
      </c>
      <c r="F17" s="1815">
        <f t="shared" si="0"/>
        <v>0</v>
      </c>
      <c r="G17" s="1816">
        <f>IF(F17=0,0,D17-F17)</f>
        <v>0</v>
      </c>
      <c r="H17" s="1669"/>
    </row>
    <row r="18" spans="1:8" x14ac:dyDescent="0.25">
      <c r="A18" s="1956" t="s">
        <v>2100</v>
      </c>
      <c r="B18" s="1957" t="s">
        <v>2101</v>
      </c>
      <c r="C18" s="1958" t="s">
        <v>2103</v>
      </c>
      <c r="D18" s="1867">
        <f>727.04+202.28+232.33+335.79+250.83+364.1+293.62+543.59+217.84</f>
        <v>3167.42</v>
      </c>
      <c r="E18" s="1562">
        <f t="shared" ref="E18:E140" si="2">IF(D18&lt;=25000,D18,IF(D18&gt;25000,25000,0))</f>
        <v>3167.42</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5437.1100000000006</v>
      </c>
      <c r="E141" s="1563">
        <f t="shared" si="1"/>
        <v>5437.1100000000006</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F6" sqref="F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f>'Expenditures 15-22'!C60+'Expenditures 15-22'!D264</f>
        <v>47706</v>
      </c>
      <c r="F8" s="975"/>
      <c r="G8" s="976"/>
      <c r="H8" s="162"/>
      <c r="I8" s="162"/>
    </row>
    <row r="9" spans="1:9" s="669" customFormat="1" ht="12" customHeight="1" x14ac:dyDescent="0.2">
      <c r="A9" s="971" t="s">
        <v>132</v>
      </c>
      <c r="B9" s="972"/>
      <c r="C9" s="972"/>
      <c r="D9" s="973"/>
      <c r="E9" s="974">
        <f>'Expenditures 15-22'!C61+'Expenditures 15-22'!C124+'Expenditures 15-22'!D266</f>
        <v>272378</v>
      </c>
      <c r="F9" s="975"/>
      <c r="G9" s="976"/>
      <c r="H9" s="162"/>
      <c r="I9" s="162"/>
    </row>
    <row r="10" spans="1:9" s="669" customFormat="1" ht="12" customHeight="1" x14ac:dyDescent="0.2">
      <c r="A10" s="971" t="s">
        <v>2076</v>
      </c>
      <c r="B10" s="972"/>
      <c r="C10" s="977"/>
      <c r="D10" s="973"/>
      <c r="E10" s="974">
        <f>'Expenditures 15-22'!C63</f>
        <v>171864</v>
      </c>
      <c r="F10" s="975"/>
      <c r="G10" s="976"/>
      <c r="H10" s="162"/>
      <c r="I10" s="162"/>
    </row>
    <row r="11" spans="1:9" s="669" customFormat="1" ht="22.5" customHeight="1" x14ac:dyDescent="0.2">
      <c r="A11" s="2305" t="s">
        <v>1945</v>
      </c>
      <c r="B11" s="2306"/>
      <c r="C11" s="2306"/>
      <c r="D11" s="2307"/>
      <c r="E11" s="978">
        <v>37734.46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3974887</v>
      </c>
      <c r="F19" s="1822"/>
      <c r="G19" s="1824">
        <f>'Expenditures 15-22'!K33-SUM('Expenditures 15-22'!G33,'Expenditures 15-22'!I33)+'Expenditures 15-22'!D229</f>
        <v>3974887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26971</v>
      </c>
      <c r="F21" s="1825"/>
      <c r="G21" s="1828">
        <f>'Expenditures 15-22'!K42-SUM('Expenditures 15-22'!G42,'Expenditures 15-22'!I42)+'Expenditures 15-22'!K120-SUM('Expenditures 15-22'!G120,'Expenditures 15-22'!I120)+'Expenditures 15-22'!K180-SUM('Expenditures 15-22'!G180,'Expenditures 15-22'!I180)+'Expenditures 15-22'!D238</f>
        <v>26971</v>
      </c>
      <c r="H21" s="988"/>
      <c r="I21" s="162"/>
    </row>
    <row r="22" spans="1:9" s="669" customFormat="1" ht="12" customHeight="1" x14ac:dyDescent="0.2">
      <c r="A22" s="995" t="s">
        <v>585</v>
      </c>
      <c r="B22" s="996"/>
      <c r="C22" s="994">
        <v>2200</v>
      </c>
      <c r="D22" s="1825"/>
      <c r="E22" s="1827">
        <f>'Expenditures 15-22'!K47-SUM('Expenditures 15-22'!G47,'Expenditures 15-22'!I47)+'Expenditures 15-22'!D243</f>
        <v>188985</v>
      </c>
      <c r="F22" s="1825"/>
      <c r="G22" s="1828">
        <f>'Expenditures 15-22'!K47-SUM('Expenditures 15-22'!G47,'Expenditures 15-22'!I47)+'Expenditures 15-22'!D243</f>
        <v>188985</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544314</v>
      </c>
      <c r="F23" s="1825"/>
      <c r="G23" s="1827">
        <f>'Expenditures 15-22'!K53-SUM('Expenditures 15-22'!G53,'Expenditures 15-22'!I53)+'Expenditures 15-22'!D257+'Expenditures 15-22'!K330-SUM('Expenditures 15-22'!G330,'Expenditures 15-22'!I330)</f>
        <v>544314</v>
      </c>
      <c r="H23" s="988"/>
      <c r="I23" s="162"/>
    </row>
    <row r="24" spans="1:9" s="669" customFormat="1" ht="12" customHeight="1" x14ac:dyDescent="0.2">
      <c r="A24" s="995" t="s">
        <v>587</v>
      </c>
      <c r="B24" s="996"/>
      <c r="C24" s="994">
        <v>2400</v>
      </c>
      <c r="D24" s="1825"/>
      <c r="E24" s="1827">
        <f>'Expenditures 15-22'!K57-SUM('Expenditures 15-22'!G57,'Expenditures 15-22'!I57)+'Expenditures 15-22'!D261</f>
        <v>10499</v>
      </c>
      <c r="F24" s="1825"/>
      <c r="G24" s="1828">
        <f>'Expenditures 15-22'!K57-SUM('Expenditures 15-22'!G57,'Expenditures 15-22'!I57)+'Expenditures 15-22'!D261</f>
        <v>10499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4354</v>
      </c>
      <c r="E27" s="1827">
        <f>E8</f>
        <v>47706</v>
      </c>
      <c r="F27" s="1827">
        <f>'Expenditures 15-22'!K60-SUM('Expenditures 15-22'!G60,'Expenditures 15-22'!I60)+'Expenditures 15-22'!D264-E8</f>
        <v>4354</v>
      </c>
      <c r="G27" s="1828">
        <f>E8</f>
        <v>47706</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470139</v>
      </c>
      <c r="F28" s="1829">
        <f>'Expenditures 15-22'!K61-SUM('Expenditures 15-22'!G61,'Expenditures 15-22'!I61)+'Expenditures 15-22'!K124-SUM('Expenditures 15-22'!G124,'Expenditures 15-22'!I124)+'Expenditures 15-22'!D266-E9</f>
        <v>197761</v>
      </c>
      <c r="G28" s="1828">
        <f>E9</f>
        <v>272378</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355377</v>
      </c>
      <c r="F29" s="1825"/>
      <c r="G29" s="1828">
        <f>'Expenditures 15-22'!K62-SUM('Expenditures 15-22'!G62,'Expenditures 15-22'!I62)+'Expenditures 15-22'!K125-SUM('Expenditures 15-22'!G125,'Expenditures 15-22'!I125)+'Expenditures 15-22'!K182-SUM('Expenditures 15-22'!G182,'Expenditures 15-22'!I182)+'Expenditures 15-22'!D267</f>
        <v>355377</v>
      </c>
      <c r="H29" s="986"/>
    </row>
    <row r="30" spans="1:9" ht="12" customHeight="1" x14ac:dyDescent="0.2">
      <c r="A30" s="995" t="s">
        <v>102</v>
      </c>
      <c r="B30" s="998"/>
      <c r="C30" s="994">
        <v>2560</v>
      </c>
      <c r="D30" s="1825"/>
      <c r="E30" s="1827">
        <f>'Expenditures 15-22'!K63-SUM('Expenditures 15-22'!G63,'Expenditures 15-22'!I63)+'Expenditures 15-22'!D268-E10</f>
        <v>163552</v>
      </c>
      <c r="F30" s="1825"/>
      <c r="G30" s="1827">
        <f>'Expenditures 15-22'!K63-SUM('Expenditures 15-22'!G63,'Expenditures 15-22'!I63)+'Expenditures 15-22'!D268-E10</f>
        <v>163552</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41035</v>
      </c>
      <c r="F38" s="1825"/>
      <c r="G38" s="1827">
        <f>'Expenditures 15-22'!K73-SUM('Expenditures 15-22'!G73,'Expenditures 15-22'!I73)+'Expenditures 15-22'!K128-SUM('Expenditures 15-22'!G128,'Expenditures 15-22'!I128)+'Expenditures 15-22'!K183-SUM('Expenditures 15-22'!G183,'Expenditures 15-22'!I183)+'Expenditures 15-22'!D278</f>
        <v>41035</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4354</v>
      </c>
      <c r="E41" s="1829">
        <f>SUM(E19:E40)</f>
        <v>5823465</v>
      </c>
      <c r="F41" s="1829">
        <f>SUM(F19:F39)</f>
        <v>202115</v>
      </c>
      <c r="G41" s="1829">
        <f>SUM(G19:G40)</f>
        <v>5625704</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4354</v>
      </c>
      <c r="F43" s="1830" t="s">
        <v>495</v>
      </c>
      <c r="G43" s="1831">
        <f>F41</f>
        <v>202115</v>
      </c>
    </row>
    <row r="44" spans="1:7" ht="12" customHeight="1" x14ac:dyDescent="0.2">
      <c r="A44" s="988"/>
      <c r="B44" s="162"/>
      <c r="C44" s="1002"/>
      <c r="D44" s="1830" t="s">
        <v>494</v>
      </c>
      <c r="E44" s="1831">
        <f>E41</f>
        <v>5823465</v>
      </c>
      <c r="F44" s="1830" t="s">
        <v>494</v>
      </c>
      <c r="G44" s="1831">
        <f>G41</f>
        <v>5625704</v>
      </c>
    </row>
    <row r="45" spans="1:7" ht="12" customHeight="1" x14ac:dyDescent="0.2">
      <c r="A45" s="988"/>
      <c r="B45" s="162"/>
      <c r="C45" s="162"/>
      <c r="D45" s="1832" t="s">
        <v>1063</v>
      </c>
      <c r="E45" s="1833">
        <f>(E43/E44)</f>
        <v>7.4766483528277403E-4</v>
      </c>
      <c r="F45" s="1832" t="s">
        <v>1063</v>
      </c>
      <c r="G45" s="1833">
        <f>(G43/G44)</f>
        <v>3.5927059084516356E-2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&amp;L&amp;8"The notes are an integral part of these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selection sqref="A1:F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7.5703125" style="1903" bestFit="1" customWidth="1"/>
    <col min="9" max="10" width="4"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Unity Point CCSD 140</v>
      </c>
      <c r="D6" s="2326"/>
      <c r="E6" s="2326"/>
      <c r="F6" s="1877"/>
    </row>
    <row r="7" spans="1:10" ht="11.25" customHeight="1" thickBot="1" x14ac:dyDescent="0.3">
      <c r="A7" s="1875"/>
      <c r="B7" s="1876"/>
      <c r="C7" s="2327">
        <f>COVER!A13</f>
        <v>30039140004</v>
      </c>
      <c r="D7" s="2327"/>
      <c r="E7" s="2327"/>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2098</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t="s">
        <v>2077</v>
      </c>
      <c r="F30" s="1892" t="s">
        <v>2099</v>
      </c>
      <c r="H30" s="1903">
        <f t="shared" si="0"/>
        <v>5</v>
      </c>
      <c r="I30" s="1903">
        <f t="shared" si="1"/>
        <v>5</v>
      </c>
      <c r="J30" s="1903">
        <f t="shared" si="2"/>
        <v>5</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10</v>
      </c>
      <c r="K34" s="1903">
        <f>SUM(H34:J34)</f>
        <v>30</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71" fitToHeight="0" orientation="landscape" r:id="rId1"/>
  <headerFooter>
    <oddFooter>&amp;L"The notes are an integral part of these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view="pageLayout" topLeftCell="A7" colorId="8" zoomScaleNormal="110" workbookViewId="0">
      <selection activeCell="F6" sqref="F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Unity Point CCSD 140</v>
      </c>
      <c r="J6" s="2336"/>
      <c r="Q6" s="1686"/>
    </row>
    <row r="7" spans="1:17" x14ac:dyDescent="0.2">
      <c r="A7" s="2337" t="s">
        <v>924</v>
      </c>
      <c r="B7" s="2338"/>
      <c r="C7" s="2338"/>
      <c r="D7" s="2338"/>
      <c r="E7" s="2339"/>
      <c r="F7" s="1018"/>
      <c r="G7" s="1010"/>
      <c r="H7" s="1017" t="s">
        <v>390</v>
      </c>
      <c r="I7" s="2340">
        <f>COVER!A13</f>
        <v>30039140004</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514531</v>
      </c>
      <c r="F12" s="1040"/>
      <c r="G12" s="1834">
        <f t="shared" ref="G12:G18" si="0">SUM(E12:F12)</f>
        <v>514531</v>
      </c>
      <c r="H12" s="1041">
        <v>540257</v>
      </c>
      <c r="I12" s="1040"/>
      <c r="J12" s="1834">
        <f t="shared" ref="J12:J18" si="1">SUM(H12:I12)</f>
        <v>540257</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514531</v>
      </c>
      <c r="F19" s="1836">
        <f t="shared" si="2"/>
        <v>0</v>
      </c>
      <c r="G19" s="1836">
        <f t="shared" si="2"/>
        <v>514531</v>
      </c>
      <c r="H19" s="1836">
        <f t="shared" si="2"/>
        <v>540257</v>
      </c>
      <c r="I19" s="1836">
        <f t="shared" si="2"/>
        <v>0</v>
      </c>
      <c r="J19" s="1836">
        <f t="shared" si="2"/>
        <v>540257</v>
      </c>
    </row>
    <row r="20" spans="1:10" ht="13.5" thickTop="1" x14ac:dyDescent="0.2">
      <c r="A20" s="1036">
        <v>9</v>
      </c>
      <c r="B20" s="2347" t="s">
        <v>1703</v>
      </c>
      <c r="C20" s="2347"/>
      <c r="D20" s="2348"/>
      <c r="E20" s="1047"/>
      <c r="F20" s="1047"/>
      <c r="G20" s="1047"/>
      <c r="H20" s="1047"/>
      <c r="I20" s="1047"/>
      <c r="J20" s="1837">
        <f>IF(AND(G19&gt;0,J19&gt;0),(((J19-G19)/G19)),"Enter Budget Data")</f>
        <v>4.9998931065377984E-2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&amp;L"The notes are an integral part of these statements"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view="pageLayout" zoomScaleNormal="110" workbookViewId="0">
      <selection activeCell="F6" sqref="F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2097</v>
      </c>
    </row>
    <row r="6" spans="1:2" x14ac:dyDescent="0.2">
      <c r="A6" s="1069">
        <v>2</v>
      </c>
      <c r="B6" s="329" t="s">
        <v>2104</v>
      </c>
    </row>
    <row r="7" spans="1:2" x14ac:dyDescent="0.2">
      <c r="A7" s="1069">
        <v>3</v>
      </c>
      <c r="B7" s="329" t="s">
        <v>2105</v>
      </c>
    </row>
    <row r="8" spans="1:2" x14ac:dyDescent="0.2">
      <c r="A8" s="1069">
        <v>4</v>
      </c>
      <c r="B8" s="329" t="s">
        <v>2106</v>
      </c>
    </row>
    <row r="9" spans="1:2" x14ac:dyDescent="0.2">
      <c r="A9" s="1069">
        <v>5</v>
      </c>
      <c r="B9" s="329" t="s">
        <v>2107</v>
      </c>
    </row>
    <row r="10" spans="1:2" x14ac:dyDescent="0.2">
      <c r="A10" s="1069">
        <v>6</v>
      </c>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Unity Point CCSD 140</v>
      </c>
    </row>
    <row r="65" spans="2:2" x14ac:dyDescent="0.2">
      <c r="B65" s="1071">
        <f>COVER!A13</f>
        <v>30039140004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oddFooter>&amp;L"The notes are an integral part of these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BreakPreview" topLeftCell="A35" zoomScale="60" zoomScaleNormal="110" workbookViewId="0">
      <selection activeCell="F6" sqref="F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headerFooter>
    <oddFooter>&amp;L"The notes are an integral part of these statements"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view="pageLayout" colorId="8" zoomScaleNormal="110" workbookViewId="0">
      <selection activeCell="F6" sqref="F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oddFooter>&amp;L"The notes are an integral part of these statements"</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5" sqref="B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oddFooter>&amp;L"The notes are an integral part of these statements"</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view="pageLayout" zoomScaleNormal="110" workbookViewId="0">
      <selection activeCell="A6" sqref="A6:F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5598356</v>
      </c>
      <c r="C8" s="1838">
        <f>'Acct Summary 7-8'!D8</f>
        <v>418711</v>
      </c>
      <c r="D8" s="1838">
        <f>'Acct Summary 7-8'!F8</f>
        <v>341940</v>
      </c>
      <c r="E8" s="1838">
        <f>'Acct Summary 7-8'!I8</f>
        <v>38888</v>
      </c>
      <c r="F8" s="1838">
        <f>SUM(B8:E8)</f>
        <v>6397895</v>
      </c>
    </row>
    <row r="9" spans="1:8" s="1080" customFormat="1" ht="14.25" customHeight="1" thickBot="1" x14ac:dyDescent="0.25">
      <c r="A9" s="1079" t="s">
        <v>1436</v>
      </c>
      <c r="B9" s="1839">
        <f>'Acct Summary 7-8'!C17</f>
        <v>5470438</v>
      </c>
      <c r="C9" s="1839">
        <f>'Acct Summary 7-8'!D17</f>
        <v>512677</v>
      </c>
      <c r="D9" s="1839">
        <f>'Acct Summary 7-8'!F17</f>
        <v>376384</v>
      </c>
      <c r="E9" s="1838"/>
      <c r="F9" s="1838">
        <f>SUM(B9:E9)</f>
        <v>6359499</v>
      </c>
    </row>
    <row r="10" spans="1:8" s="1080" customFormat="1" ht="14.25" thickTop="1" thickBot="1" x14ac:dyDescent="0.25">
      <c r="A10" s="1081" t="s">
        <v>1437</v>
      </c>
      <c r="B10" s="1840">
        <f>(B8-B9)</f>
        <v>127918</v>
      </c>
      <c r="C10" s="1840">
        <f>(C8-C9)</f>
        <v>-93966</v>
      </c>
      <c r="D10" s="1840">
        <f>(D8-D9)</f>
        <v>-34444</v>
      </c>
      <c r="E10" s="1839">
        <f>(E8-E9)</f>
        <v>38888</v>
      </c>
      <c r="F10" s="1841">
        <f>SUM(F8-F9)</f>
        <v>38396</v>
      </c>
    </row>
    <row r="11" spans="1:8" s="1080" customFormat="1" ht="14.25" thickTop="1" thickBot="1" x14ac:dyDescent="0.25">
      <c r="A11" s="1082" t="s">
        <v>1785</v>
      </c>
      <c r="B11" s="1842">
        <f>'Acct Summary 7-8'!C81</f>
        <v>166641</v>
      </c>
      <c r="C11" s="1842">
        <f>'Acct Summary 7-8'!D81</f>
        <v>169705</v>
      </c>
      <c r="D11" s="1842">
        <f>'Acct Summary 7-8'!F81</f>
        <v>32796</v>
      </c>
      <c r="E11" s="1842">
        <f>'Acct Summary 7-8'!I81</f>
        <v>590440</v>
      </c>
      <c r="F11" s="1843">
        <f>SUM(B11:E11)</f>
        <v>959582</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oddFooter>&amp;L"The notes are an integral part of these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fitToHeight="0" orientation="portrait" r:id="rId1"/>
  <headerFooter alignWithMargins="0">
    <oddFooter>&amp;L&amp;8"The notes are an integral part of these statements"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30039140004</v>
      </c>
    </row>
    <row r="3" spans="1:2" x14ac:dyDescent="0.2">
      <c r="A3" t="s">
        <v>1013</v>
      </c>
      <c r="B3" s="138" t="str">
        <f>COVER!A15</f>
        <v>Jackson</v>
      </c>
    </row>
    <row r="4" spans="1:2" x14ac:dyDescent="0.2">
      <c r="A4" t="s">
        <v>1064</v>
      </c>
      <c r="B4" s="138" t="str">
        <f>COVER!A17</f>
        <v>Unity Point CCSD 140</v>
      </c>
    </row>
    <row r="5" spans="1:2" x14ac:dyDescent="0.2">
      <c r="A5" t="s">
        <v>728</v>
      </c>
      <c r="B5" s="138" t="str">
        <f>COVER!A38</f>
        <v>Dr. Lori James-Gross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65.028419999999997</v>
      </c>
    </row>
    <row r="16" spans="1:2" x14ac:dyDescent="0.2">
      <c r="A16" t="s">
        <v>442</v>
      </c>
      <c r="B16" s="138" t="str">
        <f>COVER!T13</f>
        <v>Kujawa &amp; Batteau, P.C.</v>
      </c>
    </row>
    <row r="17" spans="1:2" x14ac:dyDescent="0.2">
      <c r="A17" t="s">
        <v>939</v>
      </c>
      <c r="B17" s="138" t="str">
        <f>COVER!T15</f>
        <v>Kevin Batteau</v>
      </c>
    </row>
    <row r="18" spans="1:2" x14ac:dyDescent="0.2">
      <c r="A18" t="s">
        <v>1212</v>
      </c>
      <c r="B18" s="138" t="str">
        <f>COVER!T17</f>
        <v>309 S. Walnut St.</v>
      </c>
    </row>
    <row r="19" spans="1:2" x14ac:dyDescent="0.2">
      <c r="A19" t="s">
        <v>941</v>
      </c>
      <c r="B19" s="138">
        <f>COVER!T25</f>
        <v>0</v>
      </c>
    </row>
    <row r="20" spans="1:2" x14ac:dyDescent="0.2">
      <c r="A20" t="s">
        <v>942</v>
      </c>
      <c r="B20" s="138" t="str">
        <f>COVER!T19</f>
        <v>Pinckneyville</v>
      </c>
    </row>
    <row r="21" spans="1:2" x14ac:dyDescent="0.2">
      <c r="A21" t="s">
        <v>500</v>
      </c>
      <c r="B21" s="138" t="str">
        <f>COVER!X19</f>
        <v>IL</v>
      </c>
    </row>
    <row r="22" spans="1:2" x14ac:dyDescent="0.2">
      <c r="A22" t="s">
        <v>943</v>
      </c>
      <c r="B22" s="138">
        <f>COVER!Z19</f>
        <v>62274</v>
      </c>
    </row>
    <row r="23" spans="1:2" x14ac:dyDescent="0.2">
      <c r="A23" t="s">
        <v>1214</v>
      </c>
      <c r="B23" s="138" t="str">
        <f>COVER!T21</f>
        <v>(618) 357-3000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35796</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385311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670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218670</v>
      </c>
      <c r="C91" s="2" t="s">
        <v>594</v>
      </c>
      <c r="D91" s="2" t="str">
        <f t="shared" si="0"/>
        <v>Error?</v>
      </c>
    </row>
    <row r="92" spans="1:4" x14ac:dyDescent="0.2">
      <c r="A92" s="5">
        <v>31</v>
      </c>
      <c r="B92" s="138">
        <f>'Assets-Liab 5-6'!C39</f>
        <v>166641</v>
      </c>
      <c r="D92" s="2" t="str">
        <f t="shared" si="0"/>
        <v>Error?</v>
      </c>
    </row>
    <row r="93" spans="1:4" x14ac:dyDescent="0.2">
      <c r="A93" s="5">
        <v>32</v>
      </c>
      <c r="B93" s="138">
        <f>'Assets-Liab 5-6'!C41</f>
        <v>385311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169705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169705</v>
      </c>
      <c r="D123" s="2" t="str">
        <f t="shared" si="0"/>
        <v>Error?</v>
      </c>
    </row>
    <row r="124" spans="1:4" x14ac:dyDescent="0.2">
      <c r="A124" s="5">
        <v>63</v>
      </c>
      <c r="B124" s="138">
        <f>'Assets-Liab 5-6'!D41</f>
        <v>169705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239551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239551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32796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32796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100099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100099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2063235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2063235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30100</v>
      </c>
      <c r="D273" s="2" t="str">
        <f t="shared" si="3"/>
        <v>Error?</v>
      </c>
    </row>
    <row r="274" spans="1:4" x14ac:dyDescent="0.2">
      <c r="A274" s="5">
        <v>213</v>
      </c>
      <c r="B274" s="138">
        <f>'Assets-Liab 5-6'!M17</f>
        <v>11579717</v>
      </c>
      <c r="D274" s="2" t="str">
        <f t="shared" si="3"/>
        <v>Error?</v>
      </c>
    </row>
    <row r="275" spans="1:4" x14ac:dyDescent="0.2">
      <c r="A275" s="5">
        <v>214</v>
      </c>
      <c r="B275" s="138">
        <f>'Assets-Liab 5-6'!M18</f>
        <v>989072</v>
      </c>
      <c r="D275" s="2" t="str">
        <f t="shared" si="3"/>
        <v>Error?</v>
      </c>
    </row>
    <row r="276" spans="1:4" x14ac:dyDescent="0.2">
      <c r="A276" s="5">
        <v>215</v>
      </c>
      <c r="B276" s="138">
        <f>'Assets-Liab 5-6'!M19</f>
        <v>3337497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15936386</v>
      </c>
      <c r="C279" s="2" t="s">
        <v>594</v>
      </c>
      <c r="D279" s="2" t="str">
        <f t="shared" si="3"/>
        <v>Error?</v>
      </c>
    </row>
    <row r="280" spans="1:4" x14ac:dyDescent="0.2">
      <c r="A280" s="5">
        <v>219</v>
      </c>
      <c r="B280" s="138">
        <f>'Assets-Liab 5-6'!M40</f>
        <v>15936386</v>
      </c>
      <c r="D280" s="2" t="str">
        <f t="shared" si="3"/>
        <v>Error?</v>
      </c>
    </row>
    <row r="281" spans="1:4" x14ac:dyDescent="0.2">
      <c r="A281" s="5">
        <v>220</v>
      </c>
      <c r="B281" s="138">
        <f>'Assets-Liab 5-6'!M41</f>
        <v>15936386</v>
      </c>
      <c r="C281" s="2" t="s">
        <v>594</v>
      </c>
      <c r="D281" s="2" t="str">
        <f t="shared" si="3"/>
        <v>Error?</v>
      </c>
    </row>
    <row r="282" spans="1:4" x14ac:dyDescent="0.2">
      <c r="A282" s="5">
        <v>221</v>
      </c>
      <c r="B282" s="138">
        <f>'Assets-Liab 5-6'!N21</f>
        <v>239551</v>
      </c>
      <c r="D282" s="2" t="str">
        <f t="shared" si="3"/>
        <v>Error?</v>
      </c>
    </row>
    <row r="283" spans="1:4" x14ac:dyDescent="0.2">
      <c r="A283" s="5">
        <v>222</v>
      </c>
      <c r="B283" s="138">
        <f>'Assets-Liab 5-6'!N22</f>
        <v>3553434</v>
      </c>
      <c r="D283" s="2" t="str">
        <f t="shared" si="3"/>
        <v>Error?</v>
      </c>
    </row>
    <row r="284" spans="1:4" x14ac:dyDescent="0.2">
      <c r="A284" s="5">
        <v>223</v>
      </c>
      <c r="B284" s="138">
        <f>'Assets-Liab 5-6'!N23</f>
        <v>3792985</v>
      </c>
      <c r="C284" s="2" t="s">
        <v>594</v>
      </c>
      <c r="D284" s="2" t="str">
        <f t="shared" si="3"/>
        <v>Error?</v>
      </c>
    </row>
    <row r="285" spans="1:4" x14ac:dyDescent="0.2">
      <c r="A285" s="5">
        <v>224</v>
      </c>
      <c r="B285" s="138">
        <f>'Assets-Liab 5-6'!N36</f>
        <v>3792985</v>
      </c>
      <c r="D285" s="2" t="str">
        <f t="shared" si="3"/>
        <v>Error?</v>
      </c>
    </row>
    <row r="286" spans="1:4" x14ac:dyDescent="0.2">
      <c r="A286" s="10">
        <v>225</v>
      </c>
      <c r="D286" s="2" t="str">
        <f t="shared" si="3"/>
        <v>OK</v>
      </c>
    </row>
    <row r="287" spans="1:4" x14ac:dyDescent="0.2">
      <c r="A287" s="5">
        <v>226</v>
      </c>
      <c r="B287" s="138">
        <f>'Assets-Liab 5-6'!N37</f>
        <v>3792985</v>
      </c>
      <c r="C287" s="2" t="s">
        <v>594</v>
      </c>
      <c r="D287" s="2" t="str">
        <f t="shared" si="3"/>
        <v>Error?</v>
      </c>
    </row>
    <row r="288" spans="1:4" x14ac:dyDescent="0.2">
      <c r="A288" s="5">
        <v>227</v>
      </c>
      <c r="B288" s="138">
        <f>'Assets-Liab 5-6'!N41</f>
        <v>3792985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2813000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2227878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69025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32785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3127274</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3563</v>
      </c>
      <c r="D728" s="2" t="str">
        <f t="shared" si="10"/>
        <v>Error?</v>
      </c>
    </row>
    <row r="729" spans="1:4" x14ac:dyDescent="0.2">
      <c r="A729" s="5">
        <v>668</v>
      </c>
      <c r="B729" s="138">
        <f>'Expenditures 15-22'!C45</f>
        <v>101895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105458</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379914</v>
      </c>
      <c r="D733" s="2" t="str">
        <f t="shared" si="10"/>
        <v>Error?</v>
      </c>
    </row>
    <row r="734" spans="1:4" x14ac:dyDescent="0.2">
      <c r="A734" s="5">
        <v>673</v>
      </c>
      <c r="B734" s="138">
        <f>'Expenditures 15-22'!C53</f>
        <v>379914</v>
      </c>
      <c r="C734" s="2" t="s">
        <v>594</v>
      </c>
      <c r="D734" s="2" t="str">
        <f t="shared" si="10"/>
        <v>Error?</v>
      </c>
    </row>
    <row r="735" spans="1:4" x14ac:dyDescent="0.2">
      <c r="A735" s="5">
        <v>674</v>
      </c>
      <c r="B735" s="138">
        <f>'Expenditures 15-22'!C55</f>
        <v>6560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6560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40682</v>
      </c>
      <c r="D739" s="2" t="str">
        <f t="shared" si="10"/>
        <v>Error?</v>
      </c>
    </row>
    <row r="740" spans="1:4" x14ac:dyDescent="0.2">
      <c r="A740" s="5">
        <v>679</v>
      </c>
      <c r="B740" s="138">
        <f>'Expenditures 15-22'!C61</f>
        <v>12328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171864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224874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716806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3844080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448528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4883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2351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602560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581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581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52023</v>
      </c>
      <c r="D791" s="2" t="str">
        <f t="shared" si="11"/>
        <v>Error?</v>
      </c>
    </row>
    <row r="792" spans="1:4" x14ac:dyDescent="0.2">
      <c r="A792" s="5">
        <v>731</v>
      </c>
      <c r="B792" s="138">
        <f>'Expenditures 15-22'!D53</f>
        <v>52023</v>
      </c>
      <c r="C792" s="2" t="s">
        <v>594</v>
      </c>
      <c r="D792" s="2" t="str">
        <f t="shared" si="11"/>
        <v>Error?</v>
      </c>
    </row>
    <row r="793" spans="1:4" x14ac:dyDescent="0.2">
      <c r="A793" s="5">
        <v>732</v>
      </c>
      <c r="B793" s="138">
        <f>'Expenditures 15-22'!D55</f>
        <v>3063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3063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3156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12720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15876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71543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674103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5559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2541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8549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30867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1101</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11476</v>
      </c>
      <c r="D842" s="2" t="str">
        <f t="shared" si="12"/>
        <v>Error?</v>
      </c>
    </row>
    <row r="843" spans="1:4" x14ac:dyDescent="0.2">
      <c r="A843" s="5">
        <v>782</v>
      </c>
      <c r="B843" s="138">
        <f>'Expenditures 15-22'!E42</f>
        <v>12577</v>
      </c>
      <c r="C843" s="2" t="s">
        <v>594</v>
      </c>
      <c r="D843" s="2" t="str">
        <f t="shared" si="12"/>
        <v>Error?</v>
      </c>
    </row>
    <row r="844" spans="1:4" x14ac:dyDescent="0.2">
      <c r="A844" s="5">
        <v>783</v>
      </c>
      <c r="B844" s="138">
        <f>'Expenditures 15-22'!E44</f>
        <v>63223</v>
      </c>
      <c r="D844" s="2" t="str">
        <f t="shared" si="12"/>
        <v>Error?</v>
      </c>
    </row>
    <row r="845" spans="1:4" x14ac:dyDescent="0.2">
      <c r="A845" s="5">
        <v>784</v>
      </c>
      <c r="B845" s="138">
        <f>'Expenditures 15-22'!E45</f>
        <v>2894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66117</v>
      </c>
      <c r="C847" s="2" t="s">
        <v>594</v>
      </c>
      <c r="D847" s="2" t="str">
        <f t="shared" si="12"/>
        <v>Error?</v>
      </c>
    </row>
    <row r="848" spans="1:4" x14ac:dyDescent="0.2">
      <c r="A848" s="5">
        <v>787</v>
      </c>
      <c r="B848" s="138">
        <f>'Expenditures 15-22'!E49</f>
        <v>3863</v>
      </c>
      <c r="D848" s="2" t="str">
        <f t="shared" si="12"/>
        <v>Error?</v>
      </c>
    </row>
    <row r="849" spans="1:4" x14ac:dyDescent="0.2">
      <c r="A849" s="5">
        <v>788</v>
      </c>
      <c r="B849" s="138">
        <f>'Expenditures 15-22'!E50</f>
        <v>53529</v>
      </c>
      <c r="D849" s="2" t="str">
        <f t="shared" si="12"/>
        <v>Error?</v>
      </c>
    </row>
    <row r="850" spans="1:4" x14ac:dyDescent="0.2">
      <c r="A850" s="5">
        <v>789</v>
      </c>
      <c r="B850" s="138">
        <f>'Expenditures 15-22'!E53</f>
        <v>57392</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749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6787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7536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41035</v>
      </c>
      <c r="D870" s="2" t="str">
        <f t="shared" si="12"/>
        <v>Error?</v>
      </c>
    </row>
    <row r="871" spans="1:4" x14ac:dyDescent="0.2">
      <c r="A871" s="5">
        <v>810</v>
      </c>
      <c r="B871" s="138">
        <f>'Expenditures 15-22'!E74</f>
        <v>184657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416624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17727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539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1059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65761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768</v>
      </c>
      <c r="D896" s="2" t="str">
        <f t="shared" si="13"/>
        <v>Error?</v>
      </c>
    </row>
    <row r="897" spans="1:4" x14ac:dyDescent="0.2">
      <c r="A897" s="5">
        <v>836</v>
      </c>
      <c r="B897" s="138">
        <f>'Expenditures 15-22'!F38</f>
        <v>1164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12370</v>
      </c>
      <c r="D900" s="2" t="str">
        <f t="shared" si="13"/>
        <v>Error?</v>
      </c>
    </row>
    <row r="901" spans="1:4" x14ac:dyDescent="0.2">
      <c r="A901" s="5">
        <v>840</v>
      </c>
      <c r="B901" s="138">
        <f>'Expenditures 15-22'!F42</f>
        <v>14302</v>
      </c>
      <c r="C901" s="2" t="s">
        <v>594</v>
      </c>
      <c r="D901" s="2" t="str">
        <f t="shared" si="13"/>
        <v>Error?</v>
      </c>
    </row>
    <row r="902" spans="1:4" x14ac:dyDescent="0.2">
      <c r="A902" s="5">
        <v>841</v>
      </c>
      <c r="B902" s="138">
        <f>'Expenditures 15-22'!F44</f>
        <v>4809</v>
      </c>
      <c r="D902" s="2" t="str">
        <f t="shared" si="13"/>
        <v>Error?</v>
      </c>
    </row>
    <row r="903" spans="1:4" x14ac:dyDescent="0.2">
      <c r="A903" s="5">
        <v>842</v>
      </c>
      <c r="B903" s="138">
        <f>'Expenditures 15-22'!F45</f>
        <v>12015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16824</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27089</v>
      </c>
      <c r="D907" s="2" t="str">
        <f t="shared" si="13"/>
        <v>Error?</v>
      </c>
    </row>
    <row r="908" spans="1:4" x14ac:dyDescent="0.2">
      <c r="A908" s="5">
        <v>847</v>
      </c>
      <c r="B908" s="138">
        <f>'Expenditures 15-22'!F53</f>
        <v>27089</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415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115974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116389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174604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240365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213189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222199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57058</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57058</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1633</v>
      </c>
      <c r="D965" s="2" t="str">
        <f t="shared" si="14"/>
        <v>Error?</v>
      </c>
    </row>
    <row r="966" spans="1:4" x14ac:dyDescent="0.2">
      <c r="A966" s="5">
        <v>905</v>
      </c>
      <c r="B966" s="138">
        <f>'Expenditures 15-22'!G53</f>
        <v>1633</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58691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280890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4467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229</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5988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v>
      </c>
      <c r="C1021" s="2" t="s">
        <v>594</v>
      </c>
      <c r="D1021" s="2" t="str">
        <f t="shared" si="14"/>
        <v>Error?</v>
      </c>
    </row>
    <row r="1022" spans="1:4" x14ac:dyDescent="0.2">
      <c r="A1022" s="5">
        <v>961</v>
      </c>
      <c r="B1022" s="138">
        <f>'Expenditures 15-22'!H49</f>
        <v>7522</v>
      </c>
      <c r="D1022" s="2" t="str">
        <f t="shared" si="14"/>
        <v>Error?</v>
      </c>
    </row>
    <row r="1023" spans="1:4" x14ac:dyDescent="0.2">
      <c r="A1023" s="5">
        <v>962</v>
      </c>
      <c r="B1023" s="138">
        <f>'Expenditures 15-22'!H50</f>
        <v>343</v>
      </c>
      <c r="D1023" s="2" t="str">
        <f t="shared" ref="D1023:D1086" si="15">IF(ISBLANK(B1023),"OK",IF(A1023-B1023=0,"OK","Error?"))</f>
        <v>Error?</v>
      </c>
    </row>
    <row r="1024" spans="1:4" x14ac:dyDescent="0.2">
      <c r="A1024" s="5">
        <v>963</v>
      </c>
      <c r="B1024" s="138">
        <f>'Expenditures 15-22'!H53</f>
        <v>7865</v>
      </c>
      <c r="C1024" s="2" t="s">
        <v>594</v>
      </c>
      <c r="D1024" s="2" t="str">
        <f t="shared" si="15"/>
        <v>Error?</v>
      </c>
    </row>
    <row r="1025" spans="1:4" x14ac:dyDescent="0.2">
      <c r="A1025" s="5">
        <v>964</v>
      </c>
      <c r="B1025" s="138">
        <f>'Expenditures 15-22'!H55</f>
        <v>118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366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400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8388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14376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2917348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77217</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44855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4054649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1869</v>
      </c>
      <c r="C1110" s="2" t="s">
        <v>594</v>
      </c>
      <c r="D1110" s="2" t="str">
        <f t="shared" si="16"/>
        <v>Error?</v>
      </c>
    </row>
    <row r="1111" spans="1:4" x14ac:dyDescent="0.2">
      <c r="A1111" s="5">
        <v>1050</v>
      </c>
      <c r="B1111" s="138">
        <f>'Expenditures 15-22'!K38</f>
        <v>1164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23846</v>
      </c>
      <c r="C1114" s="2" t="s">
        <v>594</v>
      </c>
      <c r="D1114" s="2" t="str">
        <f t="shared" si="16"/>
        <v>Error?</v>
      </c>
    </row>
    <row r="1115" spans="1:4" x14ac:dyDescent="0.2">
      <c r="A1115" s="5">
        <v>1054</v>
      </c>
      <c r="B1115" s="138">
        <f>'Expenditures 15-22'!K42</f>
        <v>26879</v>
      </c>
      <c r="C1115" s="2" t="s">
        <v>594</v>
      </c>
      <c r="D1115" s="2" t="str">
        <f t="shared" si="16"/>
        <v>Error?</v>
      </c>
    </row>
    <row r="1116" spans="1:4" x14ac:dyDescent="0.2">
      <c r="A1116" s="5">
        <v>1055</v>
      </c>
      <c r="B1116" s="138">
        <f>'Expenditures 15-22'!K44</f>
        <v>129239</v>
      </c>
      <c r="C1116" s="2" t="s">
        <v>594</v>
      </c>
      <c r="D1116" s="2" t="str">
        <f t="shared" si="16"/>
        <v>Error?</v>
      </c>
    </row>
    <row r="1117" spans="1:4" x14ac:dyDescent="0.2">
      <c r="A1117" s="5">
        <v>1056</v>
      </c>
      <c r="B1117" s="138">
        <f>'Expenditures 15-22'!K45</f>
        <v>116804</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246043</v>
      </c>
      <c r="C1119" s="2" t="s">
        <v>594</v>
      </c>
      <c r="D1119" s="2" t="str">
        <f t="shared" si="16"/>
        <v>Error?</v>
      </c>
    </row>
    <row r="1120" spans="1:4" x14ac:dyDescent="0.2">
      <c r="A1120" s="5">
        <v>1059</v>
      </c>
      <c r="B1120" s="138">
        <f>'Expenditures 15-22'!K49</f>
        <v>11385</v>
      </c>
      <c r="C1120" s="2" t="s">
        <v>594</v>
      </c>
      <c r="D1120" s="2" t="str">
        <f t="shared" si="16"/>
        <v>Error?</v>
      </c>
    </row>
    <row r="1121" spans="1:4" x14ac:dyDescent="0.2">
      <c r="A1121" s="5">
        <v>1060</v>
      </c>
      <c r="B1121" s="138">
        <f>'Expenditures 15-22'!K50</f>
        <v>514531</v>
      </c>
      <c r="C1121" s="2" t="s">
        <v>594</v>
      </c>
      <c r="D1121" s="2" t="str">
        <f t="shared" si="16"/>
        <v>Error?</v>
      </c>
    </row>
    <row r="1122" spans="1:4" x14ac:dyDescent="0.2">
      <c r="A1122" s="5">
        <v>1061</v>
      </c>
      <c r="B1122" s="138">
        <f>'Expenditures 15-22'!K53</f>
        <v>525916</v>
      </c>
      <c r="C1122" s="2" t="s">
        <v>594</v>
      </c>
      <c r="D1122" s="2" t="str">
        <f t="shared" si="16"/>
        <v>Error?</v>
      </c>
    </row>
    <row r="1123" spans="1:4" x14ac:dyDescent="0.2">
      <c r="A1123" s="5">
        <v>1062</v>
      </c>
      <c r="B1123" s="138">
        <f>'Expenditures 15-22'!K55</f>
        <v>9741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9741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45036</v>
      </c>
      <c r="C1127" s="2" t="s">
        <v>594</v>
      </c>
      <c r="D1127" s="2" t="str">
        <f t="shared" si="16"/>
        <v>Error?</v>
      </c>
    </row>
    <row r="1128" spans="1:4" x14ac:dyDescent="0.2">
      <c r="A1128" s="5">
        <v>1067</v>
      </c>
      <c r="B1128" s="138">
        <f>'Expenditures 15-22'!K61</f>
        <v>12328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307711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365075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41035</v>
      </c>
      <c r="C1142" s="2" t="s">
        <v>594</v>
      </c>
      <c r="D1142" s="2" t="str">
        <f t="shared" si="16"/>
        <v>Error?</v>
      </c>
    </row>
    <row r="1143" spans="1:4" x14ac:dyDescent="0.2">
      <c r="A1143" s="5">
        <v>1082</v>
      </c>
      <c r="B1143" s="138">
        <f>'Expenditures 15-22'!K74</f>
        <v>1214689</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201100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5470438</v>
      </c>
      <c r="C1152" s="2" t="s">
        <v>594</v>
      </c>
      <c r="D1152" s="2" t="str">
        <f t="shared" si="17"/>
        <v>Error?</v>
      </c>
    </row>
    <row r="1153" spans="1:4" x14ac:dyDescent="0.2">
      <c r="A1153" s="5">
        <v>1092</v>
      </c>
      <c r="B1153" s="138">
        <f>'Expenditures 15-22'!K115</f>
        <v>127918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221108</v>
      </c>
      <c r="D1221" s="2" t="str">
        <f t="shared" si="18"/>
        <v>Error?</v>
      </c>
    </row>
    <row r="1222" spans="1:4" x14ac:dyDescent="0.2">
      <c r="A1222" s="10">
        <v>1161</v>
      </c>
      <c r="D1222" s="2" t="str">
        <f t="shared" si="18"/>
        <v>OK</v>
      </c>
    </row>
    <row r="1223" spans="1:4" x14ac:dyDescent="0.2">
      <c r="A1223" s="5">
        <v>1162</v>
      </c>
      <c r="B1223" s="138">
        <f>'Expenditures 15-22'!C127</f>
        <v>221108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221108</v>
      </c>
      <c r="C1225" s="2" t="s">
        <v>594</v>
      </c>
      <c r="D1225" s="2" t="str">
        <f t="shared" si="18"/>
        <v>Error?</v>
      </c>
    </row>
    <row r="1226" spans="1:4" x14ac:dyDescent="0.2">
      <c r="A1226" s="5">
        <v>1165</v>
      </c>
      <c r="B1226" s="138">
        <f>'Expenditures 15-22'!C151</f>
        <v>221108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22380</v>
      </c>
      <c r="D1229" s="2" t="str">
        <f t="shared" si="18"/>
        <v>Error?</v>
      </c>
    </row>
    <row r="1230" spans="1:4" x14ac:dyDescent="0.2">
      <c r="A1230" s="10">
        <v>1169</v>
      </c>
      <c r="D1230" s="2" t="str">
        <f t="shared" si="18"/>
        <v>OK</v>
      </c>
    </row>
    <row r="1231" spans="1:4" x14ac:dyDescent="0.2">
      <c r="A1231" s="5">
        <v>1170</v>
      </c>
      <c r="B1231" s="138">
        <f>'Expenditures 15-22'!D127</f>
        <v>22380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22380</v>
      </c>
      <c r="C1233" s="2" t="s">
        <v>594</v>
      </c>
      <c r="D1233" s="2" t="str">
        <f t="shared" si="18"/>
        <v>Error?</v>
      </c>
    </row>
    <row r="1234" spans="1:4" x14ac:dyDescent="0.2">
      <c r="A1234" s="5">
        <v>1173</v>
      </c>
      <c r="B1234" s="138">
        <f>'Expenditures 15-22'!D151</f>
        <v>22380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124921</v>
      </c>
      <c r="D1237" s="2" t="str">
        <f t="shared" si="18"/>
        <v>Error?</v>
      </c>
    </row>
    <row r="1238" spans="1:4" x14ac:dyDescent="0.2">
      <c r="A1238" s="10">
        <v>1177</v>
      </c>
      <c r="D1238" s="2" t="str">
        <f t="shared" si="18"/>
        <v>OK</v>
      </c>
    </row>
    <row r="1239" spans="1:4" x14ac:dyDescent="0.2">
      <c r="A1239" s="5">
        <v>1178</v>
      </c>
      <c r="B1239" s="138">
        <f>'Expenditures 15-22'!E127</f>
        <v>124921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124921</v>
      </c>
      <c r="C1241" s="2" t="s">
        <v>594</v>
      </c>
      <c r="D1241" s="2" t="str">
        <f t="shared" si="18"/>
        <v>Error?</v>
      </c>
    </row>
    <row r="1242" spans="1:4" x14ac:dyDescent="0.2">
      <c r="A1242" s="5">
        <v>1181</v>
      </c>
      <c r="B1242" s="138">
        <f>'Expenditures 15-22'!E151</f>
        <v>124921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38899</v>
      </c>
      <c r="D1245" s="2" t="str">
        <f t="shared" si="18"/>
        <v>Error?</v>
      </c>
    </row>
    <row r="1246" spans="1:4" x14ac:dyDescent="0.2">
      <c r="A1246" s="10">
        <v>1185</v>
      </c>
      <c r="D1246" s="2" t="str">
        <f t="shared" si="18"/>
        <v>OK</v>
      </c>
    </row>
    <row r="1247" spans="1:4" x14ac:dyDescent="0.2">
      <c r="A1247" s="5">
        <v>1186</v>
      </c>
      <c r="B1247" s="138">
        <f>'Expenditures 15-22'!F127</f>
        <v>38899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38899</v>
      </c>
      <c r="C1249" s="2" t="s">
        <v>594</v>
      </c>
      <c r="D1249" s="2" t="str">
        <f t="shared" si="18"/>
        <v>Error?</v>
      </c>
    </row>
    <row r="1250" spans="1:4" x14ac:dyDescent="0.2">
      <c r="A1250" s="5">
        <v>1189</v>
      </c>
      <c r="B1250" s="138">
        <f>'Expenditures 15-22'!F151</f>
        <v>38899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93808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93808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93808</v>
      </c>
      <c r="C1258" s="2" t="s">
        <v>594</v>
      </c>
      <c r="D1258" s="2" t="str">
        <f t="shared" si="18"/>
        <v>Error?</v>
      </c>
    </row>
    <row r="1259" spans="1:4" x14ac:dyDescent="0.2">
      <c r="A1259" s="5">
        <v>1198</v>
      </c>
      <c r="B1259" s="138">
        <f>'Expenditures 15-22'!G151</f>
        <v>93808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11561</v>
      </c>
      <c r="D1262" s="2" t="str">
        <f t="shared" si="18"/>
        <v>Error?</v>
      </c>
    </row>
    <row r="1263" spans="1:4" x14ac:dyDescent="0.2">
      <c r="A1263" s="10">
        <v>1202</v>
      </c>
      <c r="D1263" s="2" t="str">
        <f t="shared" si="18"/>
        <v>OK</v>
      </c>
    </row>
    <row r="1264" spans="1:4" x14ac:dyDescent="0.2">
      <c r="A1264" s="5">
        <v>1203</v>
      </c>
      <c r="B1264" s="138">
        <f>'Expenditures 15-22'!H127</f>
        <v>11561</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11561</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11561</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512677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512677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512677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512677</v>
      </c>
      <c r="C1288" s="2" t="s">
        <v>594</v>
      </c>
      <c r="D1288" s="2" t="str">
        <f t="shared" si="19"/>
        <v>Error?</v>
      </c>
    </row>
    <row r="1289" spans="1:4" x14ac:dyDescent="0.2">
      <c r="A1289" s="5">
        <v>1228</v>
      </c>
      <c r="B1289" s="138">
        <f>'Expenditures 15-22'!K152</f>
        <v>-93966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25126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156397</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181523</v>
      </c>
      <c r="C1317" s="2" t="s">
        <v>594</v>
      </c>
      <c r="D1317" s="2" t="str">
        <f t="shared" si="19"/>
        <v>Error?</v>
      </c>
    </row>
    <row r="1318" spans="1:4" x14ac:dyDescent="0.2">
      <c r="A1318" s="5">
        <v>1257</v>
      </c>
      <c r="B1318" s="138">
        <f>'Expenditures 15-22'!H174</f>
        <v>181523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25126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156397</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181523</v>
      </c>
      <c r="C1331" s="2" t="s">
        <v>594</v>
      </c>
      <c r="D1331" s="2" t="str">
        <f t="shared" si="19"/>
        <v>Error?</v>
      </c>
    </row>
    <row r="1332" spans="1:4" x14ac:dyDescent="0.2">
      <c r="A1332" s="5">
        <v>1271</v>
      </c>
      <c r="B1332" s="138">
        <f>'Expenditures 15-22'!K174</f>
        <v>181523</v>
      </c>
      <c r="C1332" s="2" t="s">
        <v>594</v>
      </c>
      <c r="D1332" s="2" t="str">
        <f t="shared" si="19"/>
        <v>Error?</v>
      </c>
    </row>
    <row r="1333" spans="1:4" x14ac:dyDescent="0.2">
      <c r="A1333" s="5">
        <v>1272</v>
      </c>
      <c r="B1333" s="138">
        <f>'Expenditures 15-22'!K175</f>
        <v>-66982</v>
      </c>
      <c r="C1333" s="2" t="s">
        <v>594</v>
      </c>
      <c r="D1333" s="2" t="str">
        <f t="shared" si="19"/>
        <v>Error?</v>
      </c>
    </row>
    <row r="1334" spans="1:4" x14ac:dyDescent="0.2">
      <c r="A1334" s="10">
        <v>1273</v>
      </c>
      <c r="D1334" s="2" t="str">
        <f t="shared" si="19"/>
        <v>OK</v>
      </c>
    </row>
    <row r="1335" spans="1:4" x14ac:dyDescent="0.2">
      <c r="A1335" s="5">
        <v>1274</v>
      </c>
      <c r="B1335" s="138">
        <f>'Expenditures 15-22'!C182</f>
        <v>232917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232917</v>
      </c>
      <c r="C1339" s="2" t="s">
        <v>594</v>
      </c>
      <c r="D1339" s="2" t="str">
        <f t="shared" si="19"/>
        <v>Error?</v>
      </c>
    </row>
    <row r="1340" spans="1:4" x14ac:dyDescent="0.2">
      <c r="A1340" s="5">
        <v>1279</v>
      </c>
      <c r="B1340" s="138">
        <f>'Expenditures 15-22'!C210</f>
        <v>232917</v>
      </c>
      <c r="C1340" s="2" t="s">
        <v>594</v>
      </c>
      <c r="D1340" s="2" t="str">
        <f t="shared" si="19"/>
        <v>Error?</v>
      </c>
    </row>
    <row r="1341" spans="1:4" x14ac:dyDescent="0.2">
      <c r="A1341" s="5">
        <v>1280</v>
      </c>
      <c r="B1341" s="138">
        <f>'Expenditures 15-22'!D182</f>
        <v>17390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17390</v>
      </c>
      <c r="C1345" s="2" t="s">
        <v>594</v>
      </c>
      <c r="D1345" s="2" t="str">
        <f t="shared" si="20"/>
        <v>Error?</v>
      </c>
    </row>
    <row r="1346" spans="1:4" x14ac:dyDescent="0.2">
      <c r="A1346" s="5">
        <v>1285</v>
      </c>
      <c r="B1346" s="138">
        <f>'Expenditures 15-22'!D210</f>
        <v>17390</v>
      </c>
      <c r="C1346" s="2" t="s">
        <v>594</v>
      </c>
      <c r="D1346" s="2" t="str">
        <f t="shared" si="20"/>
        <v>Error?</v>
      </c>
    </row>
    <row r="1347" spans="1:4" x14ac:dyDescent="0.2">
      <c r="A1347" s="5">
        <v>1286</v>
      </c>
      <c r="B1347" s="138">
        <f>'Expenditures 15-22'!E182</f>
        <v>8917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8917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8917</v>
      </c>
      <c r="C1353" s="2" t="s">
        <v>594</v>
      </c>
      <c r="D1353" s="2" t="str">
        <f t="shared" si="20"/>
        <v>Error?</v>
      </c>
    </row>
    <row r="1354" spans="1:4" x14ac:dyDescent="0.2">
      <c r="A1354" s="5">
        <v>1293</v>
      </c>
      <c r="B1354" s="138">
        <f>'Expenditures 15-22'!F182</f>
        <v>45654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45654</v>
      </c>
      <c r="C1358" s="2" t="s">
        <v>594</v>
      </c>
      <c r="D1358" s="2" t="str">
        <f t="shared" si="20"/>
        <v>Error?</v>
      </c>
    </row>
    <row r="1359" spans="1:4" x14ac:dyDescent="0.2">
      <c r="A1359" s="5">
        <v>1298</v>
      </c>
      <c r="B1359" s="138">
        <f>'Expenditures 15-22'!F210</f>
        <v>45654</v>
      </c>
      <c r="C1359" s="2" t="s">
        <v>594</v>
      </c>
      <c r="D1359" s="2" t="str">
        <f t="shared" si="20"/>
        <v>Error?</v>
      </c>
    </row>
    <row r="1360" spans="1:4" x14ac:dyDescent="0.2">
      <c r="A1360" s="5">
        <v>1299</v>
      </c>
      <c r="B1360" s="138">
        <f>'Expenditures 15-22'!G182</f>
        <v>53728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53728</v>
      </c>
      <c r="C1364" s="2" t="s">
        <v>594</v>
      </c>
      <c r="D1364" s="2" t="str">
        <f t="shared" si="20"/>
        <v>Error?</v>
      </c>
    </row>
    <row r="1365" spans="1:4" x14ac:dyDescent="0.2">
      <c r="A1365" s="5">
        <v>1304</v>
      </c>
      <c r="B1365" s="138">
        <f>'Expenditures 15-22'!G210</f>
        <v>53728</v>
      </c>
      <c r="C1365" s="2" t="s">
        <v>594</v>
      </c>
      <c r="D1365" s="2" t="str">
        <f t="shared" si="20"/>
        <v>Error?</v>
      </c>
    </row>
    <row r="1366" spans="1:4" x14ac:dyDescent="0.2">
      <c r="A1366" s="5">
        <v>1305</v>
      </c>
      <c r="B1366" s="138">
        <f>'Expenditures 15-22'!H182</f>
        <v>17778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17778</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17778</v>
      </c>
      <c r="C1376" s="2" t="s">
        <v>594</v>
      </c>
      <c r="D1376" s="2" t="str">
        <f t="shared" si="20"/>
        <v>Error?</v>
      </c>
    </row>
    <row r="1377" spans="1:4" x14ac:dyDescent="0.2">
      <c r="A1377" s="5">
        <v>1316</v>
      </c>
      <c r="B1377" s="138">
        <f>'Expenditures 15-22'!K182</f>
        <v>376384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376384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376384</v>
      </c>
      <c r="C1388" s="2" t="s">
        <v>594</v>
      </c>
      <c r="D1388" s="2" t="str">
        <f t="shared" si="20"/>
        <v>Error?</v>
      </c>
    </row>
    <row r="1389" spans="1:4" x14ac:dyDescent="0.2">
      <c r="A1389" s="5">
        <v>1328</v>
      </c>
      <c r="B1389" s="138">
        <f>'Expenditures 15-22'!K211</f>
        <v>-34444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5043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1736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142437</v>
      </c>
      <c r="C1410" s="2" t="s">
        <v>594</v>
      </c>
      <c r="D1410" s="2" t="str">
        <f t="shared" si="21"/>
        <v>Error?</v>
      </c>
    </row>
    <row r="1411" spans="1:4" x14ac:dyDescent="0.2">
      <c r="A1411" s="5">
        <v>1350</v>
      </c>
      <c r="B1411" s="138">
        <f>'Expenditures 15-22'!D232</f>
        <v>92</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92</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20031</v>
      </c>
      <c r="D1423" s="2" t="str">
        <f t="shared" si="21"/>
        <v>Error?</v>
      </c>
    </row>
    <row r="1424" spans="1:4" x14ac:dyDescent="0.2">
      <c r="A1424" s="5">
        <v>1363</v>
      </c>
      <c r="B1424" s="138">
        <f>'Expenditures 15-22'!D257</f>
        <v>20031</v>
      </c>
      <c r="C1424" s="2" t="s">
        <v>594</v>
      </c>
      <c r="D1424" s="2" t="str">
        <f t="shared" si="21"/>
        <v>Error?</v>
      </c>
    </row>
    <row r="1425" spans="1:4" x14ac:dyDescent="0.2">
      <c r="A1425" s="5">
        <v>1364</v>
      </c>
      <c r="B1425" s="138">
        <f>'Expenditures 15-22'!D259</f>
        <v>758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758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7024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38942</v>
      </c>
      <c r="D1431" s="2" t="str">
        <f t="shared" si="21"/>
        <v>Error?</v>
      </c>
    </row>
    <row r="1432" spans="1:4" x14ac:dyDescent="0.2">
      <c r="A1432" s="5">
        <v>1371</v>
      </c>
      <c r="B1432" s="138">
        <f>'Expenditures 15-22'!D267</f>
        <v>32721</v>
      </c>
      <c r="D1432" s="2" t="str">
        <f t="shared" si="21"/>
        <v>Error?</v>
      </c>
    </row>
    <row r="1433" spans="1:4" x14ac:dyDescent="0.2">
      <c r="A1433" s="5">
        <v>1372</v>
      </c>
      <c r="B1433" s="138">
        <f>'Expenditures 15-22'!D268</f>
        <v>27705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106392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127273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269710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5043</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1736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142437</v>
      </c>
      <c r="C1474" s="2" t="s">
        <v>594</v>
      </c>
      <c r="D1474" s="2" t="str">
        <f t="shared" si="22"/>
        <v>Error?</v>
      </c>
    </row>
    <row r="1475" spans="1:4" x14ac:dyDescent="0.2">
      <c r="A1475" s="5">
        <v>1414</v>
      </c>
      <c r="B1475" s="138">
        <f>'Expenditures 15-22'!K232</f>
        <v>92</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92</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20031</v>
      </c>
      <c r="C1487" s="2" t="s">
        <v>594</v>
      </c>
      <c r="D1487" s="2" t="str">
        <f t="shared" si="22"/>
        <v>Error?</v>
      </c>
    </row>
    <row r="1488" spans="1:4" x14ac:dyDescent="0.2">
      <c r="A1488" s="5">
        <v>1427</v>
      </c>
      <c r="B1488" s="138">
        <f>'Expenditures 15-22'!K257</f>
        <v>20031</v>
      </c>
      <c r="C1488" s="2" t="s">
        <v>594</v>
      </c>
      <c r="D1488" s="2" t="str">
        <f t="shared" si="22"/>
        <v>Error?</v>
      </c>
    </row>
    <row r="1489" spans="1:4" x14ac:dyDescent="0.2">
      <c r="A1489" s="5">
        <v>1428</v>
      </c>
      <c r="B1489" s="138">
        <f>'Expenditures 15-22'!K259</f>
        <v>758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758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7024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38942</v>
      </c>
      <c r="C1495" s="2" t="s">
        <v>594</v>
      </c>
      <c r="D1495" s="2" t="str">
        <f t="shared" si="22"/>
        <v>Error?</v>
      </c>
    </row>
    <row r="1496" spans="1:4" x14ac:dyDescent="0.2">
      <c r="A1496" s="5">
        <v>1435</v>
      </c>
      <c r="B1496" s="138">
        <f>'Expenditures 15-22'!K267</f>
        <v>32721</v>
      </c>
      <c r="C1496" s="2" t="s">
        <v>594</v>
      </c>
      <c r="D1496" s="2" t="str">
        <f t="shared" si="22"/>
        <v>Error?</v>
      </c>
    </row>
    <row r="1497" spans="1:4" x14ac:dyDescent="0.2">
      <c r="A1497" s="5">
        <v>1436</v>
      </c>
      <c r="B1497" s="138">
        <f>'Expenditures 15-22'!K268</f>
        <v>27705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106392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127273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269710</v>
      </c>
      <c r="C1517" s="2" t="s">
        <v>594</v>
      </c>
      <c r="D1517" s="2" t="str">
        <f t="shared" si="22"/>
        <v>Error?</v>
      </c>
    </row>
    <row r="1518" spans="1:4" x14ac:dyDescent="0.2">
      <c r="A1518" s="5">
        <v>1457</v>
      </c>
      <c r="B1518" s="138">
        <f>'Expenditures 15-22'!K296</f>
        <v>-41524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7991</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7991</v>
      </c>
      <c r="C1541" s="2" t="s">
        <v>594</v>
      </c>
      <c r="D1541" s="2" t="str">
        <f t="shared" si="23"/>
        <v>Error?</v>
      </c>
    </row>
    <row r="1542" spans="1:4" x14ac:dyDescent="0.2">
      <c r="A1542" s="5">
        <v>1481</v>
      </c>
      <c r="B1542" s="138">
        <f>'Expenditures 15-22'!F312</f>
        <v>7991</v>
      </c>
      <c r="C1542" s="2" t="s">
        <v>594</v>
      </c>
      <c r="D1542" s="2" t="str">
        <f t="shared" si="23"/>
        <v>Error?</v>
      </c>
    </row>
    <row r="1543" spans="1:4" x14ac:dyDescent="0.2">
      <c r="A1543" s="5">
        <v>1482</v>
      </c>
      <c r="B1543" s="138">
        <f>'Expenditures 15-22'!G301</f>
        <v>855373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855373</v>
      </c>
      <c r="C1547" s="2" t="s">
        <v>594</v>
      </c>
      <c r="D1547" s="2" t="str">
        <f t="shared" si="23"/>
        <v>Error?</v>
      </c>
    </row>
    <row r="1548" spans="1:4" x14ac:dyDescent="0.2">
      <c r="A1548" s="5">
        <v>1487</v>
      </c>
      <c r="B1548" s="138">
        <f>'Expenditures 15-22'!G312</f>
        <v>855373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863364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863364</v>
      </c>
      <c r="C1559" s="2" t="s">
        <v>594</v>
      </c>
      <c r="D1559" s="2" t="str">
        <f t="shared" si="23"/>
        <v>Error?</v>
      </c>
    </row>
    <row r="1560" spans="1:4" x14ac:dyDescent="0.2">
      <c r="A1560" s="5">
        <v>1499</v>
      </c>
      <c r="B1560" s="138">
        <f>'Expenditures 15-22'!K312</f>
        <v>863364</v>
      </c>
      <c r="C1560" s="2" t="s">
        <v>594</v>
      </c>
      <c r="D1560" s="2" t="str">
        <f t="shared" si="23"/>
        <v>Error?</v>
      </c>
    </row>
    <row r="1561" spans="1:4" x14ac:dyDescent="0.2">
      <c r="A1561" s="5">
        <v>1500</v>
      </c>
      <c r="B1561" s="138">
        <f>'Expenditures 15-22'!K313</f>
        <v>-510398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32225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166641</v>
      </c>
      <c r="C1630" s="2" t="s">
        <v>594</v>
      </c>
      <c r="D1630" s="2" t="str">
        <f t="shared" si="24"/>
        <v>Error?</v>
      </c>
    </row>
    <row r="1631" spans="1:4" x14ac:dyDescent="0.2">
      <c r="A1631" s="5">
        <v>1570</v>
      </c>
      <c r="B1631" s="138">
        <f>'Acct Summary 7-8'!D79</f>
        <v>163790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169705</v>
      </c>
      <c r="C1644" s="2" t="s">
        <v>594</v>
      </c>
      <c r="D1644" s="2" t="str">
        <f t="shared" si="24"/>
        <v>Error?</v>
      </c>
    </row>
    <row r="1645" spans="1:4" x14ac:dyDescent="0.2">
      <c r="A1645" s="5">
        <v>1584</v>
      </c>
      <c r="B1645" s="138">
        <f>'Acct Summary 7-8'!E79</f>
        <v>177005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239551</v>
      </c>
      <c r="C1658" s="2" t="s">
        <v>594</v>
      </c>
      <c r="D1658" s="2" t="str">
        <f t="shared" si="24"/>
        <v>Error?</v>
      </c>
    </row>
    <row r="1659" spans="1:4" x14ac:dyDescent="0.2">
      <c r="A1659" s="5">
        <v>1598</v>
      </c>
      <c r="B1659" s="138">
        <f>'Acct Summary 7-8'!F79</f>
        <v>67240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32796</v>
      </c>
      <c r="C1672" s="2" t="s">
        <v>594</v>
      </c>
      <c r="D1672" s="2" t="str">
        <f t="shared" si="25"/>
        <v>Error?</v>
      </c>
    </row>
    <row r="1673" spans="1:4" x14ac:dyDescent="0.2">
      <c r="A1673" s="5">
        <v>1612</v>
      </c>
      <c r="B1673" s="138">
        <f>'Acct Summary 7-8'!G79</f>
        <v>141623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100099</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2063235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1214816</v>
      </c>
      <c r="C1744" s="2" t="s">
        <v>594</v>
      </c>
      <c r="D1744" s="2" t="str">
        <f t="shared" si="26"/>
        <v>Error?</v>
      </c>
    </row>
    <row r="1745" spans="1:5" x14ac:dyDescent="0.2">
      <c r="A1745" s="5">
        <v>1684</v>
      </c>
      <c r="B1745" s="138">
        <f>'Tax Sched 23'!B5</f>
        <v>273006</v>
      </c>
      <c r="C1745" s="2" t="s">
        <v>594</v>
      </c>
      <c r="D1745" s="2" t="str">
        <f t="shared" si="26"/>
        <v>Error?</v>
      </c>
    </row>
    <row r="1746" spans="1:5" x14ac:dyDescent="0.2">
      <c r="A1746" s="5">
        <v>1685</v>
      </c>
      <c r="B1746" s="138">
        <f>'Tax Sched 23'!B6</f>
        <v>113298</v>
      </c>
      <c r="C1746" s="2" t="s">
        <v>594</v>
      </c>
      <c r="D1746" s="2" t="str">
        <f t="shared" si="26"/>
        <v>Error?</v>
      </c>
    </row>
    <row r="1747" spans="1:5" x14ac:dyDescent="0.2">
      <c r="A1747" s="5">
        <v>1686</v>
      </c>
      <c r="B1747" s="138">
        <f>'Tax Sched 23'!B7</f>
        <v>84386</v>
      </c>
      <c r="C1747" s="2" t="s">
        <v>594</v>
      </c>
      <c r="D1747" s="2" t="str">
        <f t="shared" si="26"/>
        <v>Error?</v>
      </c>
    </row>
    <row r="1748" spans="1:5" x14ac:dyDescent="0.2">
      <c r="A1748" s="5">
        <v>1687</v>
      </c>
      <c r="B1748" s="138">
        <f>'Tax Sched 23'!B8</f>
        <v>84386</v>
      </c>
      <c r="C1748" s="2" t="s">
        <v>594</v>
      </c>
      <c r="D1748" s="2" t="str">
        <f t="shared" si="26"/>
        <v>Error?</v>
      </c>
    </row>
    <row r="1749" spans="1:5" x14ac:dyDescent="0.2">
      <c r="A1749" s="5">
        <v>1688</v>
      </c>
      <c r="B1749" s="138">
        <f>'Tax Sched 23'!B10</f>
        <v>35998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23823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1916086</v>
      </c>
      <c r="C1759" s="2" t="s">
        <v>594</v>
      </c>
      <c r="D1759" s="2" t="str">
        <f t="shared" si="26"/>
        <v>Error?</v>
      </c>
    </row>
    <row r="1760" spans="1:5" x14ac:dyDescent="0.2">
      <c r="A1760" s="5">
        <v>1699</v>
      </c>
      <c r="B1760" s="138">
        <f>'Tax Sched 23'!D4</f>
        <v>1214816</v>
      </c>
      <c r="C1760" s="2" t="s">
        <v>594</v>
      </c>
      <c r="D1760" s="2" t="str">
        <f t="shared" si="26"/>
        <v>Error?</v>
      </c>
    </row>
    <row r="1761" spans="1:5" x14ac:dyDescent="0.2">
      <c r="A1761" s="5">
        <v>1700</v>
      </c>
      <c r="B1761" s="138">
        <f>'Tax Sched 23'!D5</f>
        <v>273006</v>
      </c>
      <c r="C1761" s="2" t="s">
        <v>594</v>
      </c>
      <c r="D1761" s="2" t="str">
        <f t="shared" si="26"/>
        <v>Error?</v>
      </c>
    </row>
    <row r="1762" spans="1:5" s="8" customFormat="1" x14ac:dyDescent="0.2">
      <c r="A1762" s="5">
        <v>1701</v>
      </c>
      <c r="B1762" s="138">
        <f>'Tax Sched 23'!D6</f>
        <v>113298</v>
      </c>
      <c r="C1762" s="2" t="s">
        <v>594</v>
      </c>
      <c r="D1762" s="2" t="str">
        <f t="shared" si="26"/>
        <v>Error?</v>
      </c>
      <c r="E1762" s="9"/>
    </row>
    <row r="1763" spans="1:5" x14ac:dyDescent="0.2">
      <c r="A1763" s="5">
        <v>1702</v>
      </c>
      <c r="B1763" s="138">
        <f>'Tax Sched 23'!D7</f>
        <v>84386</v>
      </c>
      <c r="C1763" s="2" t="s">
        <v>594</v>
      </c>
      <c r="D1763" s="2" t="str">
        <f t="shared" si="26"/>
        <v>Error?</v>
      </c>
    </row>
    <row r="1764" spans="1:5" x14ac:dyDescent="0.2">
      <c r="A1764" s="5">
        <v>1703</v>
      </c>
      <c r="B1764" s="138">
        <f>'Tax Sched 23'!D8</f>
        <v>84386</v>
      </c>
      <c r="C1764" s="2" t="s">
        <v>594</v>
      </c>
      <c r="D1764" s="2" t="str">
        <f t="shared" si="26"/>
        <v>Error?</v>
      </c>
    </row>
    <row r="1765" spans="1:5" x14ac:dyDescent="0.2">
      <c r="A1765" s="5">
        <v>1704</v>
      </c>
      <c r="B1765" s="138">
        <f>'Tax Sched 23'!D10</f>
        <v>35998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23823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1916086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1226990.57</v>
      </c>
      <c r="C1792" s="2" t="s">
        <v>594</v>
      </c>
      <c r="D1792" s="2" t="str">
        <f t="shared" si="27"/>
        <v>Error?</v>
      </c>
    </row>
    <row r="1793" spans="1:4" x14ac:dyDescent="0.2">
      <c r="A1793" s="5">
        <v>1732</v>
      </c>
      <c r="B1793" s="138">
        <f>'Tax Sched 23'!F5</f>
        <v>285000.40999999997</v>
      </c>
      <c r="C1793" s="2" t="s">
        <v>594</v>
      </c>
      <c r="D1793" s="2" t="str">
        <f t="shared" si="27"/>
        <v>Error?</v>
      </c>
    </row>
    <row r="1794" spans="1:4" x14ac:dyDescent="0.2">
      <c r="A1794" s="5">
        <v>1733</v>
      </c>
      <c r="B1794" s="138">
        <f>'Tax Sched 23'!F6</f>
        <v>115767.83</v>
      </c>
      <c r="C1794" s="2" t="s">
        <v>594</v>
      </c>
      <c r="D1794" s="2" t="str">
        <f t="shared" si="27"/>
        <v>Error?</v>
      </c>
    </row>
    <row r="1795" spans="1:4" x14ac:dyDescent="0.2">
      <c r="A1795" s="5">
        <v>1734</v>
      </c>
      <c r="B1795" s="138">
        <f>'Tax Sched 23'!F7</f>
        <v>90002.5</v>
      </c>
      <c r="C1795" s="2" t="s">
        <v>594</v>
      </c>
      <c r="D1795" s="2" t="str">
        <f t="shared" si="27"/>
        <v>Error?</v>
      </c>
    </row>
    <row r="1796" spans="1:4" x14ac:dyDescent="0.2">
      <c r="A1796" s="5">
        <v>1735</v>
      </c>
      <c r="B1796" s="138">
        <f>'Tax Sched 23'!F8</f>
        <v>95002.64</v>
      </c>
      <c r="C1796" s="2" t="s">
        <v>594</v>
      </c>
      <c r="D1796" s="2" t="str">
        <f t="shared" si="27"/>
        <v>Error?</v>
      </c>
    </row>
    <row r="1797" spans="1:4" x14ac:dyDescent="0.2">
      <c r="A1797" s="5">
        <v>1736</v>
      </c>
      <c r="B1797" s="138">
        <f>'Tax Sched 23'!F10</f>
        <v>37482.300000000003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25997.72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1981246.88</v>
      </c>
      <c r="C1807" s="2" t="s">
        <v>594</v>
      </c>
      <c r="D1807" s="2" t="str">
        <f t="shared" si="27"/>
        <v>Error?</v>
      </c>
    </row>
    <row r="1808" spans="1:4" x14ac:dyDescent="0.2">
      <c r="A1808" s="5">
        <v>1747</v>
      </c>
      <c r="B1808" s="138">
        <f>'Tax Sched 23'!E4</f>
        <v>1226990.57</v>
      </c>
      <c r="D1808" s="2" t="str">
        <f t="shared" si="27"/>
        <v>Error?</v>
      </c>
    </row>
    <row r="1809" spans="1:4" x14ac:dyDescent="0.2">
      <c r="A1809" s="5">
        <v>1748</v>
      </c>
      <c r="B1809" s="138">
        <f>'Tax Sched 23'!E5</f>
        <v>285000.40999999997</v>
      </c>
      <c r="D1809" s="2" t="str">
        <f t="shared" si="27"/>
        <v>Error?</v>
      </c>
    </row>
    <row r="1810" spans="1:4" x14ac:dyDescent="0.2">
      <c r="A1810" s="5">
        <v>1749</v>
      </c>
      <c r="B1810" s="138">
        <f>'Tax Sched 23'!E6</f>
        <v>115767.83</v>
      </c>
      <c r="D1810" s="2" t="str">
        <f t="shared" si="27"/>
        <v>Error?</v>
      </c>
    </row>
    <row r="1811" spans="1:4" x14ac:dyDescent="0.2">
      <c r="A1811" s="5">
        <v>1750</v>
      </c>
      <c r="B1811" s="138">
        <f>'Tax Sched 23'!E7</f>
        <v>90002.5</v>
      </c>
      <c r="D1811" s="2" t="str">
        <f t="shared" si="27"/>
        <v>Error?</v>
      </c>
    </row>
    <row r="1812" spans="1:4" x14ac:dyDescent="0.2">
      <c r="A1812" s="5">
        <v>1751</v>
      </c>
      <c r="B1812" s="138">
        <f>'Tax Sched 23'!E8</f>
        <v>95002.64</v>
      </c>
      <c r="D1812" s="2" t="str">
        <f t="shared" si="27"/>
        <v>Error?</v>
      </c>
    </row>
    <row r="1813" spans="1:4" x14ac:dyDescent="0.2">
      <c r="A1813" s="5">
        <v>1752</v>
      </c>
      <c r="B1813" s="138">
        <f>'Tax Sched 23'!E10</f>
        <v>37482.300000000003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25997.72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1981246.88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1093382</v>
      </c>
      <c r="C1939" s="2" t="s">
        <v>594</v>
      </c>
      <c r="D1939" s="2" t="str">
        <f t="shared" si="29"/>
        <v>Error?</v>
      </c>
    </row>
    <row r="1940" spans="1:5" x14ac:dyDescent="0.2">
      <c r="A1940" s="5">
        <v>1879</v>
      </c>
      <c r="B1940" s="138">
        <f>'Short-Term Long-Term Debt 24'!F49</f>
        <v>2813000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23823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23823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23823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30100</v>
      </c>
      <c r="D2008" s="2" t="str">
        <f t="shared" si="30"/>
        <v>Error?</v>
      </c>
    </row>
    <row r="2009" spans="1:4" x14ac:dyDescent="0.2">
      <c r="A2009" s="5">
        <v>1948</v>
      </c>
      <c r="B2009" s="138">
        <f>'Cap Outlay Deprec 26'!C8</f>
        <v>10661344</v>
      </c>
      <c r="D2009" s="2" t="str">
        <f t="shared" si="30"/>
        <v>Error?</v>
      </c>
    </row>
    <row r="2010" spans="1:4" x14ac:dyDescent="0.2">
      <c r="A2010" s="5">
        <v>1949</v>
      </c>
      <c r="B2010" s="138">
        <f>'Cap Outlay Deprec 26'!C10</f>
        <v>963844</v>
      </c>
      <c r="D2010" s="2" t="str">
        <f t="shared" si="30"/>
        <v>Error?</v>
      </c>
    </row>
    <row r="2011" spans="1:4" x14ac:dyDescent="0.2">
      <c r="A2011" s="5">
        <v>1950</v>
      </c>
      <c r="B2011" s="138">
        <f>'Cap Outlay Deprec 26'!C12</f>
        <v>1309271</v>
      </c>
      <c r="D2011" s="2" t="str">
        <f t="shared" si="30"/>
        <v>Error?</v>
      </c>
    </row>
    <row r="2012" spans="1:4" x14ac:dyDescent="0.2">
      <c r="A2012" s="5">
        <v>1951</v>
      </c>
      <c r="B2012" s="138">
        <f>'Cap Outlay Deprec 26'!C13</f>
        <v>1690061</v>
      </c>
      <c r="D2012" s="2" t="str">
        <f t="shared" si="30"/>
        <v>Error?</v>
      </c>
    </row>
    <row r="2013" spans="1:4" x14ac:dyDescent="0.2">
      <c r="A2013" s="5">
        <v>1952</v>
      </c>
      <c r="B2013" s="138">
        <f>'Cap Outlay Deprec 26'!C16</f>
        <v>14654620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918373</v>
      </c>
      <c r="D2015" s="2" t="str">
        <f t="shared" si="30"/>
        <v>Error?</v>
      </c>
    </row>
    <row r="2016" spans="1:4" x14ac:dyDescent="0.2">
      <c r="A2016" s="5">
        <v>1955</v>
      </c>
      <c r="B2016" s="138">
        <f>'Cap Outlay Deprec 26'!D10</f>
        <v>25228.23</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338164.8</v>
      </c>
      <c r="D2018" s="2" t="str">
        <f t="shared" si="30"/>
        <v>Error?</v>
      </c>
    </row>
    <row r="2019" spans="1:4" x14ac:dyDescent="0.2">
      <c r="A2019" s="5">
        <v>1958</v>
      </c>
      <c r="B2019" s="138">
        <f>'Cap Outlay Deprec 26'!D16</f>
        <v>1281766.03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30100</v>
      </c>
      <c r="C2026" s="2" t="s">
        <v>594</v>
      </c>
      <c r="D2026" s="2" t="str">
        <f t="shared" si="30"/>
        <v>Error?</v>
      </c>
    </row>
    <row r="2027" spans="1:4" x14ac:dyDescent="0.2">
      <c r="A2027" s="5">
        <v>1966</v>
      </c>
      <c r="B2027" s="138">
        <f>'Cap Outlay Deprec 26'!F8</f>
        <v>11579717</v>
      </c>
      <c r="C2027" s="2" t="s">
        <v>594</v>
      </c>
      <c r="D2027" s="2" t="str">
        <f t="shared" si="30"/>
        <v>Error?</v>
      </c>
    </row>
    <row r="2028" spans="1:4" x14ac:dyDescent="0.2">
      <c r="A2028" s="5">
        <v>1967</v>
      </c>
      <c r="B2028" s="138">
        <f>'Cap Outlay Deprec 26'!F10</f>
        <v>989072.23</v>
      </c>
      <c r="C2028" s="2" t="s">
        <v>594</v>
      </c>
      <c r="D2028" s="2" t="str">
        <f t="shared" si="30"/>
        <v>Error?</v>
      </c>
    </row>
    <row r="2029" spans="1:4" x14ac:dyDescent="0.2">
      <c r="A2029" s="5">
        <v>1968</v>
      </c>
      <c r="B2029" s="138">
        <f>'Cap Outlay Deprec 26'!F12</f>
        <v>1309271</v>
      </c>
      <c r="C2029" s="2" t="s">
        <v>594</v>
      </c>
      <c r="D2029" s="2" t="str">
        <f t="shared" si="30"/>
        <v>Error?</v>
      </c>
    </row>
    <row r="2030" spans="1:4" x14ac:dyDescent="0.2">
      <c r="A2030" s="5">
        <v>1969</v>
      </c>
      <c r="B2030" s="138">
        <f>'Cap Outlay Deprec 26'!F13</f>
        <v>2028225.8</v>
      </c>
      <c r="C2030" s="2" t="s">
        <v>594</v>
      </c>
      <c r="D2030" s="2" t="str">
        <f t="shared" si="30"/>
        <v>Error?</v>
      </c>
    </row>
    <row r="2031" spans="1:4" x14ac:dyDescent="0.2">
      <c r="A2031" s="5">
        <v>1970</v>
      </c>
      <c r="B2031" s="138">
        <f>'Cap Outlay Deprec 26'!F16</f>
        <v>15936386.030000001</v>
      </c>
      <c r="C2031" s="2" t="s">
        <v>594</v>
      </c>
      <c r="D2031" s="2" t="str">
        <f t="shared" si="30"/>
        <v>Error?</v>
      </c>
    </row>
    <row r="2032" spans="1:4" x14ac:dyDescent="0.2">
      <c r="A2032" s="10">
        <v>1971</v>
      </c>
      <c r="D2032" s="2" t="str">
        <f t="shared" si="30"/>
        <v>OK</v>
      </c>
    </row>
    <row r="2033" spans="1:4" x14ac:dyDescent="0.2">
      <c r="A2033" s="5">
        <v>1972</v>
      </c>
      <c r="B2033" s="138">
        <f>'Cap Outlay Deprec 26'!H8</f>
        <v>4733304</v>
      </c>
      <c r="D2033" s="2" t="str">
        <f t="shared" si="30"/>
        <v>Error?</v>
      </c>
    </row>
    <row r="2034" spans="1:4" x14ac:dyDescent="0.2">
      <c r="A2034" s="5">
        <v>1973</v>
      </c>
      <c r="B2034" s="138">
        <f>'Cap Outlay Deprec 26'!H10</f>
        <v>459462</v>
      </c>
      <c r="D2034" s="2" t="str">
        <f t="shared" si="30"/>
        <v>Error?</v>
      </c>
    </row>
    <row r="2035" spans="1:4" x14ac:dyDescent="0.2">
      <c r="A2035" s="5">
        <v>1974</v>
      </c>
      <c r="B2035" s="138">
        <f>'Cap Outlay Deprec 26'!H12</f>
        <v>1309271</v>
      </c>
      <c r="D2035" s="2" t="str">
        <f t="shared" si="30"/>
        <v>Error?</v>
      </c>
    </row>
    <row r="2036" spans="1:4" x14ac:dyDescent="0.2">
      <c r="A2036" s="5">
        <v>1975</v>
      </c>
      <c r="B2036" s="138">
        <f>'Cap Outlay Deprec 26'!H13</f>
        <v>1653397</v>
      </c>
      <c r="D2036" s="2" t="str">
        <f t="shared" si="30"/>
        <v>Error?</v>
      </c>
    </row>
    <row r="2037" spans="1:4" x14ac:dyDescent="0.2">
      <c r="A2037" s="5">
        <v>1976</v>
      </c>
      <c r="B2037" s="138">
        <f>'Cap Outlay Deprec 26'!H16</f>
        <v>8155434</v>
      </c>
      <c r="C2037" s="2" t="s">
        <v>594</v>
      </c>
      <c r="D2037" s="2" t="str">
        <f t="shared" si="30"/>
        <v>Error?</v>
      </c>
    </row>
    <row r="2038" spans="1:4" x14ac:dyDescent="0.2">
      <c r="A2038" s="10">
        <v>1977</v>
      </c>
      <c r="D2038" s="2" t="str">
        <f t="shared" si="30"/>
        <v>OK</v>
      </c>
    </row>
    <row r="2039" spans="1:4" x14ac:dyDescent="0.2">
      <c r="A2039" s="5">
        <v>1978</v>
      </c>
      <c r="B2039" s="138">
        <f>'Cap Outlay Deprec 26'!I8</f>
        <v>233465</v>
      </c>
      <c r="D2039" s="2" t="str">
        <f t="shared" si="30"/>
        <v>Error?</v>
      </c>
    </row>
    <row r="2040" spans="1:4" x14ac:dyDescent="0.2">
      <c r="A2040" s="5">
        <v>1979</v>
      </c>
      <c r="B2040" s="138">
        <f>'Cap Outlay Deprec 26'!I10</f>
        <v>49454</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80125</v>
      </c>
      <c r="D2042" s="2" t="str">
        <f t="shared" si="30"/>
        <v>Error?</v>
      </c>
    </row>
    <row r="2043" spans="1:4" x14ac:dyDescent="0.2">
      <c r="A2043" s="5">
        <v>1982</v>
      </c>
      <c r="B2043" s="138">
        <f>'Cap Outlay Deprec 26'!I16</f>
        <v>363044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4966769</v>
      </c>
      <c r="C2051" s="2" t="s">
        <v>594</v>
      </c>
      <c r="D2051" s="2" t="str">
        <f t="shared" si="31"/>
        <v>Error?</v>
      </c>
    </row>
    <row r="2052" spans="1:4" x14ac:dyDescent="0.2">
      <c r="A2052" s="5">
        <v>1991</v>
      </c>
      <c r="B2052" s="138">
        <f>'Cap Outlay Deprec 26'!K10</f>
        <v>508916</v>
      </c>
      <c r="C2052" s="2" t="s">
        <v>594</v>
      </c>
      <c r="D2052" s="2" t="str">
        <f t="shared" si="31"/>
        <v>Error?</v>
      </c>
    </row>
    <row r="2053" spans="1:4" x14ac:dyDescent="0.2">
      <c r="A2053" s="5">
        <v>1992</v>
      </c>
      <c r="B2053" s="138">
        <f>'Cap Outlay Deprec 26'!K12</f>
        <v>1309271</v>
      </c>
      <c r="C2053" s="2" t="s">
        <v>594</v>
      </c>
      <c r="D2053" s="2" t="str">
        <f t="shared" si="31"/>
        <v>Error?</v>
      </c>
    </row>
    <row r="2054" spans="1:4" x14ac:dyDescent="0.2">
      <c r="A2054" s="5">
        <v>1993</v>
      </c>
      <c r="B2054" s="138">
        <f>'Cap Outlay Deprec 26'!K13</f>
        <v>1733522</v>
      </c>
      <c r="C2054" s="2" t="s">
        <v>594</v>
      </c>
      <c r="D2054" s="2" t="str">
        <f t="shared" si="31"/>
        <v>Error?</v>
      </c>
    </row>
    <row r="2055" spans="1:4" x14ac:dyDescent="0.2">
      <c r="A2055" s="5">
        <v>1994</v>
      </c>
      <c r="B2055" s="138">
        <f>'Cap Outlay Deprec 26'!K16</f>
        <v>8518478</v>
      </c>
      <c r="C2055" s="2" t="s">
        <v>594</v>
      </c>
      <c r="D2055" s="2" t="str">
        <f t="shared" si="31"/>
        <v>Error?</v>
      </c>
    </row>
    <row r="2056" spans="1:4" x14ac:dyDescent="0.2">
      <c r="A2056" s="5">
        <v>1995</v>
      </c>
      <c r="B2056" s="138">
        <f>'Cap Outlay Deprec 26'!L5</f>
        <v>30100</v>
      </c>
      <c r="C2056" s="2" t="s">
        <v>594</v>
      </c>
      <c r="D2056" s="2" t="str">
        <f t="shared" si="31"/>
        <v>Error?</v>
      </c>
    </row>
    <row r="2057" spans="1:4" x14ac:dyDescent="0.2">
      <c r="A2057" s="5">
        <v>1996</v>
      </c>
      <c r="B2057" s="138">
        <f>'Cap Outlay Deprec 26'!L8</f>
        <v>6612948</v>
      </c>
      <c r="C2057" s="2" t="s">
        <v>594</v>
      </c>
      <c r="D2057" s="2" t="str">
        <f t="shared" si="31"/>
        <v>Error?</v>
      </c>
    </row>
    <row r="2058" spans="1:4" x14ac:dyDescent="0.2">
      <c r="A2058" s="5">
        <v>1997</v>
      </c>
      <c r="B2058" s="138">
        <f>'Cap Outlay Deprec 26'!L10</f>
        <v>480156.23</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294703.80000000005</v>
      </c>
      <c r="C2060" s="2" t="s">
        <v>594</v>
      </c>
      <c r="D2060" s="2" t="str">
        <f t="shared" si="31"/>
        <v>Error?</v>
      </c>
    </row>
    <row r="2061" spans="1:4" x14ac:dyDescent="0.2">
      <c r="A2061" s="5">
        <v>2000</v>
      </c>
      <c r="B2061" s="138">
        <f>'Cap Outlay Deprec 26'!L16</f>
        <v>7417908.0300000012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201100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32796</v>
      </c>
      <c r="D2475" s="2" t="str">
        <f t="shared" si="37"/>
        <v>Error?</v>
      </c>
    </row>
    <row r="2476" spans="1:4" x14ac:dyDescent="0.2">
      <c r="A2476" s="10">
        <v>2415</v>
      </c>
      <c r="D2476" s="2" t="str">
        <f t="shared" si="37"/>
        <v>OK</v>
      </c>
    </row>
    <row r="2477" spans="1:4" x14ac:dyDescent="0.2">
      <c r="A2477" s="5">
        <v>2416</v>
      </c>
      <c r="B2477" s="138">
        <f>'Assets-Liab 5-6'!G38</f>
        <v>100099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239551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2063235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1412591</v>
      </c>
      <c r="C2551" s="2" t="s">
        <v>594</v>
      </c>
      <c r="D2551" s="2" t="str">
        <f t="shared" si="38"/>
        <v>Error?</v>
      </c>
    </row>
    <row r="2552" spans="1:4" x14ac:dyDescent="0.2">
      <c r="A2552" s="10">
        <v>2491</v>
      </c>
      <c r="D2552" s="2" t="str">
        <f t="shared" si="38"/>
        <v>OK</v>
      </c>
    </row>
    <row r="2553" spans="1:4" x14ac:dyDescent="0.2">
      <c r="A2553" s="5">
        <v>2492</v>
      </c>
      <c r="B2553" s="138">
        <f>'Acct Summary 7-8'!C6</f>
        <v>3622071</v>
      </c>
      <c r="C2553" s="2" t="s">
        <v>594</v>
      </c>
      <c r="D2553" s="2" t="str">
        <f t="shared" si="38"/>
        <v>Error?</v>
      </c>
    </row>
    <row r="2554" spans="1:4" x14ac:dyDescent="0.2">
      <c r="A2554" s="5">
        <v>2493</v>
      </c>
      <c r="B2554" s="138">
        <f>'Acct Summary 7-8'!C7</f>
        <v>563694</v>
      </c>
      <c r="C2554" s="2" t="s">
        <v>594</v>
      </c>
      <c r="D2554" s="2" t="str">
        <f t="shared" si="38"/>
        <v>Error?</v>
      </c>
    </row>
    <row r="2555" spans="1:4" x14ac:dyDescent="0.2">
      <c r="A2555" s="5">
        <v>2494</v>
      </c>
      <c r="B2555" s="138">
        <f>'Acct Summary 7-8'!C8</f>
        <v>5598356</v>
      </c>
      <c r="C2555" s="2" t="s">
        <v>594</v>
      </c>
      <c r="D2555" s="2" t="str">
        <f t="shared" si="38"/>
        <v>Error?</v>
      </c>
    </row>
    <row r="2556" spans="1:4" x14ac:dyDescent="0.2">
      <c r="A2556" s="5">
        <v>2495</v>
      </c>
      <c r="B2556" s="138">
        <f>'Acct Summary 7-8'!C12</f>
        <v>4054649</v>
      </c>
      <c r="C2556" s="2" t="s">
        <v>594</v>
      </c>
      <c r="D2556" s="2" t="str">
        <f t="shared" si="38"/>
        <v>Error?</v>
      </c>
    </row>
    <row r="2557" spans="1:4" x14ac:dyDescent="0.2">
      <c r="A2557" s="5">
        <v>2496</v>
      </c>
      <c r="B2557" s="138">
        <f>'Acct Summary 7-8'!C13</f>
        <v>1214689</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201100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5470438</v>
      </c>
      <c r="C2561" s="2" t="s">
        <v>594</v>
      </c>
      <c r="D2561" s="2" t="str">
        <f t="shared" si="39"/>
        <v>Error?</v>
      </c>
    </row>
    <row r="2562" spans="1:4" x14ac:dyDescent="0.2">
      <c r="A2562" s="5">
        <v>2501</v>
      </c>
      <c r="B2562" s="138">
        <f>'Acct Summary 7-8'!C20</f>
        <v>127918</v>
      </c>
      <c r="C2562" s="2" t="s">
        <v>594</v>
      </c>
      <c r="D2562" s="2" t="str">
        <f t="shared" si="39"/>
        <v>Error?</v>
      </c>
    </row>
    <row r="2563" spans="1:4" x14ac:dyDescent="0.2">
      <c r="A2563" s="5">
        <v>2502</v>
      </c>
      <c r="B2563" s="138">
        <f>'Acct Summary 7-8'!C80</f>
        <v>-3460</v>
      </c>
      <c r="D2563" s="2" t="str">
        <f t="shared" si="39"/>
        <v>Error?</v>
      </c>
    </row>
    <row r="2564" spans="1:4" x14ac:dyDescent="0.2">
      <c r="A2564" s="5">
        <v>2503</v>
      </c>
      <c r="B2564" s="138">
        <f>'Acct Summary 7-8'!D4</f>
        <v>314211</v>
      </c>
      <c r="C2564" s="2" t="s">
        <v>594</v>
      </c>
      <c r="D2564" s="2" t="str">
        <f t="shared" si="39"/>
        <v>Error?</v>
      </c>
    </row>
    <row r="2565" spans="1:4" x14ac:dyDescent="0.2">
      <c r="A2565" s="10">
        <v>2504</v>
      </c>
      <c r="D2565" s="2" t="str">
        <f t="shared" si="39"/>
        <v>OK</v>
      </c>
    </row>
    <row r="2566" spans="1:4" x14ac:dyDescent="0.2">
      <c r="A2566" s="5">
        <v>2505</v>
      </c>
      <c r="B2566" s="138">
        <f>'Acct Summary 7-8'!D6</f>
        <v>104500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418711</v>
      </c>
      <c r="C2568" s="2" t="s">
        <v>594</v>
      </c>
      <c r="D2568" s="2" t="str">
        <f t="shared" si="39"/>
        <v>Error?</v>
      </c>
    </row>
    <row r="2569" spans="1:4" x14ac:dyDescent="0.2">
      <c r="A2569" s="5">
        <v>2508</v>
      </c>
      <c r="B2569" s="138">
        <f>'Acct Summary 7-8'!D13</f>
        <v>512677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512677</v>
      </c>
      <c r="C2573" s="2" t="s">
        <v>594</v>
      </c>
      <c r="D2573" s="2" t="str">
        <f t="shared" si="39"/>
        <v>Error?</v>
      </c>
    </row>
    <row r="2574" spans="1:4" x14ac:dyDescent="0.2">
      <c r="A2574" s="5">
        <v>2513</v>
      </c>
      <c r="B2574" s="138">
        <f>'Acct Summary 7-8'!D20</f>
        <v>-93966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87607</v>
      </c>
      <c r="C2591" s="2" t="s">
        <v>594</v>
      </c>
      <c r="D2591" s="2" t="str">
        <f t="shared" si="39"/>
        <v>Error?</v>
      </c>
    </row>
    <row r="2592" spans="1:4" x14ac:dyDescent="0.2">
      <c r="A2592" s="10">
        <v>2531</v>
      </c>
      <c r="D2592" s="2" t="str">
        <f t="shared" si="39"/>
        <v>OK</v>
      </c>
    </row>
    <row r="2593" spans="1:4" x14ac:dyDescent="0.2">
      <c r="A2593" s="5">
        <v>2532</v>
      </c>
      <c r="B2593" s="138">
        <f>'Acct Summary 7-8'!F6</f>
        <v>254333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341940</v>
      </c>
      <c r="C2595" s="2" t="s">
        <v>594</v>
      </c>
      <c r="D2595" s="2" t="str">
        <f t="shared" si="39"/>
        <v>Error?</v>
      </c>
    </row>
    <row r="2596" spans="1:4" x14ac:dyDescent="0.2">
      <c r="A2596" s="5">
        <v>2535</v>
      </c>
      <c r="B2596" s="138">
        <f>'Acct Summary 7-8'!F13</f>
        <v>376384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376384</v>
      </c>
      <c r="C2600" s="2" t="s">
        <v>594</v>
      </c>
      <c r="D2600" s="2" t="str">
        <f t="shared" si="39"/>
        <v>Error?</v>
      </c>
    </row>
    <row r="2601" spans="1:4" x14ac:dyDescent="0.2">
      <c r="A2601" s="5">
        <v>2540</v>
      </c>
      <c r="B2601" s="138">
        <f>'Acct Summary 7-8'!F20</f>
        <v>-34444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201186</v>
      </c>
      <c r="C2603" s="2" t="s">
        <v>594</v>
      </c>
      <c r="D2603" s="2" t="str">
        <f t="shared" si="39"/>
        <v>Error?</v>
      </c>
    </row>
    <row r="2604" spans="1:4" x14ac:dyDescent="0.2">
      <c r="A2604" s="5">
        <v>2543</v>
      </c>
      <c r="B2604" s="138">
        <f>'Acct Summary 7-8'!G6</f>
        <v>27000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228186</v>
      </c>
      <c r="C2606" s="2" t="s">
        <v>594</v>
      </c>
      <c r="D2606" s="2" t="str">
        <f t="shared" si="39"/>
        <v>Error?</v>
      </c>
    </row>
    <row r="2607" spans="1:4" x14ac:dyDescent="0.2">
      <c r="A2607" s="5">
        <v>2546</v>
      </c>
      <c r="B2607" s="138">
        <f>'Acct Summary 7-8'!G12</f>
        <v>142437</v>
      </c>
      <c r="C2607" s="2" t="s">
        <v>594</v>
      </c>
      <c r="D2607" s="2" t="str">
        <f t="shared" si="39"/>
        <v>Error?</v>
      </c>
    </row>
    <row r="2608" spans="1:4" x14ac:dyDescent="0.2">
      <c r="A2608" s="5">
        <v>2547</v>
      </c>
      <c r="B2608" s="138">
        <f>'Acct Summary 7-8'!G13</f>
        <v>127273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269710</v>
      </c>
      <c r="C2612" s="2" t="s">
        <v>594</v>
      </c>
      <c r="D2612" s="2" t="str">
        <f t="shared" si="39"/>
        <v>Error?</v>
      </c>
    </row>
    <row r="2613" spans="1:4" x14ac:dyDescent="0.2">
      <c r="A2613" s="5">
        <v>2552</v>
      </c>
      <c r="B2613" s="138">
        <f>'Acct Summary 7-8'!G20</f>
        <v>-41524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114541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114541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181523</v>
      </c>
      <c r="C2634" s="2" t="s">
        <v>594</v>
      </c>
      <c r="D2634" s="2" t="str">
        <f t="shared" si="40"/>
        <v>Error?</v>
      </c>
    </row>
    <row r="2635" spans="1:4" x14ac:dyDescent="0.2">
      <c r="A2635" s="5">
        <v>2574</v>
      </c>
      <c r="B2635" s="138">
        <f>'Acct Summary 7-8'!E17</f>
        <v>181523</v>
      </c>
      <c r="C2635" s="2" t="s">
        <v>594</v>
      </c>
      <c r="D2635" s="2" t="str">
        <f t="shared" si="40"/>
        <v>Error?</v>
      </c>
    </row>
    <row r="2636" spans="1:4" x14ac:dyDescent="0.2">
      <c r="A2636" s="5">
        <v>2575</v>
      </c>
      <c r="B2636" s="138">
        <f>'Acct Summary 7-8'!E20</f>
        <v>-66982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352966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352966</v>
      </c>
      <c r="C2658" s="2" t="s">
        <v>594</v>
      </c>
      <c r="D2658" s="2" t="str">
        <f t="shared" si="40"/>
        <v>Error?</v>
      </c>
    </row>
    <row r="2659" spans="1:4" x14ac:dyDescent="0.2">
      <c r="A2659" s="5">
        <v>2598</v>
      </c>
      <c r="B2659" s="138">
        <f>'Acct Summary 7-8'!H13</f>
        <v>863364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863364</v>
      </c>
      <c r="C2661" s="2" t="s">
        <v>594</v>
      </c>
      <c r="D2661" s="2" t="str">
        <f t="shared" si="40"/>
        <v>Error?</v>
      </c>
    </row>
    <row r="2662" spans="1:4" x14ac:dyDescent="0.2">
      <c r="A2662" s="5">
        <v>2601</v>
      </c>
      <c r="B2662" s="138">
        <f>'Acct Summary 7-8'!H20</f>
        <v>-510398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649</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201100</v>
      </c>
      <c r="C2789" s="2" t="s">
        <v>594</v>
      </c>
      <c r="D2789" s="2" t="str">
        <f t="shared" si="42"/>
        <v>Error?</v>
      </c>
    </row>
    <row r="2790" spans="1:4" x14ac:dyDescent="0.2">
      <c r="A2790" s="5">
        <v>2729</v>
      </c>
      <c r="B2790" s="138">
        <f>'Expenditures 15-22'!E102</f>
        <v>201100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649</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47706</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272378</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590440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9198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590440</v>
      </c>
      <c r="D2912" s="2" t="str">
        <f t="shared" si="44"/>
        <v>Error?</v>
      </c>
    </row>
    <row r="2913" spans="1:4" x14ac:dyDescent="0.2">
      <c r="A2913" s="5">
        <v>2852</v>
      </c>
      <c r="B2913" s="138">
        <f>'Assets-Liab 5-6'!I41</f>
        <v>590440</v>
      </c>
      <c r="C2913" s="2" t="s">
        <v>594</v>
      </c>
      <c r="D2913" s="2" t="str">
        <f t="shared" si="44"/>
        <v>Error?</v>
      </c>
    </row>
    <row r="2914" spans="1:4" x14ac:dyDescent="0.2">
      <c r="A2914" s="5">
        <v>2853</v>
      </c>
      <c r="B2914" s="138">
        <f>'Assets-Liab 5-6'!L33</f>
        <v>9198</v>
      </c>
      <c r="D2914" s="2" t="str">
        <f t="shared" si="44"/>
        <v>Error?</v>
      </c>
    </row>
    <row r="2915" spans="1:4" x14ac:dyDescent="0.2">
      <c r="A2915" s="10">
        <v>2854</v>
      </c>
      <c r="D2915" s="2" t="str">
        <f t="shared" si="44"/>
        <v>OK</v>
      </c>
    </row>
    <row r="2916" spans="1:4" x14ac:dyDescent="0.2">
      <c r="A2916" s="5">
        <v>2855</v>
      </c>
      <c r="B2916" s="138">
        <f>'Assets-Liab 5-6'!L34</f>
        <v>9198</v>
      </c>
      <c r="C2916" s="2" t="s">
        <v>594</v>
      </c>
      <c r="D2916" s="2" t="str">
        <f t="shared" si="44"/>
        <v>Error?</v>
      </c>
    </row>
    <row r="2917" spans="1:4" x14ac:dyDescent="0.2">
      <c r="A2917" s="5">
        <v>2856</v>
      </c>
      <c r="B2917" s="138">
        <f>'Assets-Liab 5-6'!L41</f>
        <v>9198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201100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201100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95004</v>
      </c>
      <c r="D3055" s="2" t="str">
        <f t="shared" si="46"/>
        <v>Error?</v>
      </c>
    </row>
    <row r="3056" spans="1:4" x14ac:dyDescent="0.2">
      <c r="A3056" s="5">
        <v>2995</v>
      </c>
      <c r="B3056" s="138">
        <f>'Expenditures 15-22'!D10</f>
        <v>36442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543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312</v>
      </c>
      <c r="D3060" s="2" t="str">
        <f t="shared" si="46"/>
        <v>Error?</v>
      </c>
    </row>
    <row r="3061" spans="1:4" x14ac:dyDescent="0.2">
      <c r="A3061" s="10">
        <v>3000</v>
      </c>
      <c r="D3061" s="2" t="str">
        <f t="shared" si="46"/>
        <v>OK</v>
      </c>
    </row>
    <row r="3062" spans="1:4" x14ac:dyDescent="0.2">
      <c r="A3062" s="5">
        <v>3001</v>
      </c>
      <c r="B3062" s="138">
        <f>'Expenditures 15-22'!K10</f>
        <v>132301</v>
      </c>
      <c r="C3062" s="2" t="s">
        <v>594</v>
      </c>
      <c r="D3062" s="2" t="str">
        <f t="shared" si="46"/>
        <v>Error?</v>
      </c>
    </row>
    <row r="3063" spans="1:4" x14ac:dyDescent="0.2">
      <c r="A3063" s="10">
        <v>3002</v>
      </c>
      <c r="D3063" s="2" t="str">
        <f t="shared" si="46"/>
        <v>OK</v>
      </c>
    </row>
    <row r="3064" spans="1:4" x14ac:dyDescent="0.2">
      <c r="A3064" s="5">
        <v>3003</v>
      </c>
      <c r="B3064" s="138">
        <f>'Expenditures 15-22'!D219</f>
        <v>17599</v>
      </c>
      <c r="D3064" s="2" t="str">
        <f t="shared" si="46"/>
        <v>Error?</v>
      </c>
    </row>
    <row r="3065" spans="1:4" x14ac:dyDescent="0.2">
      <c r="A3065" s="5">
        <v>3004</v>
      </c>
      <c r="B3065" s="138">
        <f>'Expenditures 15-22'!K219</f>
        <v>17599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116081</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116081</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38888</v>
      </c>
      <c r="C3225" s="2" t="s">
        <v>594</v>
      </c>
      <c r="D3225" s="2" t="str">
        <f t="shared" si="49"/>
        <v>Error?</v>
      </c>
    </row>
    <row r="3226" spans="1:4" x14ac:dyDescent="0.2">
      <c r="A3226" s="5">
        <v>3165</v>
      </c>
      <c r="B3226" s="138">
        <f>'Acct Summary 7-8'!I8</f>
        <v>38888</v>
      </c>
      <c r="C3226" s="2" t="s">
        <v>594</v>
      </c>
      <c r="D3226" s="2" t="str">
        <f t="shared" si="49"/>
        <v>Error?</v>
      </c>
    </row>
    <row r="3227" spans="1:4" x14ac:dyDescent="0.2">
      <c r="A3227" s="5">
        <v>3166</v>
      </c>
      <c r="B3227" s="138">
        <f>'Acct Summary 7-8'!I20</f>
        <v>38888</v>
      </c>
      <c r="C3227" s="2" t="s">
        <v>594</v>
      </c>
      <c r="D3227" s="2" t="str">
        <f t="shared" si="49"/>
        <v>Error?</v>
      </c>
    </row>
    <row r="3228" spans="1:4" x14ac:dyDescent="0.2">
      <c r="A3228" s="5">
        <v>3167</v>
      </c>
      <c r="B3228" s="138">
        <f>'Acct Summary 7-8'!C43</f>
        <v>60506</v>
      </c>
      <c r="D3228" s="2" t="str">
        <f t="shared" si="49"/>
        <v>Error?</v>
      </c>
    </row>
    <row r="3229" spans="1:4" x14ac:dyDescent="0.2">
      <c r="A3229" s="5">
        <v>3168</v>
      </c>
      <c r="B3229" s="138">
        <f>'Acct Summary 7-8'!C44</f>
        <v>60506</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50548</v>
      </c>
      <c r="C3231" s="2" t="s">
        <v>594</v>
      </c>
      <c r="D3231" s="2" t="str">
        <f t="shared" si="49"/>
        <v>Error?</v>
      </c>
    </row>
    <row r="3232" spans="1:4" x14ac:dyDescent="0.2">
      <c r="A3232" s="5">
        <v>3171</v>
      </c>
      <c r="B3232" s="138">
        <f>'Acct Summary 7-8'!C77</f>
        <v>9958</v>
      </c>
      <c r="C3232" s="2" t="s">
        <v>594</v>
      </c>
      <c r="D3232" s="2" t="str">
        <f t="shared" si="49"/>
        <v>Error?</v>
      </c>
    </row>
    <row r="3233" spans="1:4" x14ac:dyDescent="0.2">
      <c r="A3233" s="5">
        <v>3172</v>
      </c>
      <c r="B3233" s="138">
        <f>'Acct Summary 7-8'!C78</f>
        <v>137876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116730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16849</v>
      </c>
      <c r="C3237" s="2" t="s">
        <v>594</v>
      </c>
      <c r="D3237" s="2" t="str">
        <f t="shared" si="49"/>
        <v>Error?</v>
      </c>
    </row>
    <row r="3238" spans="1:4" x14ac:dyDescent="0.2">
      <c r="A3238" s="5">
        <v>3177</v>
      </c>
      <c r="B3238" s="138">
        <f>'Acct Summary 7-8'!D77</f>
        <v>99881</v>
      </c>
      <c r="C3238" s="2" t="s">
        <v>594</v>
      </c>
      <c r="D3238" s="2" t="str">
        <f t="shared" si="49"/>
        <v>Error?</v>
      </c>
    </row>
    <row r="3239" spans="1:4" x14ac:dyDescent="0.2">
      <c r="A3239" s="5">
        <v>3178</v>
      </c>
      <c r="B3239" s="138">
        <f>'Acct Summary 7-8'!D78</f>
        <v>5915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-34444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-41524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62780</v>
      </c>
      <c r="D3273" s="2" t="str">
        <f t="shared" si="50"/>
        <v>Error?</v>
      </c>
    </row>
    <row r="3274" spans="1:4" x14ac:dyDescent="0.2">
      <c r="A3274" s="5">
        <v>3213</v>
      </c>
      <c r="B3274" s="138">
        <f>'Acct Summary 7-8'!E44</f>
        <v>130177</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649</v>
      </c>
      <c r="C3276" s="2" t="s">
        <v>594</v>
      </c>
      <c r="D3276" s="2" t="str">
        <f t="shared" si="50"/>
        <v>Error?</v>
      </c>
    </row>
    <row r="3277" spans="1:4" x14ac:dyDescent="0.2">
      <c r="A3277" s="5">
        <v>3216</v>
      </c>
      <c r="B3277" s="138">
        <f>'Acct Summary 7-8'!E77</f>
        <v>129528</v>
      </c>
      <c r="C3277" s="2" t="s">
        <v>594</v>
      </c>
      <c r="D3277" s="2" t="str">
        <f t="shared" si="50"/>
        <v>Error?</v>
      </c>
    </row>
    <row r="3278" spans="1:4" x14ac:dyDescent="0.2">
      <c r="A3278" s="5">
        <v>3217</v>
      </c>
      <c r="B3278" s="138">
        <f>'Acct Summary 7-8'!E78</f>
        <v>62546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2813000</v>
      </c>
      <c r="C3296" s="2" t="s">
        <v>594</v>
      </c>
      <c r="D3296" s="2" t="str">
        <f t="shared" si="50"/>
        <v>Error?</v>
      </c>
    </row>
    <row r="3297" spans="1:4" x14ac:dyDescent="0.2">
      <c r="A3297" s="5">
        <v>3236</v>
      </c>
      <c r="B3297" s="138">
        <f>'Acct Summary 7-8'!H75</f>
        <v>123286</v>
      </c>
      <c r="D3297" s="2" t="str">
        <f t="shared" si="50"/>
        <v>Error?</v>
      </c>
    </row>
    <row r="3298" spans="1:4" x14ac:dyDescent="0.2">
      <c r="A3298" s="5">
        <v>3237</v>
      </c>
      <c r="B3298" s="138">
        <f>'Acct Summary 7-8'!H76</f>
        <v>239367</v>
      </c>
      <c r="C3298" s="2" t="s">
        <v>594</v>
      </c>
      <c r="D3298" s="2" t="str">
        <f t="shared" si="50"/>
        <v>Error?</v>
      </c>
    </row>
    <row r="3299" spans="1:4" x14ac:dyDescent="0.2">
      <c r="A3299" s="5">
        <v>3238</v>
      </c>
      <c r="B3299" s="138">
        <f>'Acct Summary 7-8'!H77</f>
        <v>2573633</v>
      </c>
      <c r="C3299" s="2" t="s">
        <v>594</v>
      </c>
      <c r="D3299" s="2" t="str">
        <f t="shared" si="50"/>
        <v>Error?</v>
      </c>
    </row>
    <row r="3300" spans="1:4" x14ac:dyDescent="0.2">
      <c r="A3300" s="5">
        <v>3239</v>
      </c>
      <c r="B3300" s="138">
        <f>'Acct Summary 7-8'!H78</f>
        <v>2063235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38888</v>
      </c>
      <c r="C3320" s="2" t="s">
        <v>594</v>
      </c>
      <c r="D3320" s="2" t="str">
        <f t="shared" si="50"/>
        <v>Error?</v>
      </c>
    </row>
    <row r="3321" spans="1:4" x14ac:dyDescent="0.2">
      <c r="A3321" s="5">
        <v>3260</v>
      </c>
      <c r="B3321" s="138">
        <f>'Acct Summary 7-8'!I79</f>
        <v>551552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590440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333513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69970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500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1091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405074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87619</v>
      </c>
      <c r="D3387" s="2" t="str">
        <f t="shared" si="51"/>
        <v>Error?</v>
      </c>
    </row>
    <row r="3388" spans="1:4" x14ac:dyDescent="0.2">
      <c r="A3388" s="5">
        <v>3327</v>
      </c>
      <c r="B3388" s="138">
        <f>'Expenditures 15-22'!D217</f>
        <v>3477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87619</v>
      </c>
      <c r="C3390" s="2" t="s">
        <v>594</v>
      </c>
      <c r="D3390" s="2" t="str">
        <f t="shared" si="51"/>
        <v>Error?</v>
      </c>
    </row>
    <row r="3391" spans="1:4" x14ac:dyDescent="0.2">
      <c r="A3391" s="5">
        <v>3330</v>
      </c>
      <c r="B3391" s="138">
        <f>'Expenditures 15-22'!K217</f>
        <v>3477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383923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169705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239551</v>
      </c>
      <c r="D3417" s="2" t="str">
        <f t="shared" si="52"/>
        <v>Error?</v>
      </c>
    </row>
    <row r="3418" spans="1:4" x14ac:dyDescent="0.2">
      <c r="A3418" s="10">
        <v>3357</v>
      </c>
      <c r="D3418" s="2" t="str">
        <f t="shared" si="52"/>
        <v>OK</v>
      </c>
    </row>
    <row r="3419" spans="1:4" x14ac:dyDescent="0.2">
      <c r="A3419" s="5">
        <v>3358</v>
      </c>
      <c r="B3419" s="138">
        <f>'Assets-Liab 5-6'!F4</f>
        <v>32796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100099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2063235</v>
      </c>
      <c r="D3425" s="2" t="str">
        <f t="shared" si="52"/>
        <v>Error?</v>
      </c>
    </row>
    <row r="3426" spans="1:4" x14ac:dyDescent="0.2">
      <c r="A3426" s="10">
        <v>3365</v>
      </c>
      <c r="D3426" s="2" t="str">
        <f t="shared" si="52"/>
        <v>OK</v>
      </c>
    </row>
    <row r="3427" spans="1:4" x14ac:dyDescent="0.2">
      <c r="A3427" s="5">
        <v>3366</v>
      </c>
      <c r="B3427" s="138">
        <f>'Assets-Liab 5-6'!I4</f>
        <v>590440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9198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86373</v>
      </c>
      <c r="C3446" s="2" t="s">
        <v>594</v>
      </c>
      <c r="D3446" s="2" t="str">
        <f t="shared" si="52"/>
        <v>Error?</v>
      </c>
    </row>
    <row r="3447" spans="1:4" x14ac:dyDescent="0.2">
      <c r="A3447" s="5">
        <v>3386</v>
      </c>
      <c r="B3447" s="138">
        <f>'Tax Sched 23'!D16</f>
        <v>86373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105002.91</v>
      </c>
      <c r="C3449" s="2" t="s">
        <v>594</v>
      </c>
      <c r="D3449" s="2" t="str">
        <f t="shared" si="52"/>
        <v>Error?</v>
      </c>
    </row>
    <row r="3450" spans="1:4" x14ac:dyDescent="0.2">
      <c r="A3450" s="5">
        <v>3389</v>
      </c>
      <c r="B3450" s="138">
        <f>'Tax Sched 23'!E16</f>
        <v>105002.91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171864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349455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5947811</v>
      </c>
      <c r="C4122" s="2" t="s">
        <v>594</v>
      </c>
      <c r="D4122" s="2" t="str">
        <f t="shared" si="63"/>
        <v>Error?</v>
      </c>
    </row>
    <row r="4123" spans="1:4" x14ac:dyDescent="0.2">
      <c r="A4123" s="5">
        <v>4062</v>
      </c>
      <c r="B4123" s="138">
        <f>'Acct Summary 7-8'!D10</f>
        <v>418711</v>
      </c>
      <c r="C4123" s="2" t="s">
        <v>594</v>
      </c>
      <c r="D4123" s="2" t="str">
        <f t="shared" si="63"/>
        <v>Error?</v>
      </c>
    </row>
    <row r="4124" spans="1:4" x14ac:dyDescent="0.2">
      <c r="A4124" s="5">
        <v>4063</v>
      </c>
      <c r="B4124" s="138">
        <f>'Acct Summary 7-8'!E10</f>
        <v>114541</v>
      </c>
      <c r="C4124" s="2" t="s">
        <v>594</v>
      </c>
      <c r="D4124" s="2" t="str">
        <f t="shared" si="63"/>
        <v>Error?</v>
      </c>
    </row>
    <row r="4125" spans="1:4" x14ac:dyDescent="0.2">
      <c r="A4125" s="5">
        <v>4064</v>
      </c>
      <c r="B4125" s="138">
        <f>'Acct Summary 7-8'!F10</f>
        <v>341940</v>
      </c>
      <c r="C4125" s="2" t="s">
        <v>594</v>
      </c>
      <c r="D4125" s="2" t="str">
        <f t="shared" si="63"/>
        <v>Error?</v>
      </c>
    </row>
    <row r="4126" spans="1:4" x14ac:dyDescent="0.2">
      <c r="A4126" s="5">
        <v>4065</v>
      </c>
      <c r="B4126" s="138">
        <f>'Acct Summary 7-8'!G10</f>
        <v>228186</v>
      </c>
      <c r="C4126" s="2" t="s">
        <v>594</v>
      </c>
      <c r="D4126" s="2" t="str">
        <f t="shared" si="63"/>
        <v>Error?</v>
      </c>
    </row>
    <row r="4127" spans="1:4" x14ac:dyDescent="0.2">
      <c r="A4127" s="5">
        <v>4066</v>
      </c>
      <c r="B4127" s="138">
        <f>'Acct Summary 7-8'!H10</f>
        <v>352966</v>
      </c>
      <c r="C4127" s="2" t="s">
        <v>594</v>
      </c>
      <c r="D4127" s="2" t="str">
        <f t="shared" si="63"/>
        <v>Error?</v>
      </c>
    </row>
    <row r="4128" spans="1:4" x14ac:dyDescent="0.2">
      <c r="A4128" s="5">
        <v>4067</v>
      </c>
      <c r="B4128" s="138">
        <f>'Acct Summary 7-8'!I10</f>
        <v>38888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349455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5819893</v>
      </c>
      <c r="C4136" s="2" t="s">
        <v>594</v>
      </c>
      <c r="D4136" s="2" t="str">
        <f t="shared" si="63"/>
        <v>Error?</v>
      </c>
    </row>
    <row r="4137" spans="1:4" x14ac:dyDescent="0.2">
      <c r="A4137" s="5">
        <v>4076</v>
      </c>
      <c r="B4137" s="138">
        <f>'Acct Summary 7-8'!D19</f>
        <v>512677</v>
      </c>
      <c r="C4137" s="2" t="s">
        <v>594</v>
      </c>
      <c r="D4137" s="2" t="str">
        <f t="shared" si="63"/>
        <v>Error?</v>
      </c>
    </row>
    <row r="4138" spans="1:4" x14ac:dyDescent="0.2">
      <c r="A4138" s="5">
        <v>4077</v>
      </c>
      <c r="B4138" s="138">
        <f>'Acct Summary 7-8'!E19</f>
        <v>181523</v>
      </c>
      <c r="C4138" s="2" t="s">
        <v>594</v>
      </c>
      <c r="D4138" s="2" t="str">
        <f t="shared" si="63"/>
        <v>Error?</v>
      </c>
    </row>
    <row r="4139" spans="1:4" x14ac:dyDescent="0.2">
      <c r="A4139" s="5">
        <v>4078</v>
      </c>
      <c r="B4139" s="138">
        <f>'Acct Summary 7-8'!F19</f>
        <v>376384</v>
      </c>
      <c r="C4139" s="2" t="s">
        <v>594</v>
      </c>
      <c r="D4139" s="2" t="str">
        <f t="shared" si="63"/>
        <v>Error?</v>
      </c>
    </row>
    <row r="4140" spans="1:4" x14ac:dyDescent="0.2">
      <c r="A4140" s="5">
        <v>4079</v>
      </c>
      <c r="B4140" s="138">
        <f>'Acct Summary 7-8'!G19</f>
        <v>269710</v>
      </c>
      <c r="C4140" s="2" t="s">
        <v>594</v>
      </c>
      <c r="D4140" s="2" t="str">
        <f t="shared" si="63"/>
        <v>Error?</v>
      </c>
    </row>
    <row r="4141" spans="1:4" x14ac:dyDescent="0.2">
      <c r="A4141" s="5">
        <v>4080</v>
      </c>
      <c r="B4141" s="138">
        <f>'Acct Summary 7-8'!H19</f>
        <v>863364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3792985</v>
      </c>
      <c r="C4171" s="2" t="s">
        <v>594</v>
      </c>
      <c r="D4171" s="2" t="str">
        <f t="shared" si="64"/>
        <v>Error?</v>
      </c>
    </row>
    <row r="4172" spans="1:4" x14ac:dyDescent="0.2">
      <c r="A4172" s="5">
        <v>4111</v>
      </c>
      <c r="B4172" s="138">
        <f>'Short-Term Long-Term Debt 24'!J49</f>
        <v>3553434</v>
      </c>
      <c r="C4172" s="2" t="s">
        <v>594</v>
      </c>
      <c r="D4172" s="2" t="str">
        <f t="shared" si="64"/>
        <v>Error?</v>
      </c>
    </row>
    <row r="4173" spans="1:4" x14ac:dyDescent="0.2">
      <c r="A4173" s="5">
        <v>4112</v>
      </c>
      <c r="B4173" s="138">
        <f>'Short-Term Long-Term Debt 24'!H49</f>
        <v>156397</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43000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1636.76</v>
      </c>
      <c r="C4265" s="2" t="s">
        <v>594</v>
      </c>
      <c r="D4265" s="2" t="str">
        <f t="shared" si="65"/>
        <v>Error?</v>
      </c>
      <c r="E4265" s="128"/>
    </row>
    <row r="4266" spans="1:5" x14ac:dyDescent="0.2">
      <c r="A4266" s="12">
        <v>4205</v>
      </c>
      <c r="B4266" s="138">
        <f>('FP Info 3'!F10)*100000</f>
        <v>380.18</v>
      </c>
      <c r="C4266" s="2" t="s">
        <v>594</v>
      </c>
      <c r="D4266" s="2" t="str">
        <f t="shared" si="65"/>
        <v>Error?</v>
      </c>
      <c r="E4266" s="128"/>
    </row>
    <row r="4267" spans="1:5" x14ac:dyDescent="0.2">
      <c r="A4267" s="12">
        <v>4206</v>
      </c>
      <c r="B4267" s="138">
        <f>('FP Info 3'!H10)*100000</f>
        <v>120.06</v>
      </c>
      <c r="C4267" s="2" t="s">
        <v>594</v>
      </c>
      <c r="D4267" s="2" t="str">
        <f t="shared" si="65"/>
        <v>Error?</v>
      </c>
      <c r="E4267" s="128"/>
    </row>
    <row r="4268" spans="1:5" x14ac:dyDescent="0.2">
      <c r="A4268" s="12">
        <v>4207</v>
      </c>
      <c r="B4268" s="138">
        <f>('FP Info 3'!J10)*100000</f>
        <v>2137</v>
      </c>
      <c r="C4268" s="2" t="s">
        <v>594</v>
      </c>
      <c r="D4268" s="2" t="str">
        <f t="shared" si="65"/>
        <v>Error?</v>
      </c>
    </row>
    <row r="4269" spans="1:5" x14ac:dyDescent="0.2">
      <c r="A4269" s="12">
        <v>4208</v>
      </c>
      <c r="B4269" s="138">
        <f>'FP Info 3'!J16</f>
        <v>959582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1500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7121</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7121</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6404</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27529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7904</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59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74964599</v>
      </c>
      <c r="D4995" s="2" t="str">
        <f t="shared" si="77"/>
        <v>Error?</v>
      </c>
    </row>
    <row r="4996" spans="1:4" x14ac:dyDescent="0.2">
      <c r="A4996" s="12">
        <v>4935</v>
      </c>
      <c r="B4996" s="138">
        <f>'FP Info 3'!H31</f>
        <v>5172557.3310000002</v>
      </c>
      <c r="D4996" s="2" t="str">
        <f t="shared" si="77"/>
        <v>Error?</v>
      </c>
    </row>
    <row r="4997" spans="1:4" x14ac:dyDescent="0.2">
      <c r="A4997" s="12">
        <v>4936</v>
      </c>
      <c r="B4997" s="138">
        <f>'FP Info 3'!H37</f>
        <v>3792985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1214816</v>
      </c>
      <c r="D5061" s="2" t="str">
        <f t="shared" si="78"/>
        <v>Error?</v>
      </c>
    </row>
    <row r="5062" spans="1:4" x14ac:dyDescent="0.2">
      <c r="A5062" s="10">
        <v>5001</v>
      </c>
      <c r="D5062" s="2" t="str">
        <f t="shared" si="78"/>
        <v>OK</v>
      </c>
    </row>
    <row r="5063" spans="1:4" x14ac:dyDescent="0.2">
      <c r="A5063" s="5">
        <v>5002</v>
      </c>
      <c r="B5063" s="138">
        <f>'Revenues 9-14'!C7</f>
        <v>23823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1238639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58198</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58198</v>
      </c>
      <c r="C5087" s="2" t="s">
        <v>594</v>
      </c>
      <c r="D5087" s="2" t="str">
        <f t="shared" si="78"/>
        <v>Error?</v>
      </c>
    </row>
    <row r="5088" spans="1:4" x14ac:dyDescent="0.2">
      <c r="A5088" s="5">
        <v>5027</v>
      </c>
      <c r="B5088" s="138">
        <f>'Revenues 9-14'!C65</f>
        <v>1607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1607</v>
      </c>
      <c r="C5090" s="2" t="s">
        <v>594</v>
      </c>
      <c r="D5090" s="2" t="str">
        <f t="shared" si="78"/>
        <v>Error?</v>
      </c>
    </row>
    <row r="5091" spans="1:4" x14ac:dyDescent="0.2">
      <c r="A5091" s="5">
        <v>5030</v>
      </c>
      <c r="B5091" s="138">
        <f>'Revenues 9-14'!C70</f>
        <v>5043</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8963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63752</v>
      </c>
      <c r="C5096" s="2" t="s">
        <v>594</v>
      </c>
      <c r="D5096" s="2" t="str">
        <f t="shared" si="78"/>
        <v>Error?</v>
      </c>
    </row>
    <row r="5097" spans="1:4" x14ac:dyDescent="0.2">
      <c r="A5097" s="5">
        <v>5036</v>
      </c>
      <c r="B5097" s="138">
        <f>'Revenues 9-14'!C77</f>
        <v>9758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12254</v>
      </c>
      <c r="D5101" s="2" t="str">
        <f t="shared" si="78"/>
        <v>Error?</v>
      </c>
    </row>
    <row r="5102" spans="1:4" x14ac:dyDescent="0.2">
      <c r="A5102" s="5">
        <v>5041</v>
      </c>
      <c r="B5102" s="138">
        <f>'Revenues 9-14'!C82</f>
        <v>22012</v>
      </c>
      <c r="C5102" s="2" t="s">
        <v>594</v>
      </c>
      <c r="D5102" s="2" t="str">
        <f t="shared" si="78"/>
        <v>Error?</v>
      </c>
    </row>
    <row r="5103" spans="1:4" x14ac:dyDescent="0.2">
      <c r="A5103" s="5">
        <v>5042</v>
      </c>
      <c r="B5103" s="138">
        <f>'Revenues 9-14'!C84</f>
        <v>12210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94</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12304</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4515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11564</v>
      </c>
      <c r="D5119" s="2" t="str">
        <f t="shared" ref="D5119:D5182" si="79">IF(ISBLANK(B5119),"OK",IF(A5119-B5119=0,"OK","Error?"))</f>
        <v>Error?</v>
      </c>
    </row>
    <row r="5120" spans="1:4" x14ac:dyDescent="0.2">
      <c r="A5120" s="5">
        <v>5059</v>
      </c>
      <c r="B5120" s="138">
        <f>'Revenues 9-14'!C108</f>
        <v>16079</v>
      </c>
      <c r="C5120" s="2" t="s">
        <v>594</v>
      </c>
      <c r="D5120" s="2" t="str">
        <f t="shared" si="79"/>
        <v>Error?</v>
      </c>
    </row>
    <row r="5121" spans="1:4" x14ac:dyDescent="0.2">
      <c r="A5121" s="5">
        <v>5060</v>
      </c>
      <c r="B5121" s="138">
        <f>'Revenues 9-14'!C109</f>
        <v>1412591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2814017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2814017</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44010</v>
      </c>
      <c r="D5134" s="2" t="str">
        <f t="shared" si="79"/>
        <v>Error?</v>
      </c>
    </row>
    <row r="5135" spans="1:4" x14ac:dyDescent="0.2">
      <c r="A5135" s="5">
        <v>5074</v>
      </c>
      <c r="B5135" s="138">
        <f>'Revenues 9-14'!C126</f>
        <v>64019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108029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45604</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45604</v>
      </c>
      <c r="C5165" s="2" t="s">
        <v>594</v>
      </c>
      <c r="D5165" s="2" t="str">
        <f t="shared" si="79"/>
        <v>Error?</v>
      </c>
    </row>
    <row r="5166" spans="1:4" x14ac:dyDescent="0.2">
      <c r="A5166" s="10">
        <v>5105</v>
      </c>
      <c r="D5166" s="2" t="str">
        <f t="shared" si="79"/>
        <v>OK</v>
      </c>
    </row>
    <row r="5167" spans="1:4" x14ac:dyDescent="0.2">
      <c r="A5167" s="5">
        <v>5106</v>
      </c>
      <c r="B5167" s="138">
        <f>'Revenues 9-14'!C145</f>
        <v>3385</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641632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808054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3622071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172207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54802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227009</v>
      </c>
      <c r="C5246" s="2" t="s">
        <v>594</v>
      </c>
      <c r="D5246" s="2" t="str">
        <f t="shared" si="80"/>
        <v>Error?</v>
      </c>
    </row>
    <row r="5247" spans="1:4" x14ac:dyDescent="0.2">
      <c r="A5247" s="5">
        <v>5186</v>
      </c>
      <c r="B5247" s="138">
        <f>'Revenues 9-14'!C203</f>
        <v>241915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6404</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241915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3170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3170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3866</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563694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563694</v>
      </c>
      <c r="C5326" s="2" t="s">
        <v>594</v>
      </c>
      <c r="D5326" s="2" t="str">
        <f t="shared" si="82"/>
        <v>Error?</v>
      </c>
    </row>
    <row r="5327" spans="1:4" x14ac:dyDescent="0.2">
      <c r="A5327" s="5">
        <v>5266</v>
      </c>
      <c r="B5327" s="138">
        <f>'Revenues 9-14'!C275</f>
        <v>5598356</v>
      </c>
      <c r="C5327" s="2" t="s">
        <v>594</v>
      </c>
      <c r="D5327" s="2" t="str">
        <f t="shared" si="82"/>
        <v>Error?</v>
      </c>
    </row>
    <row r="5328" spans="1:4" x14ac:dyDescent="0.2">
      <c r="A5328" s="5">
        <v>5267</v>
      </c>
      <c r="B5328" s="138">
        <f>'Revenues 9-14'!D5</f>
        <v>273006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273006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1090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1090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31600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8515</v>
      </c>
      <c r="D5354" s="2" t="str">
        <f t="shared" si="82"/>
        <v>Error?</v>
      </c>
    </row>
    <row r="5355" spans="1:4" x14ac:dyDescent="0.2">
      <c r="A5355" s="5">
        <v>5294</v>
      </c>
      <c r="B5355" s="138">
        <f>'Revenues 9-14'!D108</f>
        <v>40115</v>
      </c>
      <c r="C5355" s="2" t="s">
        <v>594</v>
      </c>
      <c r="D5355" s="2" t="str">
        <f t="shared" si="82"/>
        <v>Error?</v>
      </c>
    </row>
    <row r="5356" spans="1:4" x14ac:dyDescent="0.2">
      <c r="A5356" s="5">
        <v>5295</v>
      </c>
      <c r="B5356" s="138">
        <f>'Revenues 9-14'!D109</f>
        <v>314211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100000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4500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4500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104500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418711</v>
      </c>
      <c r="C5508" s="2" t="s">
        <v>594</v>
      </c>
      <c r="D5508" s="2" t="str">
        <f t="shared" si="85"/>
        <v>Error?</v>
      </c>
    </row>
    <row r="5509" spans="1:4" x14ac:dyDescent="0.2">
      <c r="A5509" s="5">
        <v>5448</v>
      </c>
      <c r="B5509" s="138">
        <f>'Revenues 9-14'!E5</f>
        <v>113298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113298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1243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1243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114541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114541</v>
      </c>
      <c r="C5552" s="2" t="s">
        <v>594</v>
      </c>
      <c r="D5552" s="2" t="str">
        <f t="shared" si="85"/>
        <v>Error?</v>
      </c>
    </row>
    <row r="5553" spans="1:4" x14ac:dyDescent="0.2">
      <c r="A5553" s="5">
        <v>5492</v>
      </c>
      <c r="B5553" s="138">
        <f>'Revenues 9-14'!F5</f>
        <v>84386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84386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43</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2775</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2818</v>
      </c>
      <c r="C5579" s="2" t="s">
        <v>594</v>
      </c>
      <c r="D5579" s="2" t="str">
        <f t="shared" si="86"/>
        <v>Error?</v>
      </c>
    </row>
    <row r="5580" spans="1:4" x14ac:dyDescent="0.2">
      <c r="A5580" s="5">
        <v>5519</v>
      </c>
      <c r="B5580" s="138">
        <f>'Revenues 9-14'!F65</f>
        <v>303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303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100</v>
      </c>
      <c r="D5586" s="2" t="str">
        <f t="shared" si="86"/>
        <v>Error?</v>
      </c>
    </row>
    <row r="5587" spans="1:4" x14ac:dyDescent="0.2">
      <c r="A5587" s="5">
        <v>5526</v>
      </c>
      <c r="B5587" s="138">
        <f>'Revenues 9-14'!F108</f>
        <v>100</v>
      </c>
      <c r="C5587" s="2" t="s">
        <v>594</v>
      </c>
      <c r="D5587" s="2" t="str">
        <f t="shared" si="86"/>
        <v>Error?</v>
      </c>
    </row>
    <row r="5588" spans="1:4" x14ac:dyDescent="0.2">
      <c r="A5588" s="5">
        <v>5527</v>
      </c>
      <c r="B5588" s="138">
        <f>'Revenues 9-14'!F109</f>
        <v>87607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99654</v>
      </c>
      <c r="D5615" s="2" t="str">
        <f t="shared" si="86"/>
        <v>Error?</v>
      </c>
    </row>
    <row r="5616" spans="1:4" x14ac:dyDescent="0.2">
      <c r="A5616" s="10">
        <v>5555</v>
      </c>
      <c r="D5616" s="2" t="str">
        <f t="shared" si="86"/>
        <v>OK</v>
      </c>
    </row>
    <row r="5617" spans="1:4" x14ac:dyDescent="0.2">
      <c r="A5617" s="5">
        <v>5556</v>
      </c>
      <c r="B5617" s="138">
        <f>'Revenues 9-14'!F152</f>
        <v>154679</v>
      </c>
      <c r="D5617" s="2" t="str">
        <f t="shared" si="86"/>
        <v>Error?</v>
      </c>
    </row>
    <row r="5618" spans="1:4" x14ac:dyDescent="0.2">
      <c r="A5618" s="5">
        <v>5557</v>
      </c>
      <c r="B5618" s="138">
        <f>'Revenues 9-14'!F154</f>
        <v>254333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254333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254333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341940</v>
      </c>
      <c r="C5720" s="2" t="s">
        <v>594</v>
      </c>
      <c r="D5720" s="2" t="str">
        <f t="shared" si="88"/>
        <v>Error?</v>
      </c>
    </row>
    <row r="5721" spans="1:4" x14ac:dyDescent="0.2">
      <c r="A5721" s="5">
        <v>5660</v>
      </c>
      <c r="B5721" s="138">
        <f>'Revenues 9-14'!G5</f>
        <v>84386</v>
      </c>
      <c r="D5721" s="2" t="str">
        <f t="shared" si="88"/>
        <v>Error?</v>
      </c>
    </row>
    <row r="5722" spans="1:4" x14ac:dyDescent="0.2">
      <c r="A5722" s="5">
        <v>5661</v>
      </c>
      <c r="B5722" s="138">
        <f>'Revenues 9-14'!G7</f>
        <v>0</v>
      </c>
      <c r="D5722" s="2" t="str">
        <f t="shared" si="88"/>
        <v>Error?</v>
      </c>
    </row>
    <row r="5723" spans="1:4" x14ac:dyDescent="0.2">
      <c r="A5723" s="5">
        <v>5662</v>
      </c>
      <c r="B5723" s="138">
        <f>'Revenues 9-14'!G8</f>
        <v>86373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170759</v>
      </c>
      <c r="C5725" s="2" t="s">
        <v>594</v>
      </c>
      <c r="D5725" s="2" t="str">
        <f t="shared" si="88"/>
        <v>Error?</v>
      </c>
    </row>
    <row r="5726" spans="1:4" x14ac:dyDescent="0.2">
      <c r="A5726" s="5">
        <v>5665</v>
      </c>
      <c r="B5726" s="138">
        <f>'Revenues 9-14'!G14</f>
        <v>9103</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20349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29452</v>
      </c>
      <c r="C5730" s="2" t="s">
        <v>594</v>
      </c>
      <c r="D5730" s="2" t="str">
        <f t="shared" si="88"/>
        <v>Error?</v>
      </c>
    </row>
    <row r="5731" spans="1:4" x14ac:dyDescent="0.2">
      <c r="A5731" s="5">
        <v>5670</v>
      </c>
      <c r="B5731" s="138">
        <f>'Revenues 9-14'!G65</f>
        <v>975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975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27000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27000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27000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228186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1807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1807</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351159</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352966</v>
      </c>
      <c r="C5915" s="2" t="s">
        <v>594</v>
      </c>
      <c r="D5915" s="2" t="str">
        <f t="shared" si="91"/>
        <v>Error?</v>
      </c>
    </row>
    <row r="5916" spans="1:4" x14ac:dyDescent="0.2">
      <c r="A5916" s="5">
        <v>5855</v>
      </c>
      <c r="B5916" s="138">
        <f>'Revenues 9-14'!I5</f>
        <v>35998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35998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2890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2890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38888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201186</v>
      </c>
      <c r="C6024" s="2" t="s">
        <v>594</v>
      </c>
      <c r="D6024" s="2" t="str">
        <f t="shared" si="93"/>
        <v>Error?</v>
      </c>
    </row>
    <row r="6025" spans="1:5" x14ac:dyDescent="0.2">
      <c r="A6025" s="5">
        <v>5964</v>
      </c>
      <c r="B6025" s="138">
        <f>'Revenues 9-14'!H109</f>
        <v>352966</v>
      </c>
      <c r="C6025" s="2" t="s">
        <v>594</v>
      </c>
      <c r="D6025" s="2" t="str">
        <f t="shared" si="93"/>
        <v>Error?</v>
      </c>
    </row>
    <row r="6026" spans="1:5" x14ac:dyDescent="0.2">
      <c r="A6026" s="5">
        <v>5965</v>
      </c>
      <c r="B6026" s="138">
        <f>'Revenues 9-14'!I109</f>
        <v>38888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49746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37734.46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585.70000000000005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1388</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218000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134416</v>
      </c>
      <c r="D6267" s="2" t="str">
        <f t="shared" si="96"/>
        <v>Error?</v>
      </c>
      <c r="E6267" s="2" t="s">
        <v>199</v>
      </c>
    </row>
    <row r="6268" spans="1:5" x14ac:dyDescent="0.2">
      <c r="A6268">
        <v>6207</v>
      </c>
      <c r="B6268" s="138">
        <f>'Acct Summary 7-8'!D82</f>
        <v>5915</v>
      </c>
      <c r="D6268" s="2" t="str">
        <f t="shared" si="96"/>
        <v>Error?</v>
      </c>
      <c r="E6268" s="2" t="s">
        <v>199</v>
      </c>
    </row>
    <row r="6269" spans="1:5" x14ac:dyDescent="0.2">
      <c r="A6269">
        <v>6208</v>
      </c>
      <c r="B6269" s="138">
        <f>'Acct Summary 7-8'!E82</f>
        <v>62546</v>
      </c>
      <c r="D6269" s="2" t="str">
        <f t="shared" si="96"/>
        <v>Error?</v>
      </c>
      <c r="E6269" s="2" t="s">
        <v>199</v>
      </c>
    </row>
    <row r="6270" spans="1:5" x14ac:dyDescent="0.2">
      <c r="A6270">
        <v>6209</v>
      </c>
      <c r="B6270" s="138">
        <f>'Acct Summary 7-8'!F82</f>
        <v>-34444</v>
      </c>
      <c r="D6270" s="2" t="str">
        <f t="shared" si="96"/>
        <v>Error?</v>
      </c>
      <c r="E6270" s="2" t="s">
        <v>199</v>
      </c>
    </row>
    <row r="6271" spans="1:5" x14ac:dyDescent="0.2">
      <c r="A6271">
        <v>6210</v>
      </c>
      <c r="B6271" s="138">
        <f>'Acct Summary 7-8'!G82</f>
        <v>-41524</v>
      </c>
      <c r="D6271" s="2" t="str">
        <f t="shared" ref="D6271:D6334" si="97">IF(ISBLANK(B6271),"OK",IF(A6271-B6271=0,"OK","Error?"))</f>
        <v>Error?</v>
      </c>
      <c r="E6271" s="2" t="s">
        <v>199</v>
      </c>
    </row>
    <row r="6272" spans="1:5" x14ac:dyDescent="0.2">
      <c r="A6272">
        <v>6211</v>
      </c>
      <c r="B6272" s="138">
        <f>'Acct Summary 7-8'!H82</f>
        <v>2063235</v>
      </c>
      <c r="D6272" s="2" t="str">
        <f t="shared" si="97"/>
        <v>Error?</v>
      </c>
      <c r="E6272" s="2" t="s">
        <v>199</v>
      </c>
    </row>
    <row r="6273" spans="1:5" x14ac:dyDescent="0.2">
      <c r="A6273">
        <v>6212</v>
      </c>
      <c r="B6273" s="138">
        <f>'Acct Summary 7-8'!I82</f>
        <v>38888</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0.80662021951380514</v>
      </c>
      <c r="D6276" s="2" t="str">
        <f t="shared" si="97"/>
        <v>Error?</v>
      </c>
      <c r="E6276" s="2" t="s">
        <v>199</v>
      </c>
    </row>
    <row r="6277" spans="1:5" x14ac:dyDescent="0.2">
      <c r="A6277">
        <v>6216</v>
      </c>
      <c r="B6277" s="138">
        <f>'Acct Summary 7-8'!D83</f>
        <v>3.4854600630505876E-2</v>
      </c>
      <c r="D6277" s="2" t="str">
        <f t="shared" si="97"/>
        <v>Error?</v>
      </c>
      <c r="E6277" s="2" t="s">
        <v>199</v>
      </c>
    </row>
    <row r="6278" spans="1:5" x14ac:dyDescent="0.2">
      <c r="A6278">
        <v>6217</v>
      </c>
      <c r="B6278" s="138">
        <f>'Acct Summary 7-8'!E83</f>
        <v>0.26109680193361745</v>
      </c>
      <c r="D6278" s="2" t="str">
        <f t="shared" si="97"/>
        <v>Error?</v>
      </c>
      <c r="E6278" s="2" t="s">
        <v>199</v>
      </c>
    </row>
    <row r="6279" spans="1:5" x14ac:dyDescent="0.2">
      <c r="A6279">
        <v>6218</v>
      </c>
      <c r="B6279" s="138">
        <f>'Acct Summary 7-8'!F83</f>
        <v>-1.0502500304915234</v>
      </c>
      <c r="D6279" s="2" t="str">
        <f t="shared" si="97"/>
        <v>Error?</v>
      </c>
      <c r="E6279" s="2" t="s">
        <v>199</v>
      </c>
    </row>
    <row r="6280" spans="1:5" x14ac:dyDescent="0.2">
      <c r="A6280">
        <v>6219</v>
      </c>
      <c r="B6280" s="138">
        <f>'Acct Summary 7-8'!G83</f>
        <v>-0.41482931897421554</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6.5862746426393878E-2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67397</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369069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477854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26963</v>
      </c>
      <c r="D7073" s="2" t="str">
        <f t="shared" si="109"/>
        <v>Error?</v>
      </c>
    </row>
    <row r="7074" spans="1:4" x14ac:dyDescent="0.2">
      <c r="A7074">
        <v>7013</v>
      </c>
      <c r="B7074" s="138">
        <f>'Expenditures 15-22'!K216</f>
        <v>26963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40386</v>
      </c>
      <c r="D7246" s="2" t="str">
        <f t="shared" si="112"/>
        <v>Error?</v>
      </c>
    </row>
    <row r="7247" spans="1:4" x14ac:dyDescent="0.2">
      <c r="A7247">
        <f t="shared" si="113"/>
        <v>7186</v>
      </c>
      <c r="B7247" s="138">
        <f>'Expenditures 15-22'!E7</f>
        <v>13718</v>
      </c>
      <c r="D7247" s="2" t="str">
        <f t="shared" si="112"/>
        <v>Error?</v>
      </c>
    </row>
    <row r="7248" spans="1:4" x14ac:dyDescent="0.2">
      <c r="A7248">
        <f t="shared" si="113"/>
        <v>7187</v>
      </c>
      <c r="B7248" s="138">
        <f>'Expenditures 15-22'!F7</f>
        <v>44802</v>
      </c>
      <c r="D7248" s="2" t="str">
        <f t="shared" si="112"/>
        <v>Error?</v>
      </c>
    </row>
    <row r="7249" spans="1:4" x14ac:dyDescent="0.2">
      <c r="A7249">
        <f t="shared" si="113"/>
        <v>7188</v>
      </c>
      <c r="B7249" s="138">
        <f>'Expenditures 15-22'!G7</f>
        <v>9010</v>
      </c>
      <c r="D7249" s="2" t="str">
        <f t="shared" si="112"/>
        <v>Error?</v>
      </c>
    </row>
    <row r="7250" spans="1:4" x14ac:dyDescent="0.2">
      <c r="A7250">
        <f t="shared" si="113"/>
        <v>7189</v>
      </c>
      <c r="B7250" s="138">
        <f>'Expenditures 15-22'!H7</f>
        <v>869</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363044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50548</v>
      </c>
      <c r="D7673" s="2" t="str">
        <f t="shared" si="124"/>
        <v>Error?</v>
      </c>
      <c r="E7673" s="2" t="s">
        <v>881</v>
      </c>
    </row>
    <row r="7674" spans="1:5" x14ac:dyDescent="0.2">
      <c r="A7674">
        <v>7613</v>
      </c>
      <c r="B7674" s="138">
        <f>'Acct Summary 7-8'!D65</f>
        <v>16849</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23823</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351159</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46621</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5437.1100000000006</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view="pageLayout" zoomScaleNormal="110" workbookViewId="0">
      <selection activeCell="F6" sqref="F6"/>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Unity Point CCSD 140</v>
      </c>
      <c r="B7" s="2403"/>
      <c r="C7" s="2403"/>
      <c r="D7" s="2440"/>
      <c r="E7" s="2441">
        <f>COVER!A13</f>
        <v>30039140004</v>
      </c>
      <c r="F7" s="2442"/>
      <c r="G7" s="2409">
        <f>COVER!T23</f>
        <v>65.028419999999997</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Kujawa &amp; Batteau, P.C.</v>
      </c>
      <c r="H9" s="2416"/>
      <c r="I9" s="2416"/>
      <c r="J9" s="2416"/>
      <c r="K9" s="2416"/>
      <c r="L9" s="2417"/>
    </row>
    <row r="10" spans="1:29" ht="13.5" customHeight="1" x14ac:dyDescent="0.2">
      <c r="A10" s="2399" t="str">
        <f>COVER!A38</f>
        <v>Dr. Lori James-Gross</v>
      </c>
      <c r="B10" s="2400"/>
      <c r="C10" s="2400"/>
      <c r="D10" s="2400"/>
      <c r="E10" s="2400"/>
      <c r="F10" s="2401"/>
      <c r="G10" s="2415" t="str">
        <f>COVER!T17</f>
        <v>309 S. Walnut St.</v>
      </c>
      <c r="H10" s="2428"/>
      <c r="I10" s="2428"/>
      <c r="J10" s="2428"/>
      <c r="K10" s="2428"/>
      <c r="L10" s="2429"/>
    </row>
    <row r="11" spans="1:29" ht="13.5" customHeight="1" x14ac:dyDescent="0.2">
      <c r="A11" s="1185" t="s">
        <v>1599</v>
      </c>
      <c r="B11" s="1186"/>
      <c r="C11" s="1187"/>
      <c r="D11" s="1192"/>
      <c r="E11" s="1187"/>
      <c r="F11" s="1191"/>
      <c r="G11" s="2415" t="str">
        <f>COVER!T19</f>
        <v>Pinckneyville</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f>COVER!T25</f>
        <v>0</v>
      </c>
      <c r="J13" s="2437"/>
      <c r="K13" s="2437"/>
      <c r="L13" s="2438"/>
    </row>
    <row r="14" spans="1:29" ht="13.5" customHeight="1" x14ac:dyDescent="0.2">
      <c r="A14" s="2415" t="str">
        <f>COVER!A19</f>
        <v>4033 S. Illinois Avenue</v>
      </c>
      <c r="B14" s="2428"/>
      <c r="C14" s="2428"/>
      <c r="D14" s="2428"/>
      <c r="E14" s="2428"/>
      <c r="F14" s="2429"/>
      <c r="G14" s="1196" t="s">
        <v>1247</v>
      </c>
      <c r="H14" s="1194"/>
      <c r="I14" s="1194"/>
      <c r="J14" s="1194"/>
      <c r="K14" s="1194"/>
      <c r="L14" s="1195"/>
    </row>
    <row r="15" spans="1:29" ht="13.5" customHeight="1" x14ac:dyDescent="0.2">
      <c r="A15" s="2415" t="str">
        <f>COVER!A21</f>
        <v>Carbondale</v>
      </c>
      <c r="B15" s="2428"/>
      <c r="C15" s="2428"/>
      <c r="D15" s="2428"/>
      <c r="E15" s="2428"/>
      <c r="F15" s="2429"/>
      <c r="G15" s="2425" t="str">
        <f>COVER!T15</f>
        <v>Kevin Batteau</v>
      </c>
      <c r="H15" s="2426"/>
      <c r="I15" s="2426"/>
      <c r="J15" s="2426"/>
      <c r="K15" s="2426"/>
      <c r="L15" s="2427"/>
    </row>
    <row r="16" spans="1:29" ht="12.2" customHeight="1" x14ac:dyDescent="0.2">
      <c r="A16" s="2405">
        <f>COVER!A25</f>
        <v>62903</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(618) 357-3000</v>
      </c>
      <c r="H18" s="2403"/>
      <c r="I18" s="2403"/>
      <c r="J18" s="2403"/>
      <c r="K18" s="2402" t="str">
        <f>COVER!X21</f>
        <v>(618) 357-3654</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oddFooter>&amp;L"The notes are an integral part of these statements"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view="pageLayout" zoomScaleNormal="125" workbookViewId="0">
      <selection activeCell="F6" sqref="F6"/>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Unity Point CCSD 140</v>
      </c>
      <c r="B1" s="2439"/>
      <c r="C1" s="2439"/>
      <c r="D1" s="2439"/>
    </row>
    <row r="2" spans="1:11" s="1215" customFormat="1" ht="12.75" x14ac:dyDescent="0.2">
      <c r="A2" s="2444">
        <f>'Single Audit Cover'!E7</f>
        <v>30039140004</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oddFooter>&amp;L"The notes are an integral part of these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Unity Point CCSD 140</v>
      </c>
      <c r="B1" s="2447"/>
      <c r="C1" s="2447"/>
      <c r="D1" s="2447"/>
      <c r="E1" s="2447"/>
    </row>
    <row r="2" spans="1:5" x14ac:dyDescent="0.2">
      <c r="A2" s="2448">
        <f>'Single Audit Cover'!E7</f>
        <v>30039140004</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563694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37734.46</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601428.46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t="s">
        <v>2108</v>
      </c>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601428.46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601428.46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&amp;L"The notes are an integral part of these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view="pageLayout" zoomScaleNormal="120" workbookViewId="0">
      <selection activeCell="F6" sqref="F6"/>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Unity Point CCSD 140</v>
      </c>
      <c r="B1" s="2452"/>
      <c r="C1" s="2452"/>
      <c r="D1" s="2452"/>
      <c r="E1" s="2452"/>
      <c r="F1" s="2452"/>
    </row>
    <row r="2" spans="1:7" ht="13.5" customHeight="1" x14ac:dyDescent="0.2">
      <c r="A2" s="2453">
        <f>'Single Audit Cover'!E7</f>
        <v>30039140004</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t="s">
        <v>2108</v>
      </c>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2"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F6" sqref="F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Unity Point CCSD 140</v>
      </c>
      <c r="C1" s="2464"/>
      <c r="D1" s="2464"/>
      <c r="E1" s="2464"/>
      <c r="F1" s="2464"/>
      <c r="G1" s="2464"/>
      <c r="H1" s="2464"/>
      <c r="I1" s="2464"/>
      <c r="J1" s="2464"/>
      <c r="K1" s="2464"/>
      <c r="L1" s="2464"/>
      <c r="M1" s="2464"/>
    </row>
    <row r="2" spans="2:14" ht="15" x14ac:dyDescent="0.2">
      <c r="B2" s="2453">
        <f>'Single Audit Cover'!E7</f>
        <v>30039140004</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t="s">
        <v>2108</v>
      </c>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&amp;L&amp;8Page 40&amp;R&amp;8Page 40</oddHeader>
    <oddFooter>&amp;L"The notes are an integral part of these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35796</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2085</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6" firstPageNumber="2" fitToHeight="0" orientation="portrait" useFirstPageNumber="1" r:id="rId1"/>
  <headerFooter differentOddEven="1" alignWithMargins="0">
    <oddHeader>&amp;L&amp;8Page &amp;P&amp;C &amp;R&amp;8Page &amp;P</oddHeader>
    <oddFooter>&amp;L&amp;8"The notes are an integral part of these statements"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F6" sqref="F6"/>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Unity Point CCSD 140</v>
      </c>
      <c r="C1" s="2472"/>
      <c r="D1" s="2472"/>
      <c r="E1" s="2472"/>
      <c r="F1" s="2472"/>
      <c r="G1" s="2472"/>
      <c r="H1" s="2472"/>
      <c r="I1" s="2472"/>
      <c r="J1" s="1422"/>
    </row>
    <row r="2" spans="2:10" s="317" customFormat="1" ht="12.75" customHeight="1" x14ac:dyDescent="0.2">
      <c r="B2" s="2473">
        <f>'Single Audit Cover'!E7</f>
        <v>30039140004</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t="s">
        <v>2108</v>
      </c>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1952</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fitToWidth="0" orientation="portrait" useFirstPageNumber="1" r:id="rId1"/>
  <headerFooter alignWithMargins="0">
    <oddHeader>&amp;L&amp;8Page 42&amp;R&amp;8Page 42</oddHeader>
    <oddFooter>&amp;L"The notes are an integral part of these statements"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zoomScaleNormal="110" workbookViewId="0">
      <selection activeCell="F6" sqref="F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Unity Point CCSD 140</v>
      </c>
      <c r="C1" s="2471"/>
      <c r="D1" s="2471"/>
      <c r="E1" s="2471"/>
      <c r="F1" s="2471"/>
      <c r="G1" s="2471"/>
      <c r="H1" s="2471"/>
      <c r="I1" s="2471"/>
      <c r="J1" s="2471"/>
      <c r="K1" s="2471"/>
      <c r="L1" s="1374"/>
      <c r="M1" s="1374"/>
    </row>
    <row r="2" spans="1:13" ht="12" customHeight="1" x14ac:dyDescent="0.2">
      <c r="B2" s="2473">
        <f>'Single Audit Cover'!E7</f>
        <v>30039140004</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2108</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&amp;L"The notes are an integral part of these statements"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F6" sqref="F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Unity Point CCSD 140</v>
      </c>
      <c r="C1" s="2498"/>
      <c r="D1" s="2498"/>
      <c r="E1" s="2498"/>
      <c r="F1" s="2498"/>
      <c r="G1" s="2498"/>
      <c r="H1" s="2498"/>
      <c r="I1" s="2498"/>
      <c r="J1" s="2498"/>
      <c r="K1" s="2498"/>
      <c r="L1" s="1465"/>
    </row>
    <row r="2" spans="1:12" ht="12.75" customHeight="1" x14ac:dyDescent="0.2">
      <c r="B2" s="2499">
        <f>'Single Audit Cover'!E7</f>
        <v>30039140004</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t="s">
        <v>2108</v>
      </c>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&amp;L"The notes are an integral part of these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F6" sqref="F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Unity Point CCSD 140</v>
      </c>
      <c r="C1" s="2471"/>
      <c r="D1" s="2471"/>
      <c r="E1" s="1491"/>
    </row>
    <row r="2" spans="2:5" s="1282" customFormat="1" ht="12.75" customHeight="1" x14ac:dyDescent="0.2">
      <c r="B2" s="2473">
        <f>'Single Audit Cover'!E7</f>
        <v>30039140004</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t="s">
        <v>2108</v>
      </c>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&amp;L"The notes are an integral part of these statements"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74964599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1.63676E-2</v>
      </c>
      <c r="E10" s="356" t="s">
        <v>1062</v>
      </c>
      <c r="F10" s="355">
        <v>3.8018000000000001E-3</v>
      </c>
      <c r="G10" s="356" t="s">
        <v>1062</v>
      </c>
      <c r="H10" s="355">
        <v>1.2006E-3</v>
      </c>
      <c r="I10" s="356" t="s">
        <v>1063</v>
      </c>
      <c r="J10" s="1754">
        <f>ROUND(D10+F10+H10,5)</f>
        <v>2.137E-2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6397895</v>
      </c>
      <c r="E16" s="356"/>
      <c r="F16" s="1755">
        <f>SUM('Acct Summary 7-8'!C17,'Acct Summary 7-8'!D17,'Acct Summary 7-8'!F17)</f>
        <v>6359499</v>
      </c>
      <c r="G16" s="356"/>
      <c r="H16" s="1755">
        <f>SUM(D16-F16)</f>
        <v>38396</v>
      </c>
      <c r="I16" s="222"/>
      <c r="J16" s="1755">
        <f>SUM('Acct Summary 7-8'!C81,'Acct Summary 7-8'!D81,'Acct Summary 7-8'!F81,'Acct Summary 7-8'!I81)</f>
        <v>959582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5172557.3310000002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3792985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&amp;L&amp;8"The notes are an integral part of these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F6" sqref="F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Unity Point CCSD 140</v>
      </c>
      <c r="E7" s="391"/>
      <c r="G7" s="252"/>
      <c r="H7" s="387"/>
      <c r="I7" s="387"/>
      <c r="J7" s="387"/>
      <c r="K7" s="387"/>
      <c r="L7" s="329"/>
      <c r="M7" s="329"/>
      <c r="N7" s="329"/>
      <c r="O7" s="329"/>
      <c r="P7" s="329"/>
    </row>
    <row r="8" spans="1:18" ht="12.75" x14ac:dyDescent="0.2">
      <c r="A8" s="329"/>
      <c r="B8" s="329"/>
      <c r="C8" s="389" t="s">
        <v>1187</v>
      </c>
      <c r="D8" s="392">
        <f>COVER!A13</f>
        <v>30039140004</v>
      </c>
      <c r="E8" s="393"/>
      <c r="G8" s="329"/>
      <c r="H8" s="329"/>
      <c r="I8" s="329"/>
      <c r="J8" s="329"/>
      <c r="K8" s="329"/>
      <c r="L8" s="329"/>
      <c r="M8" s="329"/>
      <c r="N8" s="329"/>
      <c r="O8" s="329"/>
      <c r="P8" s="329"/>
    </row>
    <row r="9" spans="1:18" ht="12.75" x14ac:dyDescent="0.2">
      <c r="A9" s="329"/>
      <c r="B9" s="329"/>
      <c r="C9" s="389" t="s">
        <v>737</v>
      </c>
      <c r="D9" s="394" t="str">
        <f>COVER!A15</f>
        <v>Jackson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959582</v>
      </c>
      <c r="I12" s="404"/>
      <c r="J12" s="404"/>
      <c r="K12" s="405">
        <f>TRUNC((H12/H13*100000),5)/100000</f>
        <v>0.14998401810000001</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6397895</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6359499</v>
      </c>
      <c r="I17" s="404"/>
      <c r="J17" s="416"/>
      <c r="K17" s="405">
        <f>TRUNC((H17/H18*100000),5)/100000</f>
        <v>0.99399865109999996</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6397895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1176864</v>
      </c>
      <c r="I24" s="422"/>
      <c r="J24" s="422"/>
      <c r="K24" s="423">
        <f>TRUNC(((H24/H25*100000)/100000),2)</f>
        <v>66.62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17665.275000000001</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1361694.45854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3792985</v>
      </c>
      <c r="I32" s="420"/>
      <c r="J32" s="420"/>
      <c r="K32" s="423">
        <f>TRUNC(100-((((H32/H33*100))*100)/100),2)</f>
        <v>26.67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5172557.3310000002</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3.25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&amp;L&amp;8"The notes are an integral part of these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A28" colorId="8" zoomScale="110" zoomScaleNormal="110" workbookViewId="0">
      <selection activeCell="F6" sqref="F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f>363823+20+4000+7811+8269</f>
        <v>383923</v>
      </c>
      <c r="D4" s="466">
        <f>169705</f>
        <v>169705</v>
      </c>
      <c r="E4" s="466">
        <v>239551</v>
      </c>
      <c r="F4" s="466">
        <f>32796</f>
        <v>32796</v>
      </c>
      <c r="G4" s="466">
        <v>100099</v>
      </c>
      <c r="H4" s="466">
        <v>2063235</v>
      </c>
      <c r="I4" s="466">
        <v>590440</v>
      </c>
      <c r="J4" s="467">
        <v>0</v>
      </c>
      <c r="K4" s="466">
        <v>0</v>
      </c>
      <c r="L4" s="466">
        <v>9198</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v>1388</v>
      </c>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385311</v>
      </c>
      <c r="D13" s="1759">
        <f t="shared" ref="D13:L13" si="0">SUM(D4:D12)</f>
        <v>169705</v>
      </c>
      <c r="E13" s="1759">
        <f t="shared" si="0"/>
        <v>239551</v>
      </c>
      <c r="F13" s="1759">
        <f t="shared" si="0"/>
        <v>32796</v>
      </c>
      <c r="G13" s="1759">
        <f t="shared" si="0"/>
        <v>100099</v>
      </c>
      <c r="H13" s="1759">
        <f t="shared" si="0"/>
        <v>2063235</v>
      </c>
      <c r="I13" s="1759">
        <f t="shared" si="0"/>
        <v>590440</v>
      </c>
      <c r="J13" s="1759">
        <f t="shared" si="0"/>
        <v>0</v>
      </c>
      <c r="K13" s="1759">
        <f t="shared" si="0"/>
        <v>0</v>
      </c>
      <c r="L13" s="1759">
        <f t="shared" si="0"/>
        <v>9198</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30100</v>
      </c>
      <c r="N16" s="484"/>
    </row>
    <row r="17" spans="1:14" s="485" customFormat="1" ht="12.75" customHeight="1" x14ac:dyDescent="0.2">
      <c r="A17" s="482" t="s">
        <v>1470</v>
      </c>
      <c r="B17" s="483">
        <v>230</v>
      </c>
      <c r="C17" s="477"/>
      <c r="D17" s="477"/>
      <c r="E17" s="477"/>
      <c r="F17" s="477"/>
      <c r="G17" s="477"/>
      <c r="H17" s="477"/>
      <c r="I17" s="477"/>
      <c r="J17" s="477"/>
      <c r="K17" s="477"/>
      <c r="L17" s="477"/>
      <c r="M17" s="467">
        <v>11579717</v>
      </c>
      <c r="N17" s="484"/>
    </row>
    <row r="18" spans="1:14" s="485" customFormat="1" ht="12.75" customHeight="1" x14ac:dyDescent="0.2">
      <c r="A18" s="482" t="s">
        <v>1471</v>
      </c>
      <c r="B18" s="483">
        <v>240</v>
      </c>
      <c r="C18" s="477"/>
      <c r="D18" s="477"/>
      <c r="E18" s="477"/>
      <c r="F18" s="477"/>
      <c r="G18" s="477"/>
      <c r="H18" s="477"/>
      <c r="I18" s="477"/>
      <c r="J18" s="477"/>
      <c r="K18" s="477"/>
      <c r="L18" s="477"/>
      <c r="M18" s="467">
        <v>989072</v>
      </c>
      <c r="N18" s="484"/>
    </row>
    <row r="19" spans="1:14" s="485" customFormat="1" ht="12.75" customHeight="1" x14ac:dyDescent="0.2">
      <c r="A19" s="482" t="s">
        <v>1472</v>
      </c>
      <c r="B19" s="483">
        <v>250</v>
      </c>
      <c r="C19" s="477"/>
      <c r="D19" s="477"/>
      <c r="E19" s="477"/>
      <c r="F19" s="477"/>
      <c r="G19" s="477"/>
      <c r="H19" s="477"/>
      <c r="I19" s="477"/>
      <c r="J19" s="477"/>
      <c r="K19" s="477"/>
      <c r="L19" s="477"/>
      <c r="M19" s="467">
        <f>1309271+2028226</f>
        <v>3337497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239551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3553434</v>
      </c>
    </row>
    <row r="23" spans="1:14" ht="13.5" customHeight="1" thickBot="1" x14ac:dyDescent="0.25">
      <c r="A23" s="1758" t="s">
        <v>664</v>
      </c>
      <c r="B23" s="1763"/>
      <c r="C23" s="468"/>
      <c r="D23" s="468"/>
      <c r="E23" s="468"/>
      <c r="F23" s="468"/>
      <c r="G23" s="468"/>
      <c r="H23" s="468"/>
      <c r="I23" s="468"/>
      <c r="J23" s="468"/>
      <c r="K23" s="468"/>
      <c r="L23" s="468"/>
      <c r="M23" s="1710">
        <f>SUM(M15:M22)</f>
        <v>15936386</v>
      </c>
      <c r="N23" s="1710">
        <f>SUM(N21:N22)</f>
        <v>3792985</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v>218000</v>
      </c>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670</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9198</v>
      </c>
      <c r="M33" s="468"/>
      <c r="N33" s="469"/>
    </row>
    <row r="34" spans="1:14" ht="13.5" customHeight="1" thickBot="1" x14ac:dyDescent="0.25">
      <c r="A34" s="1760" t="s">
        <v>675</v>
      </c>
      <c r="B34" s="1761"/>
      <c r="C34" s="1762">
        <f>SUM(C25:C33)</f>
        <v>218670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9198</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3792985</v>
      </c>
    </row>
    <row r="37" spans="1:14" ht="13.5" thickBot="1" x14ac:dyDescent="0.25">
      <c r="A37" s="1758" t="s">
        <v>674</v>
      </c>
      <c r="B37" s="1763"/>
      <c r="C37" s="477"/>
      <c r="D37" s="477"/>
      <c r="E37" s="477"/>
      <c r="F37" s="477"/>
      <c r="G37" s="477"/>
      <c r="H37" s="477"/>
      <c r="I37" s="477"/>
      <c r="J37" s="477"/>
      <c r="K37" s="477"/>
      <c r="L37" s="480"/>
      <c r="M37" s="468"/>
      <c r="N37" s="1710">
        <f>SUM(N36:N36)</f>
        <v>3792985</v>
      </c>
    </row>
    <row r="38" spans="1:14" s="329" customFormat="1" ht="13.5" customHeight="1" thickTop="1" x14ac:dyDescent="0.2">
      <c r="A38" s="496" t="s">
        <v>440</v>
      </c>
      <c r="B38" s="483">
        <v>714</v>
      </c>
      <c r="C38" s="466"/>
      <c r="D38" s="466"/>
      <c r="E38" s="466">
        <f>'Acct Summary 7-8'!E81</f>
        <v>239551</v>
      </c>
      <c r="F38" s="466">
        <f>'Acct Summary 7-8'!F81</f>
        <v>32796</v>
      </c>
      <c r="G38" s="466">
        <f>'Acct Summary 7-8'!G81</f>
        <v>100099</v>
      </c>
      <c r="H38" s="466">
        <f>'Acct Summary 7-8'!H81</f>
        <v>2063235</v>
      </c>
      <c r="I38" s="466"/>
      <c r="J38" s="467"/>
      <c r="K38" s="466"/>
      <c r="L38" s="481"/>
      <c r="M38" s="497"/>
      <c r="N38" s="497"/>
    </row>
    <row r="39" spans="1:14" s="329" customFormat="1" ht="13.5" customHeight="1" x14ac:dyDescent="0.2">
      <c r="A39" s="496" t="s">
        <v>360</v>
      </c>
      <c r="B39" s="483">
        <v>730</v>
      </c>
      <c r="C39" s="466">
        <f>'Acct Summary 7-8'!C81</f>
        <v>166641</v>
      </c>
      <c r="D39" s="466">
        <f>'Acct Summary 7-8'!D81</f>
        <v>169705</v>
      </c>
      <c r="E39" s="466"/>
      <c r="F39" s="466"/>
      <c r="G39" s="466"/>
      <c r="H39" s="466"/>
      <c r="I39" s="466">
        <f>'Acct Summary 7-8'!I81</f>
        <v>590440</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15936386</v>
      </c>
      <c r="N40" s="497"/>
    </row>
    <row r="41" spans="1:14" ht="13.5" customHeight="1" thickBot="1" x14ac:dyDescent="0.25">
      <c r="A41" s="1758" t="s">
        <v>676</v>
      </c>
      <c r="B41" s="1728"/>
      <c r="C41" s="1710">
        <f>(SUM(C34,C37,C38,C39))</f>
        <v>385311</v>
      </c>
      <c r="D41" s="1710">
        <f t="shared" ref="D41:L41" si="2">SUM(D34,D37,D38:D39)</f>
        <v>169705</v>
      </c>
      <c r="E41" s="1710">
        <f t="shared" si="2"/>
        <v>239551</v>
      </c>
      <c r="F41" s="1710">
        <f t="shared" si="2"/>
        <v>32796</v>
      </c>
      <c r="G41" s="1710">
        <f t="shared" si="2"/>
        <v>100099</v>
      </c>
      <c r="H41" s="1710">
        <f t="shared" si="2"/>
        <v>2063235</v>
      </c>
      <c r="I41" s="1710">
        <f t="shared" si="2"/>
        <v>590440</v>
      </c>
      <c r="J41" s="1710">
        <f t="shared" si="2"/>
        <v>0</v>
      </c>
      <c r="K41" s="1710">
        <f t="shared" si="2"/>
        <v>0</v>
      </c>
      <c r="L41" s="1710">
        <f t="shared" si="2"/>
        <v>9198</v>
      </c>
      <c r="M41" s="1710">
        <f>SUM(M40)</f>
        <v>15936386</v>
      </c>
      <c r="N41" s="1710">
        <f>SUM(N37)</f>
        <v>3792985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selection activeCell="F6" sqref="F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1412591</v>
      </c>
      <c r="D4" s="1764">
        <f>'Revenues 9-14'!D109</f>
        <v>314211</v>
      </c>
      <c r="E4" s="1764">
        <f>'Revenues 9-14'!E109</f>
        <v>114541</v>
      </c>
      <c r="F4" s="1764">
        <f>'Revenues 9-14'!F109</f>
        <v>87607</v>
      </c>
      <c r="G4" s="1764">
        <f>'Revenues 9-14'!G109</f>
        <v>201186</v>
      </c>
      <c r="H4" s="1764">
        <f>'Revenues 9-14'!H109</f>
        <v>352966</v>
      </c>
      <c r="I4" s="1764">
        <f>'Revenues 9-14'!I109</f>
        <v>38888</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3622071</v>
      </c>
      <c r="D6" s="1765">
        <f>'Revenues 9-14'!D173</f>
        <v>104500</v>
      </c>
      <c r="E6" s="1765">
        <f>'Revenues 9-14'!E173</f>
        <v>0</v>
      </c>
      <c r="F6" s="1765">
        <f>'Revenues 9-14'!F173</f>
        <v>254333</v>
      </c>
      <c r="G6" s="1765">
        <f>'Revenues 9-14'!G173</f>
        <v>27000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563694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5598356</v>
      </c>
      <c r="D8" s="1710">
        <f t="shared" ref="D8:K8" si="0">SUM(D4:D7)</f>
        <v>418711</v>
      </c>
      <c r="E8" s="1710">
        <f t="shared" si="0"/>
        <v>114541</v>
      </c>
      <c r="F8" s="1710">
        <f t="shared" si="0"/>
        <v>341940</v>
      </c>
      <c r="G8" s="1710">
        <f t="shared" si="0"/>
        <v>228186</v>
      </c>
      <c r="H8" s="1710">
        <f t="shared" si="0"/>
        <v>352966</v>
      </c>
      <c r="I8" s="1710">
        <f t="shared" si="0"/>
        <v>38888</v>
      </c>
      <c r="J8" s="1710">
        <f t="shared" si="0"/>
        <v>0</v>
      </c>
      <c r="K8" s="1710">
        <f t="shared" si="0"/>
        <v>0</v>
      </c>
      <c r="L8" s="347"/>
    </row>
    <row r="9" spans="1:13" ht="15.75" thickTop="1" x14ac:dyDescent="0.2">
      <c r="A9" s="514" t="s">
        <v>1752</v>
      </c>
      <c r="B9" s="515">
        <v>3998</v>
      </c>
      <c r="C9" s="481">
        <v>349455</v>
      </c>
      <c r="D9" s="516"/>
      <c r="E9" s="481"/>
      <c r="F9" s="481"/>
      <c r="G9" s="517"/>
      <c r="H9" s="481"/>
      <c r="I9" s="509" t="s">
        <v>1231</v>
      </c>
      <c r="J9" s="478"/>
      <c r="K9" s="481"/>
      <c r="L9" s="347"/>
    </row>
    <row r="10" spans="1:13" s="519" customFormat="1" ht="13.5" thickBot="1" x14ac:dyDescent="0.25">
      <c r="A10" s="1758" t="s">
        <v>1235</v>
      </c>
      <c r="B10" s="1731"/>
      <c r="C10" s="1710">
        <f>SUM(C8:C9)</f>
        <v>5947811</v>
      </c>
      <c r="D10" s="1710">
        <f t="shared" ref="D10:K10" si="1">SUM(D8:D9)</f>
        <v>418711</v>
      </c>
      <c r="E10" s="1710">
        <f t="shared" si="1"/>
        <v>114541</v>
      </c>
      <c r="F10" s="1710">
        <f t="shared" si="1"/>
        <v>341940</v>
      </c>
      <c r="G10" s="1710">
        <f t="shared" si="1"/>
        <v>228186</v>
      </c>
      <c r="H10" s="1710">
        <f t="shared" si="1"/>
        <v>352966</v>
      </c>
      <c r="I10" s="1710">
        <f t="shared" si="1"/>
        <v>38888</v>
      </c>
      <c r="J10" s="1710">
        <f t="shared" si="1"/>
        <v>0</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4054649</v>
      </c>
      <c r="D12" s="520" t="s">
        <v>1231</v>
      </c>
      <c r="E12" s="468" t="s">
        <v>1231</v>
      </c>
      <c r="F12" s="468" t="s">
        <v>1231</v>
      </c>
      <c r="G12" s="1764">
        <f>'Expenditures 15-22'!K229</f>
        <v>142437</v>
      </c>
      <c r="H12" s="521"/>
      <c r="I12" s="468" t="s">
        <v>1231</v>
      </c>
      <c r="J12" s="468" t="s">
        <v>1231</v>
      </c>
      <c r="K12" s="521" t="s">
        <v>1231</v>
      </c>
      <c r="L12" s="347"/>
    </row>
    <row r="13" spans="1:13" ht="15.75" customHeight="1" x14ac:dyDescent="0.2">
      <c r="A13" s="1598" t="s">
        <v>477</v>
      </c>
      <c r="B13" s="1600">
        <v>2000</v>
      </c>
      <c r="C13" s="1765">
        <f>'Expenditures 15-22'!K74</f>
        <v>1214689</v>
      </c>
      <c r="D13" s="1765">
        <f>'Expenditures 15-22'!K129</f>
        <v>512677</v>
      </c>
      <c r="E13" s="469" t="s">
        <v>1231</v>
      </c>
      <c r="F13" s="1765">
        <f>'Expenditures 15-22'!K184</f>
        <v>376384</v>
      </c>
      <c r="G13" s="1765">
        <f>'Expenditures 15-22'!K279</f>
        <v>127273</v>
      </c>
      <c r="H13" s="1765">
        <f>'Expenditures 15-22'!K303</f>
        <v>863364</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201100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181523</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5470438</v>
      </c>
      <c r="D17" s="1710">
        <f t="shared" si="2"/>
        <v>512677</v>
      </c>
      <c r="E17" s="1710">
        <f t="shared" si="2"/>
        <v>181523</v>
      </c>
      <c r="F17" s="1710">
        <f t="shared" si="2"/>
        <v>376384</v>
      </c>
      <c r="G17" s="1710">
        <f t="shared" si="2"/>
        <v>269710</v>
      </c>
      <c r="H17" s="1710">
        <f t="shared" si="2"/>
        <v>863364</v>
      </c>
      <c r="I17" s="468"/>
      <c r="J17" s="1710">
        <f>SUM(J12:J16)</f>
        <v>0</v>
      </c>
      <c r="K17" s="1710">
        <f>SUM(K12:K16)</f>
        <v>0</v>
      </c>
      <c r="L17" s="347"/>
    </row>
    <row r="18" spans="1:12" ht="15" customHeight="1" thickTop="1" x14ac:dyDescent="0.2">
      <c r="A18" s="1766" t="s">
        <v>1753</v>
      </c>
      <c r="B18" s="1767">
        <v>4180</v>
      </c>
      <c r="C18" s="1764">
        <f t="shared" ref="C18:H18" si="3">C9</f>
        <v>349455</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5819893</v>
      </c>
      <c r="D19" s="1710">
        <f t="shared" si="4"/>
        <v>512677</v>
      </c>
      <c r="E19" s="1710">
        <f t="shared" si="4"/>
        <v>181523</v>
      </c>
      <c r="F19" s="1710">
        <f t="shared" si="4"/>
        <v>376384</v>
      </c>
      <c r="G19" s="1710">
        <f t="shared" si="4"/>
        <v>269710</v>
      </c>
      <c r="H19" s="1710">
        <f t="shared" si="4"/>
        <v>863364</v>
      </c>
      <c r="I19" s="468"/>
      <c r="J19" s="1710">
        <f>SUM(J17:J18)</f>
        <v>0</v>
      </c>
      <c r="K19" s="1710">
        <f>SUM(K17:K18)</f>
        <v>0</v>
      </c>
      <c r="L19" s="347"/>
    </row>
    <row r="20" spans="1:12" ht="16.5" thickTop="1" thickBot="1" x14ac:dyDescent="0.25">
      <c r="A20" s="2144" t="s">
        <v>1754</v>
      </c>
      <c r="B20" s="2145"/>
      <c r="C20" s="1768">
        <f>C8-C17</f>
        <v>127918</v>
      </c>
      <c r="D20" s="1768">
        <f t="shared" ref="D20:K20" si="5">D8-D17</f>
        <v>-93966</v>
      </c>
      <c r="E20" s="1768">
        <f t="shared" si="5"/>
        <v>-66982</v>
      </c>
      <c r="F20" s="1768">
        <f t="shared" si="5"/>
        <v>-34444</v>
      </c>
      <c r="G20" s="1768">
        <f t="shared" si="5"/>
        <v>-41524</v>
      </c>
      <c r="H20" s="1768">
        <f t="shared" si="5"/>
        <v>-510398</v>
      </c>
      <c r="I20" s="1768">
        <f t="shared" si="5"/>
        <v>38888</v>
      </c>
      <c r="J20" s="1768">
        <f t="shared" si="5"/>
        <v>0</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v>649</v>
      </c>
      <c r="E28" s="467"/>
      <c r="F28" s="467"/>
      <c r="G28" s="467"/>
      <c r="H28" s="467"/>
      <c r="I28" s="467"/>
      <c r="J28" s="467"/>
      <c r="K28" s="467"/>
      <c r="L28" s="524"/>
    </row>
    <row r="29" spans="1:12" s="485" customFormat="1" ht="13.5" customHeight="1" x14ac:dyDescent="0.2">
      <c r="A29" s="1511" t="s">
        <v>312</v>
      </c>
      <c r="B29" s="483">
        <v>7150</v>
      </c>
      <c r="C29" s="475"/>
      <c r="D29" s="467">
        <v>116081</v>
      </c>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v>2813000</v>
      </c>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67397</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v>60506</v>
      </c>
      <c r="D43" s="467"/>
      <c r="E43" s="467">
        <v>62780</v>
      </c>
      <c r="F43" s="467"/>
      <c r="G43" s="467"/>
      <c r="H43" s="467"/>
      <c r="I43" s="467"/>
      <c r="J43" s="467"/>
      <c r="K43" s="467"/>
      <c r="L43" s="524"/>
    </row>
    <row r="44" spans="1:12" s="485" customFormat="1" ht="13.5" customHeight="1" thickBot="1" x14ac:dyDescent="0.25">
      <c r="A44" s="2158" t="s">
        <v>392</v>
      </c>
      <c r="B44" s="2159"/>
      <c r="C44" s="1725">
        <f>SUM(C24:C43)</f>
        <v>60506</v>
      </c>
      <c r="D44" s="1725">
        <f t="shared" ref="D44:K44" si="6">SUM(D24:D43)</f>
        <v>116730</v>
      </c>
      <c r="E44" s="1725">
        <f t="shared" si="6"/>
        <v>130177</v>
      </c>
      <c r="F44" s="1725">
        <f t="shared" si="6"/>
        <v>0</v>
      </c>
      <c r="G44" s="1725">
        <f t="shared" si="6"/>
        <v>0</v>
      </c>
      <c r="H44" s="1725">
        <f t="shared" si="6"/>
        <v>2813000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v>649</v>
      </c>
      <c r="F50" s="467"/>
      <c r="G50" s="467"/>
      <c r="H50" s="467"/>
      <c r="I50" s="477"/>
      <c r="J50" s="467"/>
      <c r="K50" s="477"/>
      <c r="L50" s="524"/>
    </row>
    <row r="51" spans="1:12" s="485" customFormat="1" x14ac:dyDescent="0.2">
      <c r="A51" s="1512" t="s">
        <v>312</v>
      </c>
      <c r="B51" s="483">
        <v>8150</v>
      </c>
      <c r="C51" s="475"/>
      <c r="D51" s="475"/>
      <c r="E51" s="475"/>
      <c r="F51" s="475"/>
      <c r="G51" s="475"/>
      <c r="H51" s="1765">
        <f>SUM(D29)</f>
        <v>116081</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v>50548</v>
      </c>
      <c r="D65" s="531">
        <v>16849</v>
      </c>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f>60506+62780</f>
        <v>123286</v>
      </c>
      <c r="I75" s="530"/>
      <c r="J75" s="530"/>
      <c r="K75" s="532"/>
      <c r="L75" s="524"/>
    </row>
    <row r="76" spans="1:12" s="485" customFormat="1" ht="14.25" thickTop="1" thickBot="1" x14ac:dyDescent="0.25">
      <c r="A76" s="2134" t="s">
        <v>460</v>
      </c>
      <c r="B76" s="2135"/>
      <c r="C76" s="1725">
        <f t="shared" ref="C76:K76" si="7">SUM(C47:C75)</f>
        <v>50548</v>
      </c>
      <c r="D76" s="1725">
        <f t="shared" si="7"/>
        <v>16849</v>
      </c>
      <c r="E76" s="1725">
        <f t="shared" si="7"/>
        <v>649</v>
      </c>
      <c r="F76" s="1725">
        <f t="shared" si="7"/>
        <v>0</v>
      </c>
      <c r="G76" s="1725">
        <f t="shared" si="7"/>
        <v>0</v>
      </c>
      <c r="H76" s="1725">
        <f t="shared" si="7"/>
        <v>239367</v>
      </c>
      <c r="I76" s="1725">
        <f t="shared" si="7"/>
        <v>0</v>
      </c>
      <c r="J76" s="1725">
        <f t="shared" si="7"/>
        <v>0</v>
      </c>
      <c r="K76" s="1725">
        <f t="shared" si="7"/>
        <v>0</v>
      </c>
      <c r="L76" s="524"/>
    </row>
    <row r="77" spans="1:12" ht="14.25" thickTop="1" thickBot="1" x14ac:dyDescent="0.25">
      <c r="A77" s="2136" t="s">
        <v>1239</v>
      </c>
      <c r="B77" s="2137"/>
      <c r="C77" s="1725">
        <f t="shared" ref="C77:K77" si="8">C44-C76</f>
        <v>9958</v>
      </c>
      <c r="D77" s="1725">
        <f t="shared" si="8"/>
        <v>99881</v>
      </c>
      <c r="E77" s="1725">
        <f t="shared" si="8"/>
        <v>129528</v>
      </c>
      <c r="F77" s="1725">
        <f t="shared" si="8"/>
        <v>0</v>
      </c>
      <c r="G77" s="1725">
        <f t="shared" si="8"/>
        <v>0</v>
      </c>
      <c r="H77" s="1725">
        <f t="shared" si="8"/>
        <v>2573633</v>
      </c>
      <c r="I77" s="1725">
        <f t="shared" si="8"/>
        <v>0</v>
      </c>
      <c r="J77" s="1725">
        <f t="shared" si="8"/>
        <v>0</v>
      </c>
      <c r="K77" s="1725">
        <f t="shared" si="8"/>
        <v>0</v>
      </c>
      <c r="L77" s="347"/>
    </row>
    <row r="78" spans="1:12" ht="21.75" customHeight="1" thickTop="1" thickBot="1" x14ac:dyDescent="0.25">
      <c r="A78" s="2140" t="s">
        <v>618</v>
      </c>
      <c r="B78" s="2141"/>
      <c r="C78" s="1724">
        <f t="shared" ref="C78:K78" si="9">C20+C77</f>
        <v>137876</v>
      </c>
      <c r="D78" s="1724">
        <f t="shared" si="9"/>
        <v>5915</v>
      </c>
      <c r="E78" s="1724">
        <f t="shared" si="9"/>
        <v>62546</v>
      </c>
      <c r="F78" s="1724">
        <f t="shared" si="9"/>
        <v>-34444</v>
      </c>
      <c r="G78" s="1724">
        <f t="shared" si="9"/>
        <v>-41524</v>
      </c>
      <c r="H78" s="1724">
        <f t="shared" si="9"/>
        <v>2063235</v>
      </c>
      <c r="I78" s="1724">
        <f t="shared" si="9"/>
        <v>38888</v>
      </c>
      <c r="J78" s="1724">
        <f t="shared" si="9"/>
        <v>0</v>
      </c>
      <c r="K78" s="1724">
        <f t="shared" si="9"/>
        <v>0</v>
      </c>
      <c r="L78" s="533"/>
    </row>
    <row r="79" spans="1:12" ht="13.5" thickTop="1" x14ac:dyDescent="0.2">
      <c r="A79" s="1516" t="s">
        <v>2073</v>
      </c>
      <c r="B79" s="534"/>
      <c r="C79" s="478">
        <v>32225</v>
      </c>
      <c r="D79" s="535">
        <v>163790</v>
      </c>
      <c r="E79" s="535">
        <v>177005</v>
      </c>
      <c r="F79" s="535">
        <v>67240</v>
      </c>
      <c r="G79" s="535">
        <v>141623</v>
      </c>
      <c r="H79" s="535">
        <v>0</v>
      </c>
      <c r="I79" s="535">
        <v>551552</v>
      </c>
      <c r="J79" s="535">
        <v>0</v>
      </c>
      <c r="K79" s="535">
        <v>0</v>
      </c>
      <c r="L79" s="347"/>
    </row>
    <row r="80" spans="1:12" x14ac:dyDescent="0.2">
      <c r="A80" s="2146" t="s">
        <v>1898</v>
      </c>
      <c r="B80" s="2147"/>
      <c r="C80" s="467">
        <v>-3460</v>
      </c>
      <c r="D80" s="467"/>
      <c r="E80" s="467"/>
      <c r="F80" s="467"/>
      <c r="G80" s="467"/>
      <c r="H80" s="467"/>
      <c r="I80" s="467"/>
      <c r="J80" s="467"/>
      <c r="K80" s="467"/>
      <c r="L80" s="347"/>
    </row>
    <row r="81" spans="1:12" ht="13.5" thickBot="1" x14ac:dyDescent="0.25">
      <c r="A81" s="2138" t="s">
        <v>2074</v>
      </c>
      <c r="B81" s="2139"/>
      <c r="C81" s="1710">
        <f>(SUM(C78:C80))</f>
        <v>166641</v>
      </c>
      <c r="D81" s="1710">
        <f>SUM(D78:D80)</f>
        <v>169705</v>
      </c>
      <c r="E81" s="1710">
        <f t="shared" ref="E81:K81" si="10">SUM(E78:E80)</f>
        <v>239551</v>
      </c>
      <c r="F81" s="1710">
        <f t="shared" si="10"/>
        <v>32796</v>
      </c>
      <c r="G81" s="1710">
        <f t="shared" si="10"/>
        <v>100099</v>
      </c>
      <c r="H81" s="1710">
        <f t="shared" si="10"/>
        <v>2063235</v>
      </c>
      <c r="I81" s="1710">
        <f t="shared" si="10"/>
        <v>590440</v>
      </c>
      <c r="J81" s="1710">
        <f t="shared" si="10"/>
        <v>0</v>
      </c>
      <c r="K81" s="1710">
        <f t="shared" si="10"/>
        <v>0</v>
      </c>
      <c r="L81" s="347"/>
    </row>
    <row r="82" spans="1:12" ht="0.75" customHeight="1" thickTop="1" thickBot="1" x14ac:dyDescent="0.25">
      <c r="A82" s="536" t="s">
        <v>361</v>
      </c>
      <c r="B82" s="537"/>
      <c r="C82" s="538">
        <f>(C81-C79)</f>
        <v>134416</v>
      </c>
      <c r="D82" s="538">
        <f t="shared" ref="D82:K82" si="11">(D81-D79)</f>
        <v>5915</v>
      </c>
      <c r="E82" s="538">
        <f t="shared" si="11"/>
        <v>62546</v>
      </c>
      <c r="F82" s="538">
        <f t="shared" si="11"/>
        <v>-34444</v>
      </c>
      <c r="G82" s="538">
        <f t="shared" si="11"/>
        <v>-41524</v>
      </c>
      <c r="H82" s="538">
        <f t="shared" si="11"/>
        <v>2063235</v>
      </c>
      <c r="I82" s="538">
        <f t="shared" si="11"/>
        <v>38888</v>
      </c>
      <c r="J82" s="538">
        <f t="shared" si="11"/>
        <v>0</v>
      </c>
      <c r="K82" s="538">
        <f t="shared" si="11"/>
        <v>0</v>
      </c>
    </row>
    <row r="83" spans="1:12" ht="14.25" hidden="1" thickTop="1" thickBot="1" x14ac:dyDescent="0.25">
      <c r="A83" s="539" t="s">
        <v>362</v>
      </c>
      <c r="B83" s="464"/>
      <c r="C83" s="540">
        <f>C82/C81</f>
        <v>0.80662021951380514</v>
      </c>
      <c r="D83" s="540">
        <f t="shared" ref="D83:K83" si="12">D82/D81</f>
        <v>3.4854600630505876E-2</v>
      </c>
      <c r="E83" s="540">
        <f t="shared" si="12"/>
        <v>0.26109680193361745</v>
      </c>
      <c r="F83" s="540">
        <f t="shared" si="12"/>
        <v>-1.0502500304915234</v>
      </c>
      <c r="G83" s="540">
        <f t="shared" si="12"/>
        <v>-0.41482931897421554</v>
      </c>
      <c r="H83" s="540">
        <f t="shared" si="12"/>
        <v>1</v>
      </c>
      <c r="I83" s="540">
        <f t="shared" si="12"/>
        <v>6.5862746426393878E-2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&amp;L&amp;8"The notes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selection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1214816</v>
      </c>
      <c r="D5" s="481">
        <v>273006</v>
      </c>
      <c r="E5" s="466">
        <v>113298</v>
      </c>
      <c r="F5" s="548">
        <v>84386</v>
      </c>
      <c r="G5" s="466">
        <v>84386</v>
      </c>
      <c r="H5" s="466"/>
      <c r="I5" s="466">
        <v>35998</v>
      </c>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23823</v>
      </c>
      <c r="D7" s="466"/>
      <c r="E7" s="468"/>
      <c r="F7" s="467"/>
      <c r="G7" s="467"/>
      <c r="H7" s="467"/>
      <c r="I7" s="468"/>
      <c r="J7" s="468"/>
      <c r="K7" s="468"/>
    </row>
    <row r="8" spans="1:12" x14ac:dyDescent="0.2">
      <c r="A8" s="463" t="s">
        <v>433</v>
      </c>
      <c r="B8" s="470">
        <v>1150</v>
      </c>
      <c r="C8" s="475"/>
      <c r="D8" s="475"/>
      <c r="E8" s="477"/>
      <c r="F8" s="477"/>
      <c r="G8" s="481">
        <v>86373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1238639</v>
      </c>
      <c r="D12" s="1729">
        <f t="shared" si="0"/>
        <v>273006</v>
      </c>
      <c r="E12" s="1729">
        <f t="shared" si="0"/>
        <v>113298</v>
      </c>
      <c r="F12" s="1729">
        <f t="shared" si="0"/>
        <v>84386</v>
      </c>
      <c r="G12" s="1729">
        <f t="shared" si="0"/>
        <v>170759</v>
      </c>
      <c r="H12" s="1729">
        <f t="shared" si="0"/>
        <v>0</v>
      </c>
      <c r="I12" s="1729">
        <f t="shared" si="0"/>
        <v>35998</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v>9103</v>
      </c>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v>20349</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29452</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58198</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58198</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43</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v>2775</v>
      </c>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2818</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1607</v>
      </c>
      <c r="D65" s="466">
        <v>1090</v>
      </c>
      <c r="E65" s="466">
        <v>1243</v>
      </c>
      <c r="F65" s="467">
        <v>303</v>
      </c>
      <c r="G65" s="466">
        <v>975</v>
      </c>
      <c r="H65" s="466">
        <v>1807</v>
      </c>
      <c r="I65" s="466">
        <v>2890</v>
      </c>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1607</v>
      </c>
      <c r="D67" s="1710">
        <f t="shared" ref="D67:K67" si="2">SUM(D65:D66)</f>
        <v>1090</v>
      </c>
      <c r="E67" s="1710">
        <f t="shared" si="2"/>
        <v>1243</v>
      </c>
      <c r="F67" s="1710">
        <f t="shared" si="2"/>
        <v>303</v>
      </c>
      <c r="G67" s="1710">
        <f t="shared" si="2"/>
        <v>975</v>
      </c>
      <c r="H67" s="1710">
        <f t="shared" si="2"/>
        <v>1807</v>
      </c>
      <c r="I67" s="1710">
        <f t="shared" si="2"/>
        <v>2890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49746</v>
      </c>
      <c r="D69" s="468"/>
      <c r="E69" s="468"/>
      <c r="F69" s="468"/>
      <c r="G69" s="468"/>
      <c r="H69" s="468"/>
      <c r="I69" s="468"/>
      <c r="J69" s="468"/>
      <c r="K69" s="468"/>
    </row>
    <row r="70" spans="1:11" ht="12.75" customHeight="1" x14ac:dyDescent="0.2">
      <c r="A70" s="463" t="s">
        <v>1054</v>
      </c>
      <c r="B70" s="470">
        <v>1612</v>
      </c>
      <c r="C70" s="551">
        <v>5043</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8963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63752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9758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12254</v>
      </c>
      <c r="D81" s="466"/>
      <c r="E81" s="468"/>
      <c r="F81" s="468"/>
      <c r="G81" s="468"/>
      <c r="H81" s="468"/>
      <c r="I81" s="468"/>
      <c r="J81" s="468"/>
      <c r="K81" s="468"/>
    </row>
    <row r="82" spans="1:11" ht="12.75" customHeight="1" thickBot="1" x14ac:dyDescent="0.25">
      <c r="A82" s="1730" t="s">
        <v>259</v>
      </c>
      <c r="B82" s="1731"/>
      <c r="C82" s="1729">
        <f>SUM(C77:C81)</f>
        <v>22012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12210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v>94</v>
      </c>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12304</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31600</v>
      </c>
      <c r="E95" s="521"/>
      <c r="F95" s="521"/>
      <c r="G95" s="521"/>
      <c r="H95" s="521"/>
      <c r="I95" s="521"/>
      <c r="J95" s="521"/>
      <c r="K95" s="521"/>
    </row>
    <row r="96" spans="1:11" ht="12.75" customHeight="1" x14ac:dyDescent="0.2">
      <c r="A96" s="463" t="s">
        <v>409</v>
      </c>
      <c r="B96" s="470">
        <v>1920</v>
      </c>
      <c r="C96" s="551">
        <v>4515</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351159</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11564</v>
      </c>
      <c r="D107" s="466">
        <v>8515</v>
      </c>
      <c r="E107" s="466"/>
      <c r="F107" s="466">
        <v>100</v>
      </c>
      <c r="G107" s="466"/>
      <c r="H107" s="466"/>
      <c r="I107" s="466"/>
      <c r="J107" s="467"/>
      <c r="K107" s="466"/>
    </row>
    <row r="108" spans="1:12" ht="12.75" customHeight="1" thickBot="1" x14ac:dyDescent="0.25">
      <c r="A108" s="1730" t="s">
        <v>508</v>
      </c>
      <c r="B108" s="1734"/>
      <c r="C108" s="1729">
        <f>SUM(C95:C107)</f>
        <v>16079</v>
      </c>
      <c r="D108" s="1729">
        <f t="shared" ref="D108:K108" si="3">SUM(D95:D107)</f>
        <v>40115</v>
      </c>
      <c r="E108" s="1729">
        <f t="shared" si="3"/>
        <v>0</v>
      </c>
      <c r="F108" s="1729">
        <f t="shared" si="3"/>
        <v>100</v>
      </c>
      <c r="G108" s="1729">
        <f t="shared" si="3"/>
        <v>0</v>
      </c>
      <c r="H108" s="1729">
        <f t="shared" si="3"/>
        <v>351159</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1412591</v>
      </c>
      <c r="D109" s="1737">
        <f t="shared" si="4"/>
        <v>314211</v>
      </c>
      <c r="E109" s="1737">
        <f t="shared" si="4"/>
        <v>114541</v>
      </c>
      <c r="F109" s="1737">
        <f t="shared" si="4"/>
        <v>87607</v>
      </c>
      <c r="G109" s="1737">
        <f t="shared" si="4"/>
        <v>201186</v>
      </c>
      <c r="H109" s="1737">
        <f t="shared" si="4"/>
        <v>352966</v>
      </c>
      <c r="I109" s="1737">
        <f t="shared" si="4"/>
        <v>38888</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2814017</v>
      </c>
      <c r="D117" s="481">
        <v>100000</v>
      </c>
      <c r="E117" s="466"/>
      <c r="F117" s="481"/>
      <c r="G117" s="481">
        <v>27000</v>
      </c>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2814017</v>
      </c>
      <c r="D121" s="1729">
        <f t="shared" si="5"/>
        <v>100000</v>
      </c>
      <c r="E121" s="1729">
        <f t="shared" si="5"/>
        <v>0</v>
      </c>
      <c r="F121" s="1729">
        <f t="shared" si="5"/>
        <v>0</v>
      </c>
      <c r="G121" s="1729">
        <f t="shared" si="5"/>
        <v>27000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44010</v>
      </c>
      <c r="D125" s="561"/>
      <c r="E125" s="468"/>
      <c r="F125" s="466"/>
      <c r="G125" s="468"/>
      <c r="H125" s="468"/>
      <c r="I125" s="468"/>
      <c r="J125" s="468"/>
      <c r="K125" s="468"/>
    </row>
    <row r="126" spans="1:11" ht="12.75" customHeight="1" x14ac:dyDescent="0.2">
      <c r="A126" s="463" t="s">
        <v>922</v>
      </c>
      <c r="B126" s="562">
        <v>3110</v>
      </c>
      <c r="C126" s="551">
        <v>64019</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108029</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45604</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45604</v>
      </c>
      <c r="D144" s="468"/>
      <c r="E144" s="509"/>
      <c r="F144" s="468"/>
      <c r="G144" s="1743">
        <f>SUM(G142:G143)</f>
        <v>0</v>
      </c>
      <c r="H144" s="468"/>
      <c r="I144" s="468"/>
      <c r="J144" s="468"/>
      <c r="K144" s="468"/>
    </row>
    <row r="145" spans="1:11" s="202" customFormat="1" ht="12.75" customHeight="1" thickTop="1" x14ac:dyDescent="0.2">
      <c r="A145" s="1520" t="s">
        <v>1116</v>
      </c>
      <c r="B145" s="568">
        <v>3360</v>
      </c>
      <c r="C145" s="569">
        <f>2439+946</f>
        <v>3385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99654</v>
      </c>
      <c r="G151" s="467"/>
      <c r="H151" s="468"/>
      <c r="I151" s="468"/>
      <c r="J151" s="468"/>
      <c r="K151" s="468"/>
    </row>
    <row r="152" spans="1:11" ht="12.75" customHeight="1" x14ac:dyDescent="0.2">
      <c r="A152" s="463" t="s">
        <v>1117</v>
      </c>
      <c r="B152" s="562">
        <v>3510</v>
      </c>
      <c r="C152" s="551"/>
      <c r="D152" s="466"/>
      <c r="E152" s="561"/>
      <c r="F152" s="466">
        <v>154679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254333</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f>519805+121827</f>
        <v>641632</v>
      </c>
      <c r="D158" s="578">
        <v>4500</v>
      </c>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v>1500</v>
      </c>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7904</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808054</v>
      </c>
      <c r="D172" s="1744">
        <f t="shared" si="6"/>
        <v>4500</v>
      </c>
      <c r="E172" s="1744">
        <f t="shared" si="6"/>
        <v>0</v>
      </c>
      <c r="F172" s="1744">
        <f t="shared" si="6"/>
        <v>254333</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3622071</v>
      </c>
      <c r="D173" s="1737">
        <f>SUM(D121,D172)</f>
        <v>104500</v>
      </c>
      <c r="E173" s="1737">
        <f>SUM(E121,E172)</f>
        <v>0</v>
      </c>
      <c r="F173" s="1737">
        <f t="shared" ref="F173:K173" si="7">SUM(F121,F172)</f>
        <v>254333</v>
      </c>
      <c r="G173" s="1737">
        <f t="shared" si="7"/>
        <v>27000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7121</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7121</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f>9281+162926</f>
        <v>172207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54802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227009</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241915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241915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6404</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6404</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3170</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3170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v>46621</v>
      </c>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v>3866</v>
      </c>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27529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v>59</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563694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563694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5598356</v>
      </c>
      <c r="D275" s="1737">
        <f t="shared" si="12"/>
        <v>418711</v>
      </c>
      <c r="E275" s="1737">
        <f t="shared" si="12"/>
        <v>114541</v>
      </c>
      <c r="F275" s="1737">
        <f t="shared" si="12"/>
        <v>341940</v>
      </c>
      <c r="G275" s="1737">
        <f t="shared" si="12"/>
        <v>228186</v>
      </c>
      <c r="H275" s="1737">
        <f t="shared" si="12"/>
        <v>352966</v>
      </c>
      <c r="I275" s="1737">
        <f t="shared" si="12"/>
        <v>38888</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&amp;L&amp;8"The notes are an integral part of these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A331" colorId="8" zoomScale="110" zoomScaleNormal="110" workbookViewId="0">
      <selection activeCell="F6" sqref="F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1706226+48810+63273+134351+50064+900+84428+27836+68971+43020-1</f>
        <v>2227878</v>
      </c>
      <c r="D5" s="466">
        <f>219248+8364+18099+416+202401</f>
        <v>448528</v>
      </c>
      <c r="E5" s="466">
        <f>1209+4350</f>
        <v>5559</v>
      </c>
      <c r="F5" s="466">
        <f>227477+3439-56940-156249</f>
        <v>17727</v>
      </c>
      <c r="G5" s="466">
        <f>56940+156249</f>
        <v>213189</v>
      </c>
      <c r="H5" s="466">
        <v>4467</v>
      </c>
      <c r="I5" s="467"/>
      <c r="J5" s="467"/>
      <c r="K5" s="1693">
        <f>SUM(C5:J5)</f>
        <v>2917348</v>
      </c>
      <c r="L5" s="466">
        <v>2851000</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f>362615+4533+1921</f>
        <v>369069</v>
      </c>
      <c r="D7" s="467">
        <f>23720+2179+14487</f>
        <v>40386</v>
      </c>
      <c r="E7" s="467">
        <f>11401+920+3318-1921</f>
        <v>13718</v>
      </c>
      <c r="F7" s="467">
        <f>15292+17657+9305+2039+509</f>
        <v>44802</v>
      </c>
      <c r="G7" s="467">
        <v>9010</v>
      </c>
      <c r="H7" s="467">
        <v>869</v>
      </c>
      <c r="I7" s="467"/>
      <c r="J7" s="467"/>
      <c r="K7" s="1693">
        <f t="shared" ref="K7:K32" si="0">SUM(C7:J7)</f>
        <v>477854</v>
      </c>
      <c r="L7" s="466">
        <v>515900</v>
      </c>
    </row>
    <row r="8" spans="1:14" x14ac:dyDescent="0.2">
      <c r="A8" s="1526" t="s">
        <v>166</v>
      </c>
      <c r="B8" s="615">
        <v>1200</v>
      </c>
      <c r="C8" s="466">
        <v>333513</v>
      </c>
      <c r="D8" s="466">
        <f>35135+3227+31608</f>
        <v>69970</v>
      </c>
      <c r="E8" s="466">
        <v>500</v>
      </c>
      <c r="F8" s="466">
        <f>610+481</f>
        <v>1091</v>
      </c>
      <c r="G8" s="466"/>
      <c r="H8" s="466"/>
      <c r="I8" s="467"/>
      <c r="J8" s="467"/>
      <c r="K8" s="1693">
        <f t="shared" si="0"/>
        <v>405074</v>
      </c>
      <c r="L8" s="466">
        <v>421000</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f>95004</f>
        <v>95004</v>
      </c>
      <c r="D10" s="466">
        <f>20595+921+14926</f>
        <v>36442</v>
      </c>
      <c r="E10" s="466"/>
      <c r="F10" s="466">
        <v>543</v>
      </c>
      <c r="G10" s="466"/>
      <c r="H10" s="466">
        <v>312</v>
      </c>
      <c r="I10" s="467"/>
      <c r="J10" s="467"/>
      <c r="K10" s="1693">
        <f t="shared" si="0"/>
        <v>132301</v>
      </c>
      <c r="L10" s="466">
        <v>316500</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c r="D13" s="466"/>
      <c r="E13" s="466"/>
      <c r="F13" s="466"/>
      <c r="G13" s="466"/>
      <c r="H13" s="466"/>
      <c r="I13" s="467"/>
      <c r="J13" s="467"/>
      <c r="K13" s="1693">
        <f t="shared" si="0"/>
        <v>0</v>
      </c>
      <c r="L13" s="466">
        <v>0</v>
      </c>
    </row>
    <row r="14" spans="1:14" x14ac:dyDescent="0.2">
      <c r="A14" s="1526" t="s">
        <v>1020</v>
      </c>
      <c r="B14" s="615">
        <v>1500</v>
      </c>
      <c r="C14" s="466">
        <f>30300+2485</f>
        <v>32785</v>
      </c>
      <c r="D14" s="466">
        <f>1935+416</f>
        <v>2351</v>
      </c>
      <c r="E14" s="466">
        <v>8549</v>
      </c>
      <c r="F14" s="466">
        <v>1059</v>
      </c>
      <c r="G14" s="466"/>
      <c r="H14" s="466">
        <v>111</v>
      </c>
      <c r="I14" s="467"/>
      <c r="J14" s="467"/>
      <c r="K14" s="1693">
        <f t="shared" si="0"/>
        <v>44855</v>
      </c>
      <c r="L14" s="466">
        <v>55100</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c r="D17" s="467"/>
      <c r="E17" s="467"/>
      <c r="F17" s="467"/>
      <c r="G17" s="467"/>
      <c r="H17" s="467"/>
      <c r="I17" s="467"/>
      <c r="J17" s="467"/>
      <c r="K17" s="1693">
        <f t="shared" si="0"/>
        <v>0</v>
      </c>
      <c r="L17" s="466">
        <v>0</v>
      </c>
    </row>
    <row r="18" spans="1:12" x14ac:dyDescent="0.2">
      <c r="A18" s="1526" t="s">
        <v>1148</v>
      </c>
      <c r="B18" s="615">
        <v>1800</v>
      </c>
      <c r="C18" s="466">
        <f>39671+29354</f>
        <v>69025</v>
      </c>
      <c r="D18" s="466">
        <f>3668+337+878</f>
        <v>4883</v>
      </c>
      <c r="E18" s="466">
        <f>109+609+1823</f>
        <v>2541</v>
      </c>
      <c r="F18" s="466">
        <v>539</v>
      </c>
      <c r="G18" s="466"/>
      <c r="H18" s="466">
        <v>229</v>
      </c>
      <c r="I18" s="467"/>
      <c r="J18" s="467"/>
      <c r="K18" s="1693">
        <f t="shared" si="0"/>
        <v>77217</v>
      </c>
      <c r="L18" s="466">
        <v>153000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3127274</v>
      </c>
      <c r="D33" s="1692">
        <f t="shared" ref="D33:L33" si="1">SUM(D5:D32)</f>
        <v>602560</v>
      </c>
      <c r="E33" s="1692">
        <f t="shared" si="1"/>
        <v>30867</v>
      </c>
      <c r="F33" s="1692">
        <f t="shared" si="1"/>
        <v>65761</v>
      </c>
      <c r="G33" s="1692">
        <f t="shared" si="1"/>
        <v>222199</v>
      </c>
      <c r="H33" s="1692">
        <f t="shared" si="1"/>
        <v>5988</v>
      </c>
      <c r="I33" s="1692">
        <f t="shared" si="1"/>
        <v>0</v>
      </c>
      <c r="J33" s="1692">
        <f t="shared" si="1"/>
        <v>0</v>
      </c>
      <c r="K33" s="1692">
        <f t="shared" si="1"/>
        <v>4054649</v>
      </c>
      <c r="L33" s="1692">
        <f t="shared" si="1"/>
        <v>4312500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v>500</v>
      </c>
    </row>
    <row r="37" spans="1:14" x14ac:dyDescent="0.2">
      <c r="A37" s="1526" t="s">
        <v>1151</v>
      </c>
      <c r="B37" s="615">
        <v>2120</v>
      </c>
      <c r="C37" s="466"/>
      <c r="D37" s="466"/>
      <c r="E37" s="466">
        <v>1101</v>
      </c>
      <c r="F37" s="466">
        <v>768</v>
      </c>
      <c r="G37" s="466"/>
      <c r="H37" s="466"/>
      <c r="I37" s="467"/>
      <c r="J37" s="467"/>
      <c r="K37" s="1693">
        <f t="shared" si="2"/>
        <v>1869</v>
      </c>
      <c r="L37" s="466">
        <v>1000</v>
      </c>
    </row>
    <row r="38" spans="1:14" x14ac:dyDescent="0.2">
      <c r="A38" s="1526" t="s">
        <v>207</v>
      </c>
      <c r="B38" s="615">
        <v>2130</v>
      </c>
      <c r="C38" s="466"/>
      <c r="D38" s="466"/>
      <c r="E38" s="466"/>
      <c r="F38" s="466">
        <v>1164</v>
      </c>
      <c r="G38" s="466"/>
      <c r="H38" s="466"/>
      <c r="I38" s="467"/>
      <c r="J38" s="467"/>
      <c r="K38" s="1693">
        <f t="shared" si="2"/>
        <v>1164</v>
      </c>
      <c r="L38" s="466">
        <v>4000</v>
      </c>
    </row>
    <row r="39" spans="1:14" x14ac:dyDescent="0.2">
      <c r="A39" s="1526" t="s">
        <v>208</v>
      </c>
      <c r="B39" s="615">
        <v>2140</v>
      </c>
      <c r="C39" s="466"/>
      <c r="D39" s="466"/>
      <c r="E39" s="466"/>
      <c r="F39" s="466"/>
      <c r="G39" s="466"/>
      <c r="H39" s="466"/>
      <c r="I39" s="467"/>
      <c r="J39" s="467"/>
      <c r="K39" s="1693">
        <f t="shared" si="2"/>
        <v>0</v>
      </c>
      <c r="L39" s="466">
        <v>0</v>
      </c>
    </row>
    <row r="40" spans="1:14" x14ac:dyDescent="0.2">
      <c r="A40" s="1526" t="s">
        <v>209</v>
      </c>
      <c r="B40" s="615">
        <v>2150</v>
      </c>
      <c r="C40" s="466"/>
      <c r="D40" s="466"/>
      <c r="E40" s="466"/>
      <c r="F40" s="466"/>
      <c r="G40" s="466"/>
      <c r="H40" s="466"/>
      <c r="I40" s="467"/>
      <c r="J40" s="467"/>
      <c r="K40" s="1693">
        <f t="shared" si="2"/>
        <v>0</v>
      </c>
      <c r="L40" s="466">
        <v>0</v>
      </c>
    </row>
    <row r="41" spans="1:14" x14ac:dyDescent="0.2">
      <c r="A41" s="1526" t="s">
        <v>1768</v>
      </c>
      <c r="B41" s="615">
        <v>2190</v>
      </c>
      <c r="C41" s="466"/>
      <c r="D41" s="466"/>
      <c r="E41" s="466">
        <v>11476</v>
      </c>
      <c r="F41" s="466">
        <v>12370</v>
      </c>
      <c r="G41" s="466"/>
      <c r="H41" s="466"/>
      <c r="I41" s="467"/>
      <c r="J41" s="467"/>
      <c r="K41" s="1693">
        <f t="shared" si="2"/>
        <v>23846</v>
      </c>
      <c r="L41" s="466">
        <v>29000</v>
      </c>
    </row>
    <row r="42" spans="1:14" ht="12.75" customHeight="1" thickBot="1" x14ac:dyDescent="0.25">
      <c r="A42" s="1690" t="s">
        <v>581</v>
      </c>
      <c r="B42" s="1691" t="s">
        <v>740</v>
      </c>
      <c r="C42" s="1692">
        <f>SUM(C36:C41)</f>
        <v>0</v>
      </c>
      <c r="D42" s="1692">
        <f t="shared" ref="D42:L42" si="3">SUM(D36:D41)</f>
        <v>0</v>
      </c>
      <c r="E42" s="1692">
        <f t="shared" si="3"/>
        <v>12577</v>
      </c>
      <c r="F42" s="1692">
        <f t="shared" si="3"/>
        <v>14302</v>
      </c>
      <c r="G42" s="1692">
        <f t="shared" si="3"/>
        <v>0</v>
      </c>
      <c r="H42" s="1692">
        <f t="shared" si="3"/>
        <v>0</v>
      </c>
      <c r="I42" s="1692">
        <f t="shared" si="3"/>
        <v>0</v>
      </c>
      <c r="J42" s="1692">
        <f t="shared" si="3"/>
        <v>0</v>
      </c>
      <c r="K42" s="1692">
        <f t="shared" si="3"/>
        <v>26879</v>
      </c>
      <c r="L42" s="1692">
        <f t="shared" si="3"/>
        <v>34500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3563</v>
      </c>
      <c r="D44" s="481">
        <f>521+60</f>
        <v>581</v>
      </c>
      <c r="E44" s="481">
        <f>10407+29888+13330+7986+1612</f>
        <v>63223</v>
      </c>
      <c r="F44" s="481">
        <f>2665+2144</f>
        <v>4809</v>
      </c>
      <c r="G44" s="481">
        <v>57058</v>
      </c>
      <c r="H44" s="481">
        <v>5</v>
      </c>
      <c r="I44" s="467"/>
      <c r="J44" s="467"/>
      <c r="K44" s="1694">
        <f>SUM(C44:J44)</f>
        <v>129239</v>
      </c>
      <c r="L44" s="481">
        <v>59600</v>
      </c>
    </row>
    <row r="45" spans="1:14" x14ac:dyDescent="0.2">
      <c r="A45" s="1526" t="s">
        <v>869</v>
      </c>
      <c r="B45" s="615">
        <v>2220</v>
      </c>
      <c r="C45" s="466">
        <f>64920+36975</f>
        <v>101895</v>
      </c>
      <c r="D45" s="466"/>
      <c r="E45" s="466">
        <v>2894</v>
      </c>
      <c r="F45" s="466">
        <v>12015</v>
      </c>
      <c r="G45" s="466"/>
      <c r="H45" s="466"/>
      <c r="I45" s="467"/>
      <c r="J45" s="467"/>
      <c r="K45" s="1694">
        <f>SUM(C45:J45)</f>
        <v>116804</v>
      </c>
      <c r="L45" s="466">
        <v>13000</v>
      </c>
    </row>
    <row r="46" spans="1:14" x14ac:dyDescent="0.2">
      <c r="A46" s="1526" t="s">
        <v>870</v>
      </c>
      <c r="B46" s="615">
        <v>2230</v>
      </c>
      <c r="C46" s="466"/>
      <c r="D46" s="466"/>
      <c r="E46" s="466"/>
      <c r="F46" s="466"/>
      <c r="G46" s="466"/>
      <c r="H46" s="466"/>
      <c r="I46" s="467"/>
      <c r="J46" s="467"/>
      <c r="K46" s="1694">
        <f>SUM(C46:J46)</f>
        <v>0</v>
      </c>
      <c r="L46" s="466">
        <v>0</v>
      </c>
    </row>
    <row r="47" spans="1:14" ht="12.75" customHeight="1" thickBot="1" x14ac:dyDescent="0.25">
      <c r="A47" s="1690" t="s">
        <v>582</v>
      </c>
      <c r="B47" s="1691" t="s">
        <v>32</v>
      </c>
      <c r="C47" s="1692">
        <f>SUM(C44:C46)</f>
        <v>105458</v>
      </c>
      <c r="D47" s="1692">
        <f t="shared" ref="D47:K47" si="4">SUM(D44:D46)</f>
        <v>581</v>
      </c>
      <c r="E47" s="1692">
        <f t="shared" si="4"/>
        <v>66117</v>
      </c>
      <c r="F47" s="1692">
        <f t="shared" si="4"/>
        <v>16824</v>
      </c>
      <c r="G47" s="1692">
        <f t="shared" si="4"/>
        <v>57058</v>
      </c>
      <c r="H47" s="1692">
        <f t="shared" si="4"/>
        <v>5</v>
      </c>
      <c r="I47" s="1692">
        <f t="shared" si="4"/>
        <v>0</v>
      </c>
      <c r="J47" s="1692">
        <f t="shared" si="4"/>
        <v>0</v>
      </c>
      <c r="K47" s="1692">
        <f t="shared" si="4"/>
        <v>246043</v>
      </c>
      <c r="L47" s="1692">
        <f>SUM(L44:L46)</f>
        <v>72600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3863</v>
      </c>
      <c r="F49" s="481"/>
      <c r="G49" s="481"/>
      <c r="H49" s="481">
        <v>7522</v>
      </c>
      <c r="I49" s="467"/>
      <c r="J49" s="467"/>
      <c r="K49" s="1694">
        <f>SUM(C49:J49)</f>
        <v>11385</v>
      </c>
      <c r="L49" s="481">
        <v>8300</v>
      </c>
    </row>
    <row r="50" spans="1:14" x14ac:dyDescent="0.2">
      <c r="A50" s="1526" t="s">
        <v>872</v>
      </c>
      <c r="B50" s="615">
        <v>2320</v>
      </c>
      <c r="C50" s="466">
        <f>318575+20657+40682</f>
        <v>379914</v>
      </c>
      <c r="D50" s="466">
        <f>24545+1960+25518</f>
        <v>52023</v>
      </c>
      <c r="E50" s="466">
        <v>53529</v>
      </c>
      <c r="F50" s="466">
        <v>27089</v>
      </c>
      <c r="G50" s="466">
        <v>1633</v>
      </c>
      <c r="H50" s="466">
        <v>343</v>
      </c>
      <c r="I50" s="467"/>
      <c r="J50" s="467"/>
      <c r="K50" s="1694">
        <f>SUM(C50:J50)</f>
        <v>514531</v>
      </c>
      <c r="L50" s="466">
        <v>514532</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379914</v>
      </c>
      <c r="D53" s="1692">
        <f t="shared" ref="D53:L53" si="5">SUM(D49:D52)</f>
        <v>52023</v>
      </c>
      <c r="E53" s="1692">
        <f t="shared" si="5"/>
        <v>57392</v>
      </c>
      <c r="F53" s="1692">
        <f t="shared" si="5"/>
        <v>27089</v>
      </c>
      <c r="G53" s="1692">
        <f t="shared" si="5"/>
        <v>1633</v>
      </c>
      <c r="H53" s="1692">
        <f t="shared" si="5"/>
        <v>7865</v>
      </c>
      <c r="I53" s="1692">
        <f t="shared" si="5"/>
        <v>0</v>
      </c>
      <c r="J53" s="1692">
        <f t="shared" si="5"/>
        <v>0</v>
      </c>
      <c r="K53" s="1692">
        <f t="shared" si="5"/>
        <v>525916</v>
      </c>
      <c r="L53" s="1692">
        <f t="shared" si="5"/>
        <v>522832</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6560</v>
      </c>
      <c r="D55" s="481">
        <f>2535+528</f>
        <v>3063</v>
      </c>
      <c r="E55" s="481"/>
      <c r="F55" s="481"/>
      <c r="G55" s="481"/>
      <c r="H55" s="481">
        <v>118</v>
      </c>
      <c r="I55" s="467"/>
      <c r="J55" s="467"/>
      <c r="K55" s="1694">
        <f>SUM(C55:J55)</f>
        <v>9741</v>
      </c>
      <c r="L55" s="481">
        <v>32600</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6560</v>
      </c>
      <c r="D57" s="1696">
        <f t="shared" ref="D57:K57" si="6">SUM(D55:D56)</f>
        <v>3063</v>
      </c>
      <c r="E57" s="1696">
        <f t="shared" si="6"/>
        <v>0</v>
      </c>
      <c r="F57" s="1696">
        <f t="shared" si="6"/>
        <v>0</v>
      </c>
      <c r="G57" s="1696">
        <f t="shared" si="6"/>
        <v>0</v>
      </c>
      <c r="H57" s="1696">
        <f t="shared" si="6"/>
        <v>118</v>
      </c>
      <c r="I57" s="1696">
        <f t="shared" si="6"/>
        <v>0</v>
      </c>
      <c r="J57" s="1696">
        <f t="shared" si="6"/>
        <v>0</v>
      </c>
      <c r="K57" s="1696">
        <f t="shared" si="6"/>
        <v>9741</v>
      </c>
      <c r="L57" s="1692">
        <f>SUM(L55:L56)</f>
        <v>32600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v>40682</v>
      </c>
      <c r="D60" s="466">
        <v>3156</v>
      </c>
      <c r="E60" s="466">
        <v>749</v>
      </c>
      <c r="F60" s="466">
        <v>415</v>
      </c>
      <c r="G60" s="466"/>
      <c r="H60" s="466">
        <v>34</v>
      </c>
      <c r="I60" s="467"/>
      <c r="J60" s="467"/>
      <c r="K60" s="1694">
        <f t="shared" si="7"/>
        <v>45036</v>
      </c>
      <c r="L60" s="466">
        <v>54600</v>
      </c>
      <c r="M60" s="610"/>
      <c r="N60" s="610"/>
    </row>
    <row r="61" spans="1:14" s="343" customFormat="1" x14ac:dyDescent="0.2">
      <c r="A61" s="1526" t="s">
        <v>206</v>
      </c>
      <c r="B61" s="615">
        <v>2540</v>
      </c>
      <c r="C61" s="466">
        <v>12328</v>
      </c>
      <c r="D61" s="466"/>
      <c r="E61" s="466"/>
      <c r="F61" s="466"/>
      <c r="G61" s="466"/>
      <c r="H61" s="466"/>
      <c r="I61" s="467"/>
      <c r="J61" s="467"/>
      <c r="K61" s="1694">
        <f t="shared" si="7"/>
        <v>12328</v>
      </c>
      <c r="L61" s="466">
        <v>13500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v>171864</v>
      </c>
      <c r="D63" s="466">
        <v>12720</v>
      </c>
      <c r="E63" s="466">
        <v>6787</v>
      </c>
      <c r="F63" s="466">
        <v>115974</v>
      </c>
      <c r="G63" s="466"/>
      <c r="H63" s="466">
        <v>366</v>
      </c>
      <c r="I63" s="467"/>
      <c r="J63" s="467"/>
      <c r="K63" s="1694">
        <f t="shared" si="7"/>
        <v>307711</v>
      </c>
      <c r="L63" s="466">
        <v>348000</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224874</v>
      </c>
      <c r="D65" s="1692">
        <f t="shared" ref="D65:L65" si="8">SUM(D59:D64)</f>
        <v>15876</v>
      </c>
      <c r="E65" s="1692">
        <f t="shared" si="8"/>
        <v>7536</v>
      </c>
      <c r="F65" s="1692">
        <f t="shared" si="8"/>
        <v>116389</v>
      </c>
      <c r="G65" s="1692">
        <f t="shared" si="8"/>
        <v>0</v>
      </c>
      <c r="H65" s="1692">
        <f t="shared" si="8"/>
        <v>400</v>
      </c>
      <c r="I65" s="1692">
        <f t="shared" si="8"/>
        <v>0</v>
      </c>
      <c r="J65" s="1692">
        <f t="shared" si="8"/>
        <v>0</v>
      </c>
      <c r="K65" s="1692">
        <f t="shared" si="8"/>
        <v>365075</v>
      </c>
      <c r="L65" s="1692">
        <f t="shared" si="8"/>
        <v>416100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f>38222+2813</f>
        <v>41035</v>
      </c>
      <c r="F73" s="573"/>
      <c r="G73" s="573"/>
      <c r="H73" s="573"/>
      <c r="I73" s="531"/>
      <c r="J73" s="531"/>
      <c r="K73" s="1692">
        <f>SUM(C73:J73)</f>
        <v>41035</v>
      </c>
      <c r="L73" s="576">
        <v>45500</v>
      </c>
      <c r="M73" s="610"/>
      <c r="N73" s="610"/>
    </row>
    <row r="74" spans="1:14" ht="12.75" customHeight="1" thickTop="1" thickBot="1" x14ac:dyDescent="0.25">
      <c r="A74" s="1690" t="s">
        <v>865</v>
      </c>
      <c r="B74" s="1698">
        <v>2000</v>
      </c>
      <c r="C74" s="1699">
        <f>SUM(C42,C47,C53,C57,C65,C72,C73)</f>
        <v>716806</v>
      </c>
      <c r="D74" s="1699">
        <f t="shared" ref="D74:K74" si="10">SUM(D42,D47,D53,D57,D65,D72,D73)</f>
        <v>71543</v>
      </c>
      <c r="E74" s="1699">
        <f t="shared" si="10"/>
        <v>184657</v>
      </c>
      <c r="F74" s="1699">
        <f t="shared" si="10"/>
        <v>174604</v>
      </c>
      <c r="G74" s="1699">
        <f t="shared" si="10"/>
        <v>58691</v>
      </c>
      <c r="H74" s="1699">
        <f t="shared" si="10"/>
        <v>8388</v>
      </c>
      <c r="I74" s="1699">
        <f t="shared" si="10"/>
        <v>0</v>
      </c>
      <c r="J74" s="1699">
        <f t="shared" si="10"/>
        <v>0</v>
      </c>
      <c r="K74" s="1699">
        <f t="shared" si="10"/>
        <v>1214689</v>
      </c>
      <c r="L74" s="1699">
        <f>SUM(L42,L47,L53,L57,L65,L72,L73)</f>
        <v>1124132</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0</v>
      </c>
    </row>
    <row r="79" spans="1:14" x14ac:dyDescent="0.2">
      <c r="A79" s="1526" t="s">
        <v>322</v>
      </c>
      <c r="B79" s="615">
        <v>4120</v>
      </c>
      <c r="C79" s="617"/>
      <c r="D79" s="617"/>
      <c r="E79" s="466">
        <v>201100</v>
      </c>
      <c r="F79" s="617"/>
      <c r="G79" s="617"/>
      <c r="H79" s="466"/>
      <c r="I79" s="477"/>
      <c r="J79" s="477"/>
      <c r="K79" s="1693">
        <f t="shared" si="11"/>
        <v>201100</v>
      </c>
      <c r="L79" s="466">
        <v>270000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201100</v>
      </c>
      <c r="F84" s="617"/>
      <c r="G84" s="617"/>
      <c r="H84" s="1692">
        <f>SUM(H78:H83)</f>
        <v>0</v>
      </c>
      <c r="I84" s="477"/>
      <c r="J84" s="477"/>
      <c r="K84" s="1692">
        <f>SUM(K78:K83)</f>
        <v>201100</v>
      </c>
      <c r="L84" s="1692">
        <f>SUM(L78:L83)</f>
        <v>270000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201100</v>
      </c>
      <c r="F102" s="617"/>
      <c r="G102" s="617"/>
      <c r="H102" s="1699">
        <f>SUM(H84,H92,H100,H101)</f>
        <v>0</v>
      </c>
      <c r="I102" s="477"/>
      <c r="J102" s="477"/>
      <c r="K102" s="1699">
        <f>SUM(K84,K92,K100,K101)</f>
        <v>201100</v>
      </c>
      <c r="L102" s="1699">
        <f>SUM(L84,L92,L100,L101)</f>
        <v>270000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3844080</v>
      </c>
      <c r="D114" s="1692">
        <f t="shared" ref="D114:K114" si="13">SUM(D33,D74,D75,D102,D112,D113)</f>
        <v>674103</v>
      </c>
      <c r="E114" s="1692">
        <f t="shared" si="13"/>
        <v>416624</v>
      </c>
      <c r="F114" s="1692">
        <f t="shared" si="13"/>
        <v>240365</v>
      </c>
      <c r="G114" s="1692">
        <f t="shared" si="13"/>
        <v>280890</v>
      </c>
      <c r="H114" s="1692">
        <f>SUM(H33,H74,H75,H102,H112,H113)</f>
        <v>14376</v>
      </c>
      <c r="I114" s="1692">
        <f t="shared" si="13"/>
        <v>0</v>
      </c>
      <c r="J114" s="1692">
        <f t="shared" si="13"/>
        <v>0</v>
      </c>
      <c r="K114" s="1692">
        <f t="shared" si="13"/>
        <v>5470438</v>
      </c>
      <c r="L114" s="1692">
        <f>SUM(L33,L74,L75,L102,L112,L113)</f>
        <v>5706632</v>
      </c>
    </row>
    <row r="115" spans="1:14" ht="13.5" thickTop="1" x14ac:dyDescent="0.2">
      <c r="A115" s="2174" t="s">
        <v>1053</v>
      </c>
      <c r="B115" s="2175"/>
      <c r="C115" s="619"/>
      <c r="D115" s="619"/>
      <c r="E115" s="619"/>
      <c r="F115" s="619"/>
      <c r="G115" s="619"/>
      <c r="H115" s="619"/>
      <c r="I115" s="619"/>
      <c r="J115" s="619"/>
      <c r="K115" s="1706">
        <f>'Revenues 9-14'!C275-'Expenditures 15-22'!K114</f>
        <v>127918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f>221107+1</f>
        <v>221108</v>
      </c>
      <c r="D124" s="466">
        <v>22380</v>
      </c>
      <c r="E124" s="466">
        <f>21469+17186+7710+68524+10032</f>
        <v>124921</v>
      </c>
      <c r="F124" s="466">
        <v>38899</v>
      </c>
      <c r="G124" s="466">
        <v>93808</v>
      </c>
      <c r="H124" s="466">
        <v>11561</v>
      </c>
      <c r="I124" s="467"/>
      <c r="J124" s="467"/>
      <c r="K124" s="1692">
        <f>SUM(C124:J124)</f>
        <v>512677</v>
      </c>
      <c r="L124" s="466">
        <v>491000</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221108</v>
      </c>
      <c r="D127" s="1692">
        <f t="shared" ref="D127:L127" si="14">SUM(D122:D126)</f>
        <v>22380</v>
      </c>
      <c r="E127" s="1692">
        <f t="shared" si="14"/>
        <v>124921</v>
      </c>
      <c r="F127" s="1692">
        <f t="shared" si="14"/>
        <v>38899</v>
      </c>
      <c r="G127" s="1692">
        <f t="shared" si="14"/>
        <v>93808</v>
      </c>
      <c r="H127" s="1692">
        <f t="shared" si="14"/>
        <v>11561</v>
      </c>
      <c r="I127" s="1692">
        <f t="shared" si="14"/>
        <v>0</v>
      </c>
      <c r="J127" s="1692">
        <f t="shared" si="14"/>
        <v>0</v>
      </c>
      <c r="K127" s="1692">
        <f t="shared" si="14"/>
        <v>512677</v>
      </c>
      <c r="L127" s="1692">
        <f t="shared" si="14"/>
        <v>491000</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221108</v>
      </c>
      <c r="D129" s="1699">
        <f t="shared" ref="D129:L129" si="15">SUM(D120,D127,D128)</f>
        <v>22380</v>
      </c>
      <c r="E129" s="1699">
        <f t="shared" si="15"/>
        <v>124921</v>
      </c>
      <c r="F129" s="1699">
        <f t="shared" si="15"/>
        <v>38899</v>
      </c>
      <c r="G129" s="1699">
        <f t="shared" si="15"/>
        <v>93808</v>
      </c>
      <c r="H129" s="1699">
        <f t="shared" si="15"/>
        <v>11561</v>
      </c>
      <c r="I129" s="1699">
        <f t="shared" si="15"/>
        <v>0</v>
      </c>
      <c r="J129" s="1699">
        <f t="shared" si="15"/>
        <v>0</v>
      </c>
      <c r="K129" s="1699">
        <f t="shared" si="15"/>
        <v>512677</v>
      </c>
      <c r="L129" s="1699">
        <f t="shared" si="15"/>
        <v>491000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1" t="s">
        <v>641</v>
      </c>
      <c r="B151" s="2171"/>
      <c r="C151" s="1692">
        <f>SUM(C129,C130,C139,C149,C150)</f>
        <v>221108</v>
      </c>
      <c r="D151" s="1692">
        <f t="shared" ref="D151:K151" si="16">SUM(D129,D130,D139,D149,D150)</f>
        <v>22380</v>
      </c>
      <c r="E151" s="1692">
        <f t="shared" si="16"/>
        <v>124921</v>
      </c>
      <c r="F151" s="1692">
        <f t="shared" si="16"/>
        <v>38899</v>
      </c>
      <c r="G151" s="1692">
        <f t="shared" si="16"/>
        <v>93808</v>
      </c>
      <c r="H151" s="1692">
        <f t="shared" si="16"/>
        <v>11561</v>
      </c>
      <c r="I151" s="1692">
        <f t="shared" si="16"/>
        <v>0</v>
      </c>
      <c r="J151" s="1692">
        <f t="shared" si="16"/>
        <v>0</v>
      </c>
      <c r="K151" s="1692">
        <f t="shared" si="16"/>
        <v>512677</v>
      </c>
      <c r="L151" s="1692">
        <f>SUM(L129,L130,L139,L149,L150)</f>
        <v>491000</v>
      </c>
    </row>
    <row r="152" spans="1:14" ht="12.75" customHeight="1" thickTop="1" x14ac:dyDescent="0.2">
      <c r="A152" s="2194" t="s">
        <v>1240</v>
      </c>
      <c r="B152" s="2195"/>
      <c r="C152" s="619"/>
      <c r="D152" s="619"/>
      <c r="E152" s="619"/>
      <c r="F152" s="619"/>
      <c r="G152" s="619"/>
      <c r="H152" s="619"/>
      <c r="I152" s="619"/>
      <c r="J152" s="617"/>
      <c r="K152" s="1706">
        <f>'Revenues 9-14'!D275-'Expenditures 15-22'!K151</f>
        <v>-93966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25126</v>
      </c>
      <c r="I169" s="617"/>
      <c r="J169" s="617"/>
      <c r="K169" s="1693">
        <f>SUM(C169:H169)</f>
        <v>25126</v>
      </c>
      <c r="L169" s="657">
        <v>26000</v>
      </c>
    </row>
    <row r="170" spans="1:14" ht="33.75" customHeight="1" x14ac:dyDescent="0.2">
      <c r="A170" s="670" t="s">
        <v>1769</v>
      </c>
      <c r="B170" s="672" t="s">
        <v>31</v>
      </c>
      <c r="C170" s="617"/>
      <c r="D170" s="617"/>
      <c r="E170" s="617"/>
      <c r="F170" s="617"/>
      <c r="G170" s="617"/>
      <c r="H170" s="569">
        <f>89000+67397</f>
        <v>156397</v>
      </c>
      <c r="I170" s="617"/>
      <c r="J170" s="617"/>
      <c r="K170" s="1693">
        <f>SUM(C170:J170)</f>
        <v>156397</v>
      </c>
      <c r="L170" s="569">
        <v>89000</v>
      </c>
    </row>
    <row r="171" spans="1:14" ht="15.75" customHeight="1" x14ac:dyDescent="0.2">
      <c r="A171" s="622" t="s">
        <v>790</v>
      </c>
      <c r="B171" s="673" t="s">
        <v>86</v>
      </c>
      <c r="C171" s="617"/>
      <c r="D171" s="617"/>
      <c r="E171" s="466"/>
      <c r="F171" s="617"/>
      <c r="G171" s="617"/>
      <c r="H171" s="569"/>
      <c r="I171" s="477"/>
      <c r="J171" s="617"/>
      <c r="K171" s="1693">
        <f>SUM(C171:J171)</f>
        <v>0</v>
      </c>
      <c r="L171" s="569">
        <v>0</v>
      </c>
    </row>
    <row r="172" spans="1:14" ht="12.75" customHeight="1" thickBot="1" x14ac:dyDescent="0.25">
      <c r="A172" s="1690" t="s">
        <v>659</v>
      </c>
      <c r="B172" s="1691" t="s">
        <v>513</v>
      </c>
      <c r="C172" s="617"/>
      <c r="D172" s="617"/>
      <c r="E172" s="1699">
        <f>SUM(E168,E169,E170,E171)</f>
        <v>0</v>
      </c>
      <c r="F172" s="617"/>
      <c r="G172" s="617"/>
      <c r="H172" s="1699">
        <f>SUM(H168,H169,H170,H171)</f>
        <v>181523</v>
      </c>
      <c r="I172" s="639"/>
      <c r="J172" s="617"/>
      <c r="K172" s="1699">
        <f>SUM(K168,K169,K170,K171)</f>
        <v>181523</v>
      </c>
      <c r="L172" s="1699">
        <f>SUM(L168,L169,L170,L171)</f>
        <v>115000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181523</v>
      </c>
      <c r="I174" s="639"/>
      <c r="J174" s="617"/>
      <c r="K174" s="1699">
        <f>SUM(K160,K172,K173)</f>
        <v>181523</v>
      </c>
      <c r="L174" s="1699">
        <f>SUM(L160,L172,L173)</f>
        <v>115000</v>
      </c>
    </row>
    <row r="175" spans="1:14" ht="13.5" thickTop="1" x14ac:dyDescent="0.2">
      <c r="A175" s="2174" t="s">
        <v>1053</v>
      </c>
      <c r="B175" s="2175"/>
      <c r="C175" s="617"/>
      <c r="D175" s="617"/>
      <c r="E175" s="617"/>
      <c r="F175" s="617"/>
      <c r="G175" s="617"/>
      <c r="H175" s="619"/>
      <c r="I175" s="617"/>
      <c r="J175" s="617"/>
      <c r="K175" s="1706">
        <f>'Revenues 9-14'!E275-'Expenditures 15-22'!K174</f>
        <v>-66982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f>86084+37027+27859+61666+11585+8696</f>
        <v>232917</v>
      </c>
      <c r="D182" s="466">
        <f>1013+93+16284</f>
        <v>17390</v>
      </c>
      <c r="E182" s="466">
        <v>8917</v>
      </c>
      <c r="F182" s="466">
        <v>45654</v>
      </c>
      <c r="G182" s="466">
        <v>53728</v>
      </c>
      <c r="H182" s="466">
        <v>17778</v>
      </c>
      <c r="I182" s="467"/>
      <c r="J182" s="467"/>
      <c r="K182" s="1693">
        <f>SUM(C182:J182)</f>
        <v>376384</v>
      </c>
      <c r="L182" s="466">
        <v>419700</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232917</v>
      </c>
      <c r="D184" s="1699">
        <f t="shared" ref="D184:J184" si="17">SUM(D180,D182,D183)</f>
        <v>17390</v>
      </c>
      <c r="E184" s="1699">
        <f t="shared" si="17"/>
        <v>8917</v>
      </c>
      <c r="F184" s="1699">
        <f t="shared" si="17"/>
        <v>45654</v>
      </c>
      <c r="G184" s="1699">
        <f t="shared" si="17"/>
        <v>53728</v>
      </c>
      <c r="H184" s="1699">
        <f t="shared" si="17"/>
        <v>17778</v>
      </c>
      <c r="I184" s="1699">
        <f t="shared" si="17"/>
        <v>0</v>
      </c>
      <c r="J184" s="1699">
        <f t="shared" si="17"/>
        <v>0</v>
      </c>
      <c r="K184" s="1699">
        <f>SUM(K180,K182,K183)</f>
        <v>376384</v>
      </c>
      <c r="L184" s="1699">
        <f>SUM(L180, L182:L183)</f>
        <v>419700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232917</v>
      </c>
      <c r="D210" s="1692">
        <f>SUM(D184,D185)</f>
        <v>17390</v>
      </c>
      <c r="E210" s="1692">
        <f>SUM(E184,E185,E196)</f>
        <v>8917</v>
      </c>
      <c r="F210" s="1692">
        <f>SUM(F184,F185)</f>
        <v>45654</v>
      </c>
      <c r="G210" s="1692">
        <f>SUM(G184,G185)</f>
        <v>53728</v>
      </c>
      <c r="H210" s="1692">
        <f>SUM(H184,H185,H196,H208,H209)</f>
        <v>17778</v>
      </c>
      <c r="I210" s="1692">
        <f>SUM(I184,I185)</f>
        <v>0</v>
      </c>
      <c r="J210" s="1692">
        <f>SUM(J184,J185)</f>
        <v>0</v>
      </c>
      <c r="K210" s="1693">
        <f>SUM(K184,K185,K196,K208,K209)</f>
        <v>376384</v>
      </c>
      <c r="L210" s="1692">
        <f>SUM(L184,L185,L196,L208,L209)</f>
        <v>419700</v>
      </c>
    </row>
    <row r="211" spans="1:14" ht="13.5" thickTop="1" x14ac:dyDescent="0.2">
      <c r="A211" s="2174" t="s">
        <v>1053</v>
      </c>
      <c r="B211" s="2175"/>
      <c r="C211" s="619"/>
      <c r="D211" s="619"/>
      <c r="E211" s="619"/>
      <c r="F211" s="619"/>
      <c r="G211" s="619"/>
      <c r="H211" s="619"/>
      <c r="I211" s="617"/>
      <c r="J211" s="617"/>
      <c r="K211" s="1706">
        <f>'Revenues 9-14'!F275-'Expenditures 15-22'!K210</f>
        <v>-34444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33710+28807+24486+616</f>
        <v>87619</v>
      </c>
      <c r="E215" s="617"/>
      <c r="F215" s="617"/>
      <c r="G215" s="617"/>
      <c r="H215" s="617"/>
      <c r="I215" s="617"/>
      <c r="J215" s="617"/>
      <c r="K215" s="1693">
        <f>D215</f>
        <v>87619</v>
      </c>
      <c r="L215" s="466">
        <v>89000</v>
      </c>
    </row>
    <row r="216" spans="1:14" x14ac:dyDescent="0.2">
      <c r="A216" s="1526" t="s">
        <v>165</v>
      </c>
      <c r="B216" s="615" t="s">
        <v>1024</v>
      </c>
      <c r="C216" s="617"/>
      <c r="D216" s="467">
        <f>13122+10617+3224</f>
        <v>26963</v>
      </c>
      <c r="E216" s="617"/>
      <c r="F216" s="617"/>
      <c r="G216" s="617"/>
      <c r="H216" s="617"/>
      <c r="I216" s="617"/>
      <c r="J216" s="617"/>
      <c r="K216" s="1693">
        <f t="shared" ref="K216:K228" si="19">D216</f>
        <v>26963</v>
      </c>
      <c r="L216" s="466">
        <v>26500</v>
      </c>
    </row>
    <row r="217" spans="1:14" x14ac:dyDescent="0.2">
      <c r="A217" s="1526" t="s">
        <v>166</v>
      </c>
      <c r="B217" s="615">
        <v>1200</v>
      </c>
      <c r="C217" s="617"/>
      <c r="D217" s="466">
        <v>3477</v>
      </c>
      <c r="E217" s="617"/>
      <c r="F217" s="617"/>
      <c r="G217" s="617"/>
      <c r="H217" s="617"/>
      <c r="I217" s="617"/>
      <c r="J217" s="617"/>
      <c r="K217" s="1693">
        <f t="shared" si="19"/>
        <v>3477</v>
      </c>
      <c r="L217" s="466">
        <v>4000</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f>9070+7073+1456</f>
        <v>17599</v>
      </c>
      <c r="E219" s="617"/>
      <c r="F219" s="617"/>
      <c r="G219" s="617"/>
      <c r="H219" s="617"/>
      <c r="I219" s="617"/>
      <c r="J219" s="617"/>
      <c r="K219" s="1693">
        <f t="shared" si="19"/>
        <v>17599</v>
      </c>
      <c r="L219" s="466">
        <v>22500</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c r="E222" s="617"/>
      <c r="F222" s="617"/>
      <c r="G222" s="617"/>
      <c r="H222" s="617"/>
      <c r="I222" s="617"/>
      <c r="J222" s="617"/>
      <c r="K222" s="1693">
        <f t="shared" si="19"/>
        <v>0</v>
      </c>
      <c r="L222" s="466">
        <v>0</v>
      </c>
    </row>
    <row r="223" spans="1:14" x14ac:dyDescent="0.2">
      <c r="A223" s="1526" t="s">
        <v>1020</v>
      </c>
      <c r="B223" s="615">
        <v>1500</v>
      </c>
      <c r="C223" s="617"/>
      <c r="D223" s="466">
        <f>367+1102+267</f>
        <v>1736</v>
      </c>
      <c r="E223" s="617"/>
      <c r="F223" s="617"/>
      <c r="G223" s="617"/>
      <c r="H223" s="617"/>
      <c r="I223" s="617"/>
      <c r="J223" s="617"/>
      <c r="K223" s="1693">
        <f t="shared" si="19"/>
        <v>1736</v>
      </c>
      <c r="L223" s="466">
        <v>5000</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c r="E226" s="617"/>
      <c r="F226" s="617"/>
      <c r="G226" s="617"/>
      <c r="H226" s="617"/>
      <c r="I226" s="617"/>
      <c r="J226" s="617"/>
      <c r="K226" s="1693">
        <f t="shared" si="19"/>
        <v>0</v>
      </c>
      <c r="L226" s="466">
        <v>0</v>
      </c>
    </row>
    <row r="227" spans="1:12" x14ac:dyDescent="0.2">
      <c r="A227" s="1526" t="s">
        <v>1148</v>
      </c>
      <c r="B227" s="615">
        <v>1800</v>
      </c>
      <c r="C227" s="617"/>
      <c r="D227" s="466">
        <f>2560+2022+461</f>
        <v>5043</v>
      </c>
      <c r="E227" s="617"/>
      <c r="F227" s="617"/>
      <c r="G227" s="617"/>
      <c r="H227" s="617"/>
      <c r="I227" s="617"/>
      <c r="J227" s="617"/>
      <c r="K227" s="1693">
        <f t="shared" si="19"/>
        <v>5043</v>
      </c>
      <c r="L227" s="466">
        <v>13500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142437</v>
      </c>
      <c r="E229" s="617"/>
      <c r="F229" s="617"/>
      <c r="G229" s="617"/>
      <c r="H229" s="617"/>
      <c r="I229" s="617"/>
      <c r="J229" s="617"/>
      <c r="K229" s="1692">
        <f>SUM(K215:K228)</f>
        <v>142437</v>
      </c>
      <c r="L229" s="1692">
        <f>SUM(L215:L228)</f>
        <v>160500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f>19+15+58</f>
        <v>92</v>
      </c>
      <c r="E232" s="617"/>
      <c r="F232" s="617"/>
      <c r="G232" s="617"/>
      <c r="H232" s="617"/>
      <c r="I232" s="617"/>
      <c r="J232" s="617"/>
      <c r="K232" s="1693">
        <f t="shared" ref="K232:K237" si="20">D232</f>
        <v>92</v>
      </c>
      <c r="L232" s="466">
        <v>0</v>
      </c>
    </row>
    <row r="233" spans="1:12" x14ac:dyDescent="0.2">
      <c r="A233" s="1526" t="s">
        <v>1151</v>
      </c>
      <c r="B233" s="615">
        <v>2120</v>
      </c>
      <c r="C233" s="617"/>
      <c r="D233" s="466"/>
      <c r="E233" s="617"/>
      <c r="F233" s="617"/>
      <c r="G233" s="617"/>
      <c r="H233" s="617"/>
      <c r="I233" s="617"/>
      <c r="J233" s="617"/>
      <c r="K233" s="1693">
        <f t="shared" si="20"/>
        <v>0</v>
      </c>
      <c r="L233" s="466">
        <v>0</v>
      </c>
    </row>
    <row r="234" spans="1:12" x14ac:dyDescent="0.2">
      <c r="A234" s="1526" t="s">
        <v>207</v>
      </c>
      <c r="B234" s="615">
        <v>2130</v>
      </c>
      <c r="C234" s="617"/>
      <c r="D234" s="466"/>
      <c r="E234" s="617"/>
      <c r="F234" s="617"/>
      <c r="G234" s="617"/>
      <c r="H234" s="617"/>
      <c r="I234" s="617"/>
      <c r="J234" s="617"/>
      <c r="K234" s="1693">
        <f t="shared" si="20"/>
        <v>0</v>
      </c>
      <c r="L234" s="466">
        <v>0</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c r="E236" s="617"/>
      <c r="F236" s="617"/>
      <c r="G236" s="617"/>
      <c r="H236" s="617"/>
      <c r="I236" s="617"/>
      <c r="J236" s="617"/>
      <c r="K236" s="1693">
        <f t="shared" si="20"/>
        <v>0</v>
      </c>
      <c r="L236" s="466">
        <v>0</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92</v>
      </c>
      <c r="E238" s="617"/>
      <c r="F238" s="617"/>
      <c r="G238" s="617"/>
      <c r="H238" s="617"/>
      <c r="I238" s="617"/>
      <c r="J238" s="617"/>
      <c r="K238" s="1692">
        <f>SUM(K232:K237)</f>
        <v>92</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v>500</v>
      </c>
    </row>
    <row r="241" spans="1:12" x14ac:dyDescent="0.2">
      <c r="A241" s="1526" t="s">
        <v>869</v>
      </c>
      <c r="B241" s="615">
        <v>2220</v>
      </c>
      <c r="C241" s="617"/>
      <c r="D241" s="466"/>
      <c r="E241" s="617"/>
      <c r="F241" s="617"/>
      <c r="G241" s="617"/>
      <c r="H241" s="617"/>
      <c r="I241" s="617"/>
      <c r="J241" s="617"/>
      <c r="K241" s="1694">
        <f>D241</f>
        <v>0</v>
      </c>
      <c r="L241" s="466">
        <v>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500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v>0</v>
      </c>
    </row>
    <row r="246" spans="1:12" x14ac:dyDescent="0.2">
      <c r="A246" s="1526" t="s">
        <v>872</v>
      </c>
      <c r="B246" s="615">
        <v>2320</v>
      </c>
      <c r="C246" s="617"/>
      <c r="D246" s="466">
        <f>9561+7455+3015</f>
        <v>20031</v>
      </c>
      <c r="E246" s="617"/>
      <c r="F246" s="617"/>
      <c r="G246" s="617"/>
      <c r="H246" s="617"/>
      <c r="I246" s="617"/>
      <c r="J246" s="617"/>
      <c r="K246" s="1694">
        <f t="shared" ref="K246:K256" si="21">D246</f>
        <v>20031</v>
      </c>
      <c r="L246" s="466">
        <v>23500</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20031</v>
      </c>
      <c r="E257" s="617"/>
      <c r="F257" s="617"/>
      <c r="G257" s="617"/>
      <c r="H257" s="617"/>
      <c r="I257" s="617"/>
      <c r="J257" s="617"/>
      <c r="K257" s="1692">
        <f>SUM(K245:K256)</f>
        <v>20031</v>
      </c>
      <c r="L257" s="1692">
        <f>SUM(L245:L256)</f>
        <v>23500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758</v>
      </c>
      <c r="E259" s="617"/>
      <c r="F259" s="617"/>
      <c r="G259" s="617"/>
      <c r="H259" s="617"/>
      <c r="I259" s="617"/>
      <c r="J259" s="617"/>
      <c r="K259" s="1694">
        <f>D259</f>
        <v>758</v>
      </c>
      <c r="L259" s="481">
        <v>1000</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758</v>
      </c>
      <c r="E261" s="617"/>
      <c r="F261" s="617"/>
      <c r="G261" s="617"/>
      <c r="H261" s="617"/>
      <c r="I261" s="617"/>
      <c r="J261" s="617"/>
      <c r="K261" s="1692">
        <f>SUM(K259:K260)</f>
        <v>758</v>
      </c>
      <c r="L261" s="1692">
        <f>SUM(L259:L260)</f>
        <v>1000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f>3942+3082</f>
        <v>7024</v>
      </c>
      <c r="E264" s="617"/>
      <c r="F264" s="617"/>
      <c r="G264" s="617"/>
      <c r="H264" s="617"/>
      <c r="I264" s="617"/>
      <c r="J264" s="617"/>
      <c r="K264" s="1694">
        <f t="shared" ref="K264:K269" si="22">D264</f>
        <v>7024</v>
      </c>
      <c r="L264" s="466">
        <v>9000</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f>21666+17276</f>
        <v>38942</v>
      </c>
      <c r="E266" s="617"/>
      <c r="F266" s="617"/>
      <c r="G266" s="617"/>
      <c r="H266" s="617"/>
      <c r="I266" s="617"/>
      <c r="J266" s="617"/>
      <c r="K266" s="1694">
        <f t="shared" si="22"/>
        <v>38942</v>
      </c>
      <c r="L266" s="466">
        <v>42500</v>
      </c>
    </row>
    <row r="267" spans="1:14" x14ac:dyDescent="0.2">
      <c r="A267" s="1526" t="s">
        <v>1010</v>
      </c>
      <c r="B267" s="615">
        <v>2550</v>
      </c>
      <c r="C267" s="617"/>
      <c r="D267" s="466">
        <f>16402+16185+134</f>
        <v>32721</v>
      </c>
      <c r="E267" s="617"/>
      <c r="F267" s="617"/>
      <c r="G267" s="617"/>
      <c r="H267" s="617"/>
      <c r="I267" s="617"/>
      <c r="J267" s="617"/>
      <c r="K267" s="1694">
        <f t="shared" si="22"/>
        <v>32721</v>
      </c>
      <c r="L267" s="466">
        <v>38300</v>
      </c>
    </row>
    <row r="268" spans="1:14" x14ac:dyDescent="0.2">
      <c r="A268" s="1526" t="s">
        <v>102</v>
      </c>
      <c r="B268" s="615">
        <v>2560</v>
      </c>
      <c r="C268" s="617"/>
      <c r="D268" s="466">
        <f>15863+11842</f>
        <v>27705</v>
      </c>
      <c r="E268" s="617"/>
      <c r="F268" s="617"/>
      <c r="G268" s="617"/>
      <c r="H268" s="617"/>
      <c r="I268" s="617"/>
      <c r="J268" s="617"/>
      <c r="K268" s="1694">
        <f t="shared" si="22"/>
        <v>27705</v>
      </c>
      <c r="L268" s="466">
        <v>32000</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106392</v>
      </c>
      <c r="E270" s="617"/>
      <c r="F270" s="617"/>
      <c r="G270" s="617"/>
      <c r="H270" s="617"/>
      <c r="I270" s="617"/>
      <c r="J270" s="617"/>
      <c r="K270" s="1692">
        <f>SUM(K263:K269)</f>
        <v>106392</v>
      </c>
      <c r="L270" s="1692">
        <f>SUM(L263:L269)</f>
        <v>121800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127273</v>
      </c>
      <c r="E279" s="617"/>
      <c r="F279" s="617"/>
      <c r="G279" s="617"/>
      <c r="H279" s="617"/>
      <c r="I279" s="617"/>
      <c r="J279" s="617"/>
      <c r="K279" s="1699">
        <f>SUM(K238,K243,K257,K261,K270,K277,K278)</f>
        <v>127273</v>
      </c>
      <c r="L279" s="1699">
        <f>SUM(L238,L243,L257,L261,L270,L277,L278)</f>
        <v>146800</v>
      </c>
    </row>
    <row r="280" spans="1:12" ht="15.75" customHeight="1" thickTop="1" thickBot="1" x14ac:dyDescent="0.25">
      <c r="A280" s="1646" t="s">
        <v>930</v>
      </c>
      <c r="B280" s="1635">
        <v>3000</v>
      </c>
      <c r="C280" s="617"/>
      <c r="D280" s="576"/>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2" t="s">
        <v>526</v>
      </c>
      <c r="B295" s="2193"/>
      <c r="C295" s="617"/>
      <c r="D295" s="1692">
        <f>SUM(D229,D279,D280,D285)</f>
        <v>269710</v>
      </c>
      <c r="E295" s="617"/>
      <c r="F295" s="617"/>
      <c r="G295" s="617"/>
      <c r="H295" s="1692">
        <f>H293</f>
        <v>0</v>
      </c>
      <c r="I295" s="617"/>
      <c r="J295" s="617"/>
      <c r="K295" s="1692">
        <f>SUM(K229,K279,K280,K285,K293,K294)</f>
        <v>269710</v>
      </c>
      <c r="L295" s="1692">
        <f>SUM(L229,L279,L280,L285,L293,L294)</f>
        <v>307300</v>
      </c>
    </row>
    <row r="296" spans="1:14" ht="13.5" thickTop="1" x14ac:dyDescent="0.2">
      <c r="A296" s="2174" t="s">
        <v>1053</v>
      </c>
      <c r="B296" s="2175"/>
      <c r="C296" s="617"/>
      <c r="D296" s="619"/>
      <c r="E296" s="617"/>
      <c r="F296" s="617"/>
      <c r="G296" s="617"/>
      <c r="H296" s="688"/>
      <c r="I296" s="617"/>
      <c r="J296" s="617"/>
      <c r="K296" s="1706">
        <f>'Revenues 9-14'!G275-'Expenditures 15-22'!K295</f>
        <v>-41524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v>7991</v>
      </c>
      <c r="G301" s="466">
        <v>855373</v>
      </c>
      <c r="H301" s="466"/>
      <c r="I301" s="467"/>
      <c r="J301" s="467"/>
      <c r="K301" s="1693">
        <f>SUM(C301:J301)</f>
        <v>863364</v>
      </c>
      <c r="L301" s="467">
        <v>120000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7991</v>
      </c>
      <c r="G303" s="1699">
        <f t="shared" si="23"/>
        <v>855373</v>
      </c>
      <c r="H303" s="1699">
        <f t="shared" si="23"/>
        <v>0</v>
      </c>
      <c r="I303" s="1699">
        <f t="shared" si="23"/>
        <v>0</v>
      </c>
      <c r="J303" s="1699">
        <f t="shared" si="23"/>
        <v>0</v>
      </c>
      <c r="K303" s="1699">
        <f t="shared" si="23"/>
        <v>863364</v>
      </c>
      <c r="L303" s="1699">
        <f t="shared" si="23"/>
        <v>120000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9" t="s">
        <v>295</v>
      </c>
      <c r="B312" s="2190"/>
      <c r="C312" s="1692">
        <f>SUM(C303)</f>
        <v>0</v>
      </c>
      <c r="D312" s="1692">
        <f>SUM(D303)</f>
        <v>0</v>
      </c>
      <c r="E312" s="1692">
        <f>SUM(E303,E310)</f>
        <v>0</v>
      </c>
      <c r="F312" s="1692">
        <f>SUM(F303)</f>
        <v>7991</v>
      </c>
      <c r="G312" s="1692">
        <f>SUM(G303)</f>
        <v>855373</v>
      </c>
      <c r="H312" s="1692">
        <f>SUM(H303,H310)</f>
        <v>0</v>
      </c>
      <c r="I312" s="1692">
        <f>SUM(I303)</f>
        <v>0</v>
      </c>
      <c r="J312" s="1692">
        <f>SUM(J303)</f>
        <v>0</v>
      </c>
      <c r="K312" s="1692">
        <f>SUM(K303,K310,K311)</f>
        <v>863364</v>
      </c>
      <c r="L312" s="1692">
        <f>SUM(L303,L310,L311)</f>
        <v>120000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-510398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v>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0</v>
      </c>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v>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7" t="s">
        <v>1053</v>
      </c>
      <c r="B343" s="2188"/>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0</v>
      </c>
    </row>
    <row r="349" spans="1:14" x14ac:dyDescent="0.2">
      <c r="A349" s="1526" t="s">
        <v>206</v>
      </c>
      <c r="B349" s="615">
        <v>2540</v>
      </c>
      <c r="C349" s="466"/>
      <c r="D349" s="466"/>
      <c r="E349" s="466"/>
      <c r="F349" s="466"/>
      <c r="G349" s="466"/>
      <c r="H349" s="466"/>
      <c r="I349" s="467"/>
      <c r="J349" s="467"/>
      <c r="K349" s="1693">
        <f>SUM(C349:J349)</f>
        <v>0</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v>0</v>
      </c>
    </row>
    <row r="355" spans="1:14" ht="12.75" customHeight="1" x14ac:dyDescent="0.2">
      <c r="A355" s="1535" t="s">
        <v>1966</v>
      </c>
      <c r="B355" s="691" t="s">
        <v>1959</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4" t="s">
        <v>1053</v>
      </c>
      <c r="B368" s="2175"/>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&amp;L&amp;8"The notes are an integral part of these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14F8B6-F742-48D8-9F13-1076A7DC5E6F}">
  <ds:schemaRef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http://purl.org/dc/terms/"/>
    <ds:schemaRef ds:uri="6ce3111e-7420-4802-b50a-75d4e9a0b980"/>
    <ds:schemaRef ds:uri="http://purl.org/dc/elements/1.1/"/>
    <ds:schemaRef ds:uri="d21dc803-237d-4c68-8692-8d731fd29118"/>
    <ds:schemaRef ds:uri="http://www.w3.org/XML/1998/namespace"/>
    <ds:schemaRef ds:uri="4d435f69-8686-490b-bd6d-b153bf22ab5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E9504E7-EFA3-4F46-B4F7-B83DA6BE71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2018-11-02T12:40:04Z</cp:lastPrinted>
  <dcterms:created xsi:type="dcterms:W3CDTF">2003-10-29T19:06:34Z</dcterms:created>
  <dcterms:modified xsi:type="dcterms:W3CDTF">2018-12-03T16:23:22Z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