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8800" windowHeight="1222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6" i="7" l="1"/>
  <c r="E14" i="7"/>
  <c r="E13" i="7"/>
  <c r="E12" i="7"/>
  <c r="E11" i="7"/>
  <c r="E10" i="7"/>
  <c r="E8" i="7"/>
  <c r="E7" i="7"/>
  <c r="E6" i="7"/>
  <c r="E5" i="7"/>
  <c r="E4" i="7"/>
  <c r="H169" i="29" l="1"/>
  <c r="H170" i="29"/>
  <c r="M19" i="3"/>
  <c r="E301" i="29"/>
  <c r="G5" i="29"/>
  <c r="E5" i="29"/>
  <c r="C124" i="29" l="1"/>
  <c r="C5" i="29"/>
  <c r="C31" i="3"/>
  <c r="D215" i="29"/>
  <c r="C325" i="29"/>
  <c r="D4" i="3"/>
  <c r="C4" i="3"/>
  <c r="H325" i="29" l="1"/>
  <c r="E325" i="29"/>
  <c r="E322" i="29"/>
  <c r="D280" i="29"/>
  <c r="D268" i="29"/>
  <c r="D266" i="29"/>
  <c r="D264" i="29"/>
  <c r="D241" i="29"/>
  <c r="D237" i="29"/>
  <c r="D232" i="29"/>
  <c r="D223" i="29"/>
  <c r="D217" i="29"/>
  <c r="E182" i="29"/>
  <c r="C63" i="29"/>
  <c r="C14" i="29"/>
  <c r="C8" i="29"/>
  <c r="F124" i="29" l="1"/>
  <c r="E124" i="29"/>
  <c r="F75" i="29"/>
  <c r="C75" i="29"/>
  <c r="E71" i="29"/>
  <c r="F63" i="29"/>
  <c r="D63" i="29"/>
  <c r="E61" i="29"/>
  <c r="C60" i="29"/>
  <c r="E55" i="29"/>
  <c r="D55" i="29"/>
  <c r="C55" i="29"/>
  <c r="H50" i="29"/>
  <c r="D50" i="29"/>
  <c r="F45" i="29"/>
  <c r="E44" i="29"/>
  <c r="D44" i="29"/>
  <c r="D41" i="29"/>
  <c r="E14" i="29"/>
  <c r="D14" i="29"/>
  <c r="D8" i="29"/>
  <c r="F8" i="29"/>
  <c r="D5" i="29"/>
  <c r="H5" i="29"/>
  <c r="F5" i="29"/>
  <c r="K65" i="5"/>
  <c r="J65" i="5"/>
  <c r="G65" i="5"/>
  <c r="F65" i="5"/>
  <c r="E65" i="5"/>
  <c r="D65" i="5"/>
  <c r="C107" i="5"/>
  <c r="C65" i="5"/>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J85" i="28"/>
  <c r="B7758" i="106" s="1"/>
  <c r="D7758" i="106" s="1"/>
  <c r="J88" i="28"/>
  <c r="K6" i="29"/>
  <c r="B7763" i="106" s="1"/>
  <c r="B7762" i="106"/>
  <c r="K12" i="12"/>
  <c r="B7719" i="106" s="1"/>
  <c r="D7719" i="106" s="1"/>
  <c r="K23" i="12"/>
  <c r="J12" i="12"/>
  <c r="J21" i="12"/>
  <c r="J23" i="12"/>
  <c r="B7729" i="106"/>
  <c r="B7734" i="106"/>
  <c r="B7726" i="10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F56" i="34" s="1"/>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D1140" i="106"/>
  <c r="K73" i="29"/>
  <c r="B1142" i="106" s="1"/>
  <c r="D1142" i="106" s="1"/>
  <c r="K78" i="29"/>
  <c r="B2973" i="106" s="1"/>
  <c r="D2973" i="106" s="1"/>
  <c r="K79" i="29"/>
  <c r="K80" i="29"/>
  <c r="B2975" i="106" s="1"/>
  <c r="D2975" i="106" s="1"/>
  <c r="K81" i="29"/>
  <c r="B2976" i="106" s="1"/>
  <c r="D2976" i="106" s="1"/>
  <c r="K82" i="29"/>
  <c r="B2977" i="106" s="1"/>
  <c r="D2977" i="106" s="1"/>
  <c r="K83" i="29"/>
  <c r="B2978" i="106" s="1"/>
  <c r="D2978" i="106" s="1"/>
  <c r="K93" i="29"/>
  <c r="K94" i="29"/>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B3010" i="106" s="1"/>
  <c r="D3010" i="106" s="1"/>
  <c r="K192" i="29"/>
  <c r="B3011" i="106" s="1"/>
  <c r="D3011" i="106" s="1"/>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c r="B6734" i="106"/>
  <c r="D6734" i="106" s="1"/>
  <c r="B6735" i="106"/>
  <c r="D6735" i="106" s="1"/>
  <c r="B6736" i="106"/>
  <c r="D6736" i="106" s="1"/>
  <c r="B6737" i="106"/>
  <c r="D6737" i="106" s="1"/>
  <c r="B6738" i="106"/>
  <c r="D6738" i="106" s="1"/>
  <c r="B6739" i="106"/>
  <c r="D6739" i="106" s="1"/>
  <c r="B6740" i="106"/>
  <c r="D6740" i="106" s="1"/>
  <c r="B6741" i="106"/>
  <c r="D6741" i="106"/>
  <c r="B6742" i="106"/>
  <c r="D6742" i="106" s="1"/>
  <c r="B6743" i="106"/>
  <c r="D6743" i="106" s="1"/>
  <c r="B6744" i="106"/>
  <c r="D6744" i="106" s="1"/>
  <c r="B6745" i="106"/>
  <c r="D6745" i="106" s="1"/>
  <c r="B6746" i="106"/>
  <c r="D6746" i="106" s="1"/>
  <c r="B6747" i="106"/>
  <c r="D6747" i="106" s="1"/>
  <c r="B6748" i="106"/>
  <c r="D6748" i="106" s="1"/>
  <c r="B6749" i="106"/>
  <c r="D6749" i="106"/>
  <c r="B6750" i="106"/>
  <c r="D6750" i="106" s="1"/>
  <c r="B6751" i="106"/>
  <c r="D6751" i="106" s="1"/>
  <c r="B6752" i="106"/>
  <c r="D6752" i="106" s="1"/>
  <c r="B6753" i="106"/>
  <c r="D6753" i="106" s="1"/>
  <c r="B6754" i="106"/>
  <c r="D6754" i="106" s="1"/>
  <c r="B6755" i="106"/>
  <c r="D6755" i="106" s="1"/>
  <c r="B6756" i="106"/>
  <c r="D6756" i="106" s="1"/>
  <c r="B6757" i="106"/>
  <c r="D6757" i="106"/>
  <c r="B6758" i="106"/>
  <c r="D6758" i="106" s="1"/>
  <c r="B6759" i="106"/>
  <c r="D6759" i="106" s="1"/>
  <c r="B6760" i="106"/>
  <c r="D6760" i="106" s="1"/>
  <c r="B6761" i="106"/>
  <c r="D6761" i="106" s="1"/>
  <c r="B6762" i="106"/>
  <c r="D6762" i="106" s="1"/>
  <c r="B6763" i="106"/>
  <c r="D6763" i="106" s="1"/>
  <c r="B6764" i="106"/>
  <c r="D6764" i="106" s="1"/>
  <c r="B6765" i="106"/>
  <c r="D6765" i="106"/>
  <c r="B6766" i="106"/>
  <c r="D6766" i="106" s="1"/>
  <c r="B6767" i="106"/>
  <c r="D6767" i="106" s="1"/>
  <c r="B6768" i="106"/>
  <c r="D6768" i="106" s="1"/>
  <c r="B6769" i="106"/>
  <c r="D6769" i="106" s="1"/>
  <c r="B6770" i="106"/>
  <c r="D6770" i="106" s="1"/>
  <c r="B6771" i="106"/>
  <c r="D6771" i="106" s="1"/>
  <c r="B6772" i="106"/>
  <c r="D6772" i="106" s="1"/>
  <c r="B6773" i="106"/>
  <c r="D6773" i="106"/>
  <c r="B6774" i="106"/>
  <c r="D6774" i="106" s="1"/>
  <c r="B6775" i="106"/>
  <c r="D6775" i="106" s="1"/>
  <c r="B6776" i="106"/>
  <c r="D6776" i="106" s="1"/>
  <c r="B6777" i="106"/>
  <c r="D6777" i="106" s="1"/>
  <c r="B6778" i="106"/>
  <c r="D6778" i="106" s="1"/>
  <c r="B6779" i="106"/>
  <c r="D6779" i="106" s="1"/>
  <c r="B6780" i="106"/>
  <c r="D6780" i="106" s="1"/>
  <c r="B6781" i="106"/>
  <c r="D6781" i="106"/>
  <c r="B6782" i="106"/>
  <c r="D6782" i="106" s="1"/>
  <c r="B6783" i="106"/>
  <c r="D6783" i="106" s="1"/>
  <c r="B6784" i="106"/>
  <c r="D6784" i="106" s="1"/>
  <c r="B6785" i="106"/>
  <c r="D6785" i="106" s="1"/>
  <c r="B6786" i="106"/>
  <c r="D6786" i="106" s="1"/>
  <c r="B6787" i="106"/>
  <c r="D6787" i="106" s="1"/>
  <c r="B6788" i="106"/>
  <c r="D6788" i="106" s="1"/>
  <c r="B6789" i="106"/>
  <c r="D6789" i="106"/>
  <c r="B6790" i="106"/>
  <c r="D6790" i="106" s="1"/>
  <c r="B6791" i="106"/>
  <c r="D6791" i="106" s="1"/>
  <c r="B6792" i="106"/>
  <c r="D6792" i="106" s="1"/>
  <c r="B6793" i="106"/>
  <c r="D6793" i="106" s="1"/>
  <c r="B6794" i="106"/>
  <c r="D6794" i="106" s="1"/>
  <c r="B6795" i="106"/>
  <c r="D6795" i="106" s="1"/>
  <c r="B6796" i="106"/>
  <c r="D6796" i="106" s="1"/>
  <c r="B6797" i="106"/>
  <c r="D6797" i="106"/>
  <c r="B6798" i="106"/>
  <c r="D6798" i="106" s="1"/>
  <c r="B6799" i="106"/>
  <c r="D6799" i="106" s="1"/>
  <c r="B6800" i="106"/>
  <c r="D6800" i="106" s="1"/>
  <c r="B6801" i="106"/>
  <c r="D6801" i="106" s="1"/>
  <c r="B6802" i="106"/>
  <c r="D6802" i="106" s="1"/>
  <c r="B6803" i="106"/>
  <c r="D6803" i="106" s="1"/>
  <c r="B6804" i="106"/>
  <c r="D6804" i="106" s="1"/>
  <c r="B6805" i="106"/>
  <c r="D6805" i="106"/>
  <c r="B6806" i="106"/>
  <c r="D6806" i="106" s="1"/>
  <c r="B6807" i="106"/>
  <c r="D6807" i="106" s="1"/>
  <c r="B6808" i="106"/>
  <c r="D6808" i="106" s="1"/>
  <c r="B6809" i="106"/>
  <c r="D6809" i="106" s="1"/>
  <c r="B6810" i="106"/>
  <c r="D6810" i="106" s="1"/>
  <c r="B6811" i="106"/>
  <c r="D6811" i="106" s="1"/>
  <c r="B6812" i="106"/>
  <c r="D6812" i="106" s="1"/>
  <c r="B6813" i="106"/>
  <c r="D6813" i="106"/>
  <c r="B6814" i="106"/>
  <c r="D6814" i="106" s="1"/>
  <c r="B6815" i="106"/>
  <c r="D6815" i="106" s="1"/>
  <c r="B6816" i="106"/>
  <c r="D6816" i="106" s="1"/>
  <c r="B6817" i="106"/>
  <c r="D6817" i="106" s="1"/>
  <c r="B6818" i="106"/>
  <c r="D6818" i="106" s="1"/>
  <c r="B6819" i="106"/>
  <c r="D6819" i="106" s="1"/>
  <c r="B6820" i="106"/>
  <c r="D6820" i="106" s="1"/>
  <c r="B6821" i="106"/>
  <c r="D6821" i="106"/>
  <c r="B6822" i="106"/>
  <c r="D6822" i="106" s="1"/>
  <c r="B6823" i="106"/>
  <c r="D6823" i="106" s="1"/>
  <c r="B6824" i="106"/>
  <c r="D6824" i="106" s="1"/>
  <c r="B6825" i="106"/>
  <c r="D6825" i="106" s="1"/>
  <c r="B6826" i="106"/>
  <c r="D6826" i="106" s="1"/>
  <c r="B6827" i="106"/>
  <c r="D6827" i="106" s="1"/>
  <c r="B6828" i="106"/>
  <c r="D6828" i="106" s="1"/>
  <c r="B6829" i="106"/>
  <c r="D6829" i="106"/>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F26" i="108"/>
  <c r="G26" i="108"/>
  <c r="D27" i="108"/>
  <c r="E27" i="108"/>
  <c r="G27" i="108"/>
  <c r="F31" i="108"/>
  <c r="F36" i="108"/>
  <c r="G28" i="108"/>
  <c r="G29" i="108"/>
  <c r="D31" i="108"/>
  <c r="D36" i="108"/>
  <c r="E31" i="108"/>
  <c r="G31" i="108"/>
  <c r="E33" i="108"/>
  <c r="G33" i="108"/>
  <c r="E34" i="108"/>
  <c r="G34"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C50" i="34"/>
  <c r="D50" i="34"/>
  <c r="F50" i="34"/>
  <c r="C51" i="34"/>
  <c r="D51" i="34"/>
  <c r="C52" i="34"/>
  <c r="F52" i="34"/>
  <c r="C53" i="34"/>
  <c r="D53" i="34"/>
  <c r="C56" i="34"/>
  <c r="C57" i="34"/>
  <c r="D57" i="34"/>
  <c r="C61" i="34"/>
  <c r="C62" i="34"/>
  <c r="F62" i="34"/>
  <c r="C63" i="34"/>
  <c r="D63" i="34"/>
  <c r="C64" i="34"/>
  <c r="F64" i="34"/>
  <c r="C67" i="34"/>
  <c r="D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c r="D5425" i="106" s="1"/>
  <c r="F184" i="5"/>
  <c r="B5658" i="106" s="1"/>
  <c r="D5658" i="106" s="1"/>
  <c r="G184" i="5"/>
  <c r="B5784" i="106" s="1"/>
  <c r="D5784" i="106" s="1"/>
  <c r="H184" i="5"/>
  <c r="B5908" i="106" s="1"/>
  <c r="D5908" i="106" s="1"/>
  <c r="K184" i="5"/>
  <c r="B6016" i="106" s="1"/>
  <c r="D6016" i="106" s="1"/>
  <c r="B4395" i="106"/>
  <c r="D4395" i="106" s="1"/>
  <c r="D191" i="5"/>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5" i="4"/>
  <c r="B3406" i="106" s="1"/>
  <c r="D3406" i="106" s="1"/>
  <c r="G14" i="4"/>
  <c r="B2609" i="106" s="1"/>
  <c r="D2609" i="106" s="1"/>
  <c r="D14" i="4"/>
  <c r="B2570" i="106" s="1"/>
  <c r="D2570" i="106" s="1"/>
  <c r="F14" i="4"/>
  <c r="B2597" i="106" s="1"/>
  <c r="D2597" i="106" s="1"/>
  <c r="B2633" i="106"/>
  <c r="D2633" i="106" s="1"/>
  <c r="N22" i="3"/>
  <c r="B283" i="106" s="1"/>
  <c r="D283" i="106" s="1"/>
  <c r="D7" i="118"/>
  <c r="D8" i="118"/>
  <c r="D9" i="118"/>
  <c r="H14" i="118"/>
  <c r="H19" i="118"/>
  <c r="H24" i="118"/>
  <c r="H28" i="118"/>
  <c r="D22" i="37"/>
  <c r="J22" i="37"/>
  <c r="L22" i="37"/>
  <c r="D13" i="7"/>
  <c r="B3726" i="106" s="1"/>
  <c r="D3726" i="106" s="1"/>
  <c r="D9" i="7"/>
  <c r="B1767" i="106" s="1"/>
  <c r="D1767" i="106" s="1"/>
  <c r="F127" i="34"/>
  <c r="B5847" i="106"/>
  <c r="D5847" i="106" s="1"/>
  <c r="D17" i="7"/>
  <c r="B4104" i="106" s="1"/>
  <c r="D4104" i="106" s="1"/>
  <c r="D15" i="7"/>
  <c r="B1772" i="106" s="1"/>
  <c r="D1772" i="106" s="1"/>
  <c r="G352" i="29" l="1"/>
  <c r="B4373" i="106"/>
  <c r="D4373" i="106" s="1"/>
  <c r="J352" i="29"/>
  <c r="J367" i="29" s="1"/>
  <c r="B7245" i="106" s="1"/>
  <c r="D7245" i="106" s="1"/>
  <c r="D12" i="7"/>
  <c r="B1769" i="106" s="1"/>
  <c r="D1769" i="106" s="1"/>
  <c r="F128" i="34"/>
  <c r="F67" i="34"/>
  <c r="F45" i="34"/>
  <c r="F42" i="34"/>
  <c r="F37" i="34"/>
  <c r="E35" i="108"/>
  <c r="G109" i="5"/>
  <c r="B6024" i="106" s="1"/>
  <c r="D6024" i="106" s="1"/>
  <c r="F46" i="34"/>
  <c r="B4087" i="106"/>
  <c r="D4087" i="106" s="1"/>
  <c r="F136" i="34"/>
  <c r="F49" i="34"/>
  <c r="E29" i="108"/>
  <c r="B7235" i="106"/>
  <c r="D7235" i="106" s="1"/>
  <c r="B1223" i="106"/>
  <c r="D1223" i="106" s="1"/>
  <c r="H33" i="118"/>
  <c r="L5" i="11"/>
  <c r="B2056" i="106" s="1"/>
  <c r="D2056" i="106" s="1"/>
  <c r="D31" i="36"/>
  <c r="B4268" i="106"/>
  <c r="D4268" i="106" s="1"/>
  <c r="H173" i="5"/>
  <c r="F106" i="34"/>
  <c r="F130" i="34"/>
  <c r="D11" i="37"/>
  <c r="K274" i="5"/>
  <c r="F172" i="5"/>
  <c r="B5644" i="106" s="1"/>
  <c r="D5644" i="106" s="1"/>
  <c r="K28" i="118"/>
  <c r="O27" i="118" s="1"/>
  <c r="O29" i="118" s="1"/>
  <c r="B4396" i="106"/>
  <c r="D4396" i="106" s="1"/>
  <c r="L312" i="29"/>
  <c r="B1794" i="106"/>
  <c r="D1794" i="106" s="1"/>
  <c r="F19" i="7"/>
  <c r="B1807" i="106" s="1"/>
  <c r="D1807" i="106" s="1"/>
  <c r="K285" i="29"/>
  <c r="B3724" i="106" s="1"/>
  <c r="D3724" i="106" s="1"/>
  <c r="B3723" i="106"/>
  <c r="D3723" i="106" s="1"/>
  <c r="B7076" i="106"/>
  <c r="D7076" i="106" s="1"/>
  <c r="F68" i="34"/>
  <c r="B1139" i="106"/>
  <c r="D1139" i="106" s="1"/>
  <c r="D37" i="108"/>
  <c r="B281" i="106"/>
  <c r="D281" i="106" s="1"/>
  <c r="D54" i="36"/>
  <c r="L342" i="29"/>
  <c r="K350" i="29"/>
  <c r="G15" i="145"/>
  <c r="K24" i="12"/>
  <c r="G39" i="108"/>
  <c r="I210" i="29"/>
  <c r="G30" i="108"/>
  <c r="C14" i="4"/>
  <c r="B2558" i="106" s="1"/>
  <c r="D2558" i="106" s="1"/>
  <c r="F37" i="108"/>
  <c r="E30" i="108"/>
  <c r="F28" i="108"/>
  <c r="E28" i="108"/>
  <c r="D11" i="7"/>
  <c r="B1768" i="106" s="1"/>
  <c r="D1768" i="106" s="1"/>
  <c r="D7" i="7"/>
  <c r="B1763" i="106" s="1"/>
  <c r="D1763" i="106" s="1"/>
  <c r="B1746" i="106"/>
  <c r="D1746" i="106" s="1"/>
  <c r="E109" i="5"/>
  <c r="E4" i="4" s="1"/>
  <c r="B2630" i="106" s="1"/>
  <c r="D2630" i="106" s="1"/>
  <c r="D109" i="5"/>
  <c r="B5356" i="106" s="1"/>
  <c r="D5356" i="106" s="1"/>
  <c r="D5" i="7"/>
  <c r="B1761" i="106" s="1"/>
  <c r="D1761" i="106" s="1"/>
  <c r="B5334" i="106"/>
  <c r="D5334" i="106" s="1"/>
  <c r="C172" i="5"/>
  <c r="C109" i="5"/>
  <c r="B5121" i="106" s="1"/>
  <c r="D5121" i="106" s="1"/>
  <c r="C342" i="29"/>
  <c r="B7216" i="106" s="1"/>
  <c r="D7216" i="106" s="1"/>
  <c r="F21" i="8"/>
  <c r="B3689" i="106"/>
  <c r="D3689" i="106" s="1"/>
  <c r="K173" i="5"/>
  <c r="K6" i="4" s="1"/>
  <c r="B3570" i="106" s="1"/>
  <c r="D3570" i="106" s="1"/>
  <c r="G172" i="5"/>
  <c r="B6238" i="106"/>
  <c r="D6238" i="106" s="1"/>
  <c r="J77" i="4"/>
  <c r="B6262" i="106" s="1"/>
  <c r="D6262" i="106" s="1"/>
  <c r="D4" i="7"/>
  <c r="B1760" i="106" s="1"/>
  <c r="D1760" i="106" s="1"/>
  <c r="J274" i="5"/>
  <c r="B7054" i="106" s="1"/>
  <c r="D7054" i="106" s="1"/>
  <c r="I173" i="5"/>
  <c r="B4216" i="106" s="1"/>
  <c r="D4216" i="106" s="1"/>
  <c r="B5096" i="106"/>
  <c r="D5096" i="106" s="1"/>
  <c r="L367" i="29"/>
  <c r="B6881" i="106"/>
  <c r="D6881" i="106" s="1"/>
  <c r="F41" i="34"/>
  <c r="B6853" i="106"/>
  <c r="D6853" i="106" s="1"/>
  <c r="F35" i="34"/>
  <c r="B3658" i="106"/>
  <c r="D3658" i="106" s="1"/>
  <c r="H365" i="29"/>
  <c r="B3565" i="106"/>
  <c r="D3565" i="106" s="1"/>
  <c r="H44" i="4"/>
  <c r="B3296" i="106" s="1"/>
  <c r="D3296" i="106" s="1"/>
  <c r="B6289" i="106"/>
  <c r="D6289" i="106" s="1"/>
  <c r="H109" i="5"/>
  <c r="G4" i="4"/>
  <c r="B2603" i="106" s="1"/>
  <c r="D2603" i="106" s="1"/>
  <c r="F111" i="34"/>
  <c r="F131" i="34"/>
  <c r="D24" i="37"/>
  <c r="B4270" i="106" s="1"/>
  <c r="D4270" i="106" s="1"/>
  <c r="G5" i="4"/>
  <c r="B3409" i="106" s="1"/>
  <c r="D3409" i="106" s="1"/>
  <c r="F36" i="34"/>
  <c r="D69" i="36"/>
  <c r="I342" i="29"/>
  <c r="B7222" i="106" s="1"/>
  <c r="D7222" i="106" s="1"/>
  <c r="J210" i="29"/>
  <c r="B7072" i="106" s="1"/>
  <c r="D7072" i="106" s="1"/>
  <c r="B3670" i="106"/>
  <c r="D3670" i="106" s="1"/>
  <c r="K352" i="29"/>
  <c r="K13" i="4" s="1"/>
  <c r="B3572" i="106" s="1"/>
  <c r="D3572" i="106" s="1"/>
  <c r="B3619" i="106"/>
  <c r="D3619" i="106" s="1"/>
  <c r="C352" i="29"/>
  <c r="B3170" i="106"/>
  <c r="D3170" i="106" s="1"/>
  <c r="H76" i="4"/>
  <c r="B3298" i="106" s="1"/>
  <c r="D3298" i="106" s="1"/>
  <c r="B1995" i="106"/>
  <c r="D1995" i="106" s="1"/>
  <c r="I24" i="12"/>
  <c r="F77" i="4"/>
  <c r="B3255" i="106" s="1"/>
  <c r="D3255" i="106" s="1"/>
  <c r="L15" i="11"/>
  <c r="B3459" i="106" s="1"/>
  <c r="D3459" i="106" s="1"/>
  <c r="L13" i="11"/>
  <c r="B2060" i="106" s="1"/>
  <c r="D2060" i="106" s="1"/>
  <c r="G210" i="29"/>
  <c r="D6103" i="106"/>
  <c r="K76" i="4"/>
  <c r="B3586" i="106" s="1"/>
  <c r="D3586" i="106" s="1"/>
  <c r="E174" i="29"/>
  <c r="B1309" i="106" s="1"/>
  <c r="D1309" i="106" s="1"/>
  <c r="B3649" i="106"/>
  <c r="D3649" i="106" s="1"/>
  <c r="G367" i="29"/>
  <c r="B3650" i="106" s="1"/>
  <c r="D3650" i="106" s="1"/>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B5914" i="106"/>
  <c r="D5914" i="106" s="1"/>
  <c r="J7" i="4"/>
  <c r="B7270" i="106"/>
  <c r="B7215" i="106" l="1"/>
  <c r="D7215" i="106" s="1"/>
  <c r="D7256" i="106"/>
  <c r="D7251" i="106"/>
  <c r="F6" i="4"/>
  <c r="B2593" i="106" s="1"/>
  <c r="D2593" i="106" s="1"/>
  <c r="F41" i="108"/>
  <c r="G43" i="108" s="1"/>
  <c r="L114" i="29"/>
  <c r="B7733" i="106"/>
  <c r="D7733" i="106" s="1"/>
  <c r="K26" i="12"/>
  <c r="B7743" i="106" s="1"/>
  <c r="D7743" i="106" s="1"/>
  <c r="H77" i="4"/>
  <c r="B3299" i="106" s="1"/>
  <c r="D3299" i="106" s="1"/>
  <c r="K365" i="29"/>
  <c r="K367" i="29" s="1"/>
  <c r="B7071" i="106"/>
  <c r="D7071" i="106" s="1"/>
  <c r="F66" i="34"/>
  <c r="B5906" i="106"/>
  <c r="D5906" i="106" s="1"/>
  <c r="H6" i="4"/>
  <c r="B2656" i="106" s="1"/>
  <c r="D2656" i="106" s="1"/>
  <c r="K77" i="4"/>
  <c r="B3587" i="106" s="1"/>
  <c r="D3587" i="106" s="1"/>
  <c r="F274" i="5"/>
  <c r="F73" i="34"/>
  <c r="G15" i="4"/>
  <c r="B6032" i="106" s="1"/>
  <c r="D6032" i="106" s="1"/>
  <c r="K342" i="29"/>
  <c r="F13" i="34" s="1"/>
  <c r="C114" i="29"/>
  <c r="B757" i="106" s="1"/>
  <c r="D757" i="106" s="1"/>
  <c r="F275" i="5"/>
  <c r="B5720" i="106" s="1"/>
  <c r="D5720" i="106" s="1"/>
  <c r="B5527" i="106"/>
  <c r="D5527" i="106" s="1"/>
  <c r="D4" i="4"/>
  <c r="B2564" i="106" s="1"/>
  <c r="D2564" i="106" s="1"/>
  <c r="C4" i="4"/>
  <c r="B2551" i="106" s="1"/>
  <c r="D2551" i="106" s="1"/>
  <c r="B1879" i="106"/>
  <c r="D1879" i="106" s="1"/>
  <c r="H22" i="37"/>
  <c r="D274" i="5"/>
  <c r="B3628" i="106"/>
  <c r="D3628" i="106" s="1"/>
  <c r="I6" i="4"/>
  <c r="B5011" i="106" s="1"/>
  <c r="D5011" i="106" s="1"/>
  <c r="B1365" i="106"/>
  <c r="D1365" i="106" s="1"/>
  <c r="F65" i="34"/>
  <c r="B1996" i="106"/>
  <c r="D1996" i="106" s="1"/>
  <c r="I26" i="12"/>
  <c r="B7741" i="106" s="1"/>
  <c r="D7741" i="106" s="1"/>
  <c r="B3621" i="106"/>
  <c r="D3621" i="106" s="1"/>
  <c r="C367" i="29"/>
  <c r="B3622" i="106" s="1"/>
  <c r="D3622" i="106" s="1"/>
  <c r="G173" i="5"/>
  <c r="B5770" i="106"/>
  <c r="D5770" i="106" s="1"/>
  <c r="B6025" i="106"/>
  <c r="D6025" i="106" s="1"/>
  <c r="H4" i="4"/>
  <c r="D19" i="7"/>
  <c r="B1775" i="106" s="1"/>
  <c r="D1775" i="106" s="1"/>
  <c r="H275" i="5"/>
  <c r="B5915" i="106" s="1"/>
  <c r="D5915" i="106" s="1"/>
  <c r="L16" i="11"/>
  <c r="B2061" i="106" s="1"/>
  <c r="D2061" i="106" s="1"/>
  <c r="H367" i="29"/>
  <c r="B3660" i="106" s="1"/>
  <c r="D3660" i="106" s="1"/>
  <c r="B7242" i="106"/>
  <c r="D7242" i="106" s="1"/>
  <c r="B5214" i="106"/>
  <c r="D5214" i="106" s="1"/>
  <c r="C173" i="5"/>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6222" i="106"/>
  <c r="D6222" i="106" s="1"/>
  <c r="D7" i="4"/>
  <c r="B5507" i="106"/>
  <c r="D5507" i="106" s="1"/>
  <c r="B7298" i="106"/>
  <c r="B7299" i="106"/>
  <c r="B7224" i="106" l="1"/>
  <c r="D7224" i="106" s="1"/>
  <c r="J8" i="4"/>
  <c r="J17" i="4"/>
  <c r="G41" i="108"/>
  <c r="G44" i="108" s="1"/>
  <c r="G45" i="108" s="1"/>
  <c r="F8" i="4"/>
  <c r="D8" i="146" s="1"/>
  <c r="E41" i="108"/>
  <c r="E44" i="108" s="1"/>
  <c r="E45" i="108" s="1"/>
  <c r="B5223" i="106"/>
  <c r="D5223" i="106" s="1"/>
  <c r="C6" i="4"/>
  <c r="B2553" i="106" s="1"/>
  <c r="D2553" i="106" s="1"/>
  <c r="B5778" i="106"/>
  <c r="D5778" i="106" s="1"/>
  <c r="G6" i="4"/>
  <c r="B2604" i="106" s="1"/>
  <c r="D2604"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B2595" i="106"/>
  <c r="D2595" i="106" s="1"/>
  <c r="F10" i="4"/>
  <c r="B4125" i="106" s="1"/>
  <c r="D4125" i="106" s="1"/>
  <c r="B2658" i="106"/>
  <c r="D2658" i="106" s="1"/>
  <c r="H10" i="4"/>
  <c r="B4127" i="106" s="1"/>
  <c r="D4127"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8" i="3" s="1"/>
  <c r="B6263" i="106"/>
  <c r="D6263" i="106" s="1"/>
  <c r="D78" i="4"/>
  <c r="B2574" i="106"/>
  <c r="D2574" i="106" s="1"/>
  <c r="F8" i="146"/>
  <c r="F179" i="34" l="1"/>
  <c r="F79" i="34"/>
  <c r="B6214" i="106"/>
  <c r="D6214" i="106" s="1"/>
  <c r="J41" i="3"/>
  <c r="B3588" i="106"/>
  <c r="D3588" i="106" s="1"/>
  <c r="K81" i="4"/>
  <c r="K38" i="3" s="1"/>
  <c r="F78" i="4"/>
  <c r="B2601" i="106"/>
  <c r="D2601" i="106" s="1"/>
  <c r="B3320" i="106"/>
  <c r="D3320" i="106" s="1"/>
  <c r="I81" i="4"/>
  <c r="I39" i="3" s="1"/>
  <c r="K17" i="118"/>
  <c r="B3300" i="106"/>
  <c r="D3300" i="106" s="1"/>
  <c r="H81" i="4"/>
  <c r="H38" i="3" s="1"/>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2912" i="106" l="1"/>
  <c r="D2912" i="106" s="1"/>
  <c r="I41" i="3"/>
  <c r="B3566" i="106"/>
  <c r="D3566" i="106" s="1"/>
  <c r="K41" i="3"/>
  <c r="B123" i="106"/>
  <c r="D123" i="106" s="1"/>
  <c r="D41" i="3"/>
  <c r="B2535" i="106"/>
  <c r="D2535" i="106" s="1"/>
  <c r="H41" i="3"/>
  <c r="B6216" i="106"/>
  <c r="D6216" i="106" s="1"/>
  <c r="D51" i="36"/>
  <c r="B3278" i="106"/>
  <c r="D3278" i="106" s="1"/>
  <c r="E81" i="4"/>
  <c r="E39" i="3" s="1"/>
  <c r="B3233" i="106"/>
  <c r="D3233" i="106" s="1"/>
  <c r="C81" i="4"/>
  <c r="C39" i="3" s="1"/>
  <c r="A7263" i="106"/>
  <c r="D7262" i="106"/>
  <c r="B1700" i="106"/>
  <c r="D1700" i="106" s="1"/>
  <c r="H82" i="4"/>
  <c r="D62" i="36"/>
  <c r="O16" i="118"/>
  <c r="F81" i="4"/>
  <c r="F39"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D50" i="36"/>
  <c r="B2913" i="106"/>
  <c r="D2913" i="106" s="1"/>
  <c r="B170" i="106"/>
  <c r="D170" i="106" s="1"/>
  <c r="F41" i="3"/>
  <c r="B124" i="106"/>
  <c r="D124" i="106" s="1"/>
  <c r="D45" i="36"/>
  <c r="B92" i="106"/>
  <c r="D92" i="106" s="1"/>
  <c r="C41" i="3"/>
  <c r="D76" i="36"/>
  <c r="B140" i="106"/>
  <c r="D140" i="106" s="1"/>
  <c r="E41" i="3"/>
  <c r="B2477" i="106"/>
  <c r="D2477" i="106" s="1"/>
  <c r="G41" i="3"/>
  <c r="D75" i="36"/>
  <c r="B213" i="106"/>
  <c r="D213" i="106" s="1"/>
  <c r="D49"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7" i="36" l="1"/>
  <c r="B171" i="106"/>
  <c r="D171" i="106" s="1"/>
  <c r="B93" i="106"/>
  <c r="D93" i="106" s="1"/>
  <c r="D44" i="36"/>
  <c r="B141" i="106"/>
  <c r="D141" i="106" s="1"/>
  <c r="D46" i="36"/>
  <c r="D48" i="36"/>
  <c r="B190" i="106"/>
  <c r="D190" i="106" s="1"/>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<sst xmlns="http://schemas.openxmlformats.org/spreadsheetml/2006/main" count="5033" uniqueCount="2100">
  <si>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</si>
  <si>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</si>
  <si>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</si>
  <si>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</si>
  <si>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</si>
  <si>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</si>
  <si>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</si>
  <si>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</si>
  <si>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</si>
  <si>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</si>
  <si>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</si>
  <si>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</si>
  <si>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</si>
  <si>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</si>
  <si>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</si>
  <si>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</si>
  <si>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</si>
  <si>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</si>
  <si>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</si>
  <si>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</si>
  <si>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</si>
  <si>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</si>
  <si>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</si>
  <si>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</si>
  <si>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</si>
  <si>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</si>
  <si>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</si>
  <si>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</si>
  <si>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</si>
  <si>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</si>
  <si>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</si>
  <si>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</si>
  <si>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</si>
  <si>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</si>
  <si>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</si>
  <si>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</si>
  <si>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</si>
  <si>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</si>
  <si>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</si>
  <si>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</si>
  <si>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</si>
  <si>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</si>
  <si>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</si>
  <si>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</si>
  <si>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</si>
  <si>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</si>
  <si>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</si>
  <si>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</si>
  <si>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</si>
  <si>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</si>
  <si>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</si>
  <si>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</si>
  <si>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</si>
  <si>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</si>
  <si>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</si>
  <si>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</si>
  <si>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</si>
  <si>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</si>
  <si>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</si>
  <si>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</si>
  <si>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</si>
  <si>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</si>
  <si>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</si>
  <si>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</si>
  <si>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</si>
  <si>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</si>
  <si>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</si>
  <si>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</si>
  <si>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</si>
  <si>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</si>
  <si>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</si>
  <si>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</si>
  <si>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</si>
  <si>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</si>
  <si>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</si>
  <si>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</si>
  <si>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</si>
  <si>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</si>
  <si>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</si>
  <si>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</si>
  <si>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</si>
  <si>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</si>
  <si>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</si>
  <si>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</si>
  <si>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</si>
  <si>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</si>
  <si>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</si>
  <si>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</si>
  <si>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</si>
  <si>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</si>
  <si>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</si>
  <si>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</si>
  <si>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</si>
  <si>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</si>
  <si>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</si>
  <si>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</si>
  <si>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</si>
  <si>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</si>
  <si>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</si>
  <si>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</si>
  <si>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</si>
  <si>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</si>
  <si>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</si>
  <si>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</si>
  <si>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</si>
  <si>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</si>
  <si>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</si>
  <si>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</si>
  <si>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</si>
  <si>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</si>
  <si>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</si>
  <si>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</si>
  <si>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</si>
  <si>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</si>
  <si>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</si>
  <si>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</si>
  <si>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</si>
  <si>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</si>
  <si>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</si>
  <si>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</si>
  <si>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</si>
  <si>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</si>
  <si>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</si>
  <si>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</si>
  <si>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</si>
  <si>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</si>
  <si>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</si>
  <si>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</si>
  <si>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</si>
  <si>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</si>
  <si>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</si>
  <si>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</si>
  <si>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</si>
  <si>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</si>
  <si>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</si>
  <si>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</si>
  <si>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</si>
  <si>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</si>
  <si>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</si>
  <si>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</si>
  <si>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</si>
  <si>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</si>
  <si>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</si>
  <si>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</si>
  <si>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</si>
  <si>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</si>
  <si>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</si>
  <si>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</si>
  <si>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</si>
  <si>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</si>
  <si>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</si>
  <si>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</si>
  <si>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</si>
  <si>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</si>
  <si>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</si>
  <si>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</si>
  <si>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</si>
  <si>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</si>
  <si>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</si>
  <si>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</si>
  <si>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</si>
  <si>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</si>
  <si>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</si>
  <si>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</si>
  <si>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</si>
  <si>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</si>
  <si>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</si>
  <si>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</si>
  <si>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</si>
  <si>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</si>
  <si>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</si>
  <si>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</si>
  <si>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</si>
  <si>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</si>
  <si>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</si>
  <si>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</si>
  <si>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</si>
  <si>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</si>
  <si>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</si>
  <si>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</si>
  <si>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</si>
  <si>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</si>
  <si>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</si>
  <si>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</si>
  <si>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</si>
  <si>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</si>
  <si>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</si>
  <si>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</si>
  <si>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</si>
  <si>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</si>
  <si>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</si>
  <si>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</si>
  <si>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</si>
  <si>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</si>
  <si>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</si>
  <si>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</si>
  <si>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</si>
  <si>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</si>
  <si>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</si>
  <si>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</si>
  <si>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</si>
  <si>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</si>
  <si>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</si>
  <si>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</si>
  <si>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</si>
  <si>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</si>
  <si>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</si>
  <si>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</si>
  <si>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</si>
  <si>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</si>
  <si>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</si>
  <si>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</si>
  <si>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</si>
  <si>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</si>
  <si>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</si>
  <si>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</si>
  <si>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</si>
  <si>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</si>
  <si>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</si>
  <si>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</si>
  <si>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</si>
  <si>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</si>
  <si>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</si>
  <si>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</si>
  <si>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</si>
  <si>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</si>
  <si>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</si>
  <si>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</si>
  <si>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</si>
  <si>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</si>
  <si>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</si>
  <si>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</si>
  <si>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</si>
  <si>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</si>
  <si>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</si>
  <si>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</si>
  <si>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</si>
  <si>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</si>
  <si>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</si>
  <si>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</si>
  <si>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</si>
  <si>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</si>
  <si>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</si>
  <si>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</si>
  <si>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</si>
  <si>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</si>
  <si>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</si>
  <si>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</si>
  <si>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</si>
  <si>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</si>
  <si>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</si>
  <si>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</si>
  <si>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</si>
  <si>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</si>
  <si>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</si>
  <si>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</si>
  <si>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</si>
  <si>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</si>
  <si>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</si>
  <si>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</si>
  <si>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</si>
  <si>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</si>
  <si>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</si>
  <si>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</si>
  <si>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</si>
  <si>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</si>
  <si>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</si>
  <si>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</si>
  <si>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</si>
  <si>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</si>
  <si>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</si>
  <si>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</si>
  <si>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</si>
  <si>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</si>
  <si>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</si>
  <si>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</si>
  <si>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</si>
  <si>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</si>
  <si>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</si>
  <si>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</si>
  <si>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</si>
  <si>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</si>
  <si>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</si>
  <si>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</si>
  <si>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</si>
  <si>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</si>
  <si>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</si>
  <si>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</si>
  <si>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</si>
  <si>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</si>
  <si>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</si>
  <si>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</si>
  <si>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</si>
  <si>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</si>
  <si>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</si>
  <si>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</si>
  <si>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</si>
  <si>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</si>
  <si>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</si>
  <si>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</si>
  <si>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</si>
  <si>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</si>
  <si>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</si>
  <si>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</si>
  <si>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</si>
  <si>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</si>
  <si>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</si>
  <si>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</si>
  <si>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</si>
  <si>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</si>
  <si>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</si>
  <si>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</si>
  <si>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</si>
  <si>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</si>
  <si>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</si>
  <si>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</si>
  <si>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</si>
  <si>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</si>
  <si>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</si>
  <si>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</si>
  <si>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</si>
  <si>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</si>
  <si>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</si>
  <si>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</si>
  <si>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</si>
  <si>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</si>
  <si>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</si>
  <si>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</si>
  <si>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</si>
  <si>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</si>
  <si>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</si>
  <si>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</si>
  <si>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</si>
  <si>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</si>
  <si>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</si>
  <si>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</si>
  <si>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</si>
  <si>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</si>
  <si>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</si>
  <si>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</si>
  <si>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</si>
  <si>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</si>
  <si>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</si>
  <si>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</si>
  <si>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</si>
  <si>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</si>
  <si>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</si>
  <si>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</si>
  <si>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</si>
  <si>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</si>
  <si>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</si>
  <si>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</si>
  <si>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</si>
  <si>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</si>
  <si>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</si>
  <si>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</si>
  <si>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</si>
  <si>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</si>
  <si>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</si>
  <si>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</si>
  <si>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</si>
  <si>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</si>
  <si>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</si>
  <si>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</si>
  <si>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</si>
  <si>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</si>
  <si>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</si>
  <si>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</si>
  <si>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</si>
  <si>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</si>
  <si>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</si>
  <si>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</si>
  <si>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</si>
  <si>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</si>
  <si>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</si>
  <si>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</si>
  <si>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</si>
  <si>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</si>
  <si>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</si>
  <si>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</si>
  <si>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</si>
  <si>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</si>
  <si>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</si>
  <si>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</si>
  <si>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</si>
  <si>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</si>
  <si>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</si>
  <si>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</si>
  <si>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</si>
  <si>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</si>
  <si>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</si>
  <si>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</si>
  <si>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</si>
  <si>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</si>
  <si>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</si>
  <si>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</si>
  <si>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</si>
  <si>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</si>
  <si>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</si>
  <si>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</si>
  <si>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</si>
  <si>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</si>
  <si>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</si>
  <si>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</si>
  <si>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</si>
  <si>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</si>
  <si>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</si>
  <si>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</si>
  <si>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</si>
  <si>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</si>
  <si>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</si>
  <si>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</si>
  <si>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</si>
  <si>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</si>
  <si>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</si>
  <si>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</si>
  <si>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</si>
  <si>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</si>
  <si>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</si>
  <si>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</si>
  <si>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</si>
  <si>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</si>
  <si>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</si>
  <si>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</si>
  <si>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</si>
  <si>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</si>
  <si>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</si>
  <si>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</si>
  <si>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</si>
  <si>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</si>
  <si>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</si>
  <si>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</si>
  <si>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</si>
  <si>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</si>
  <si>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</si>
  <si>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</si>
  <si>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</si>
  <si>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</si>
  <si>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</si>
  <si>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</si>
  <si>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</si>
  <si>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</si>
  <si>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</si>
  <si>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</si>
  <si>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</si>
  <si>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</si>
  <si>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</si>
  <si>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</si>
  <si>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</si>
  <si>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</si>
  <si>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</si>
  <si>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</si>
  <si>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</si>
  <si>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</si>
  <si>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</si>
  <si>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</si>
  <si>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</si>
  <si>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</si>
  <si>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</si>
  <si>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</si>
  <si>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</si>
  <si>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</si>
  <si>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</si>
  <si>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</si>
  <si>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</si>
  <si>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</si>
  <si>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</si>
  <si>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</si>
  <si>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</si>
  <si>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</si>
  <si>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</si>
  <si>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</si>
  <si>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</si>
  <si>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</si>
  <si>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</si>
  <si>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</si>
  <si>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</si>
  <si>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</si>
  <si>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</si>
  <si>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</si>
  <si>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</si>
  <si>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</si>
  <si>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</si>
  <si>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</si>
  <si>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</si>
  <si>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</si>
  <si>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</si>
  <si>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</si>
  <si>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</si>
  <si>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</si>
  <si>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</si>
  <si>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</si>
  <si>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</si>
  <si>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</si>
  <si>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</si>
  <si>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</si>
  <si>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</si>
  <si>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</si>
  <si>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</si>
  <si>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</si>
  <si>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</si>
  <si>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</si>
  <si>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</si>
  <si>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</si>
  <si>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</si>
  <si>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</si>
  <si>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</si>
  <si>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</si>
  <si>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</si>
  <si>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</si>
  <si>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</si>
  <si>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</si>
  <si>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</si>
  <si>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</si>
  <si>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</si>
  <si>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</si>
  <si>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</si>
  <si>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</si>
  <si>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</si>
  <si>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</si>
  <si>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</si>
  <si>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</si>
  <si>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</si>
  <si>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</si>
  <si>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</si>
  <si>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</si>
  <si>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</si>
  <si>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</si>
  <si>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</si>
  <si>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</si>
  <si>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</si>
  <si>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</si>
  <si>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</si>
  <si>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</si>
  <si>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</si>
  <si>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</si>
  <si>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</si>
  <si>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</si>
  <si>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</si>
  <si>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</si>
  <si>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</si>
  <si>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</si>
  <si>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</si>
  <si>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</si>
  <si>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</si>
  <si>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</si>
  <si>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</si>
  <si>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</si>
  <si>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</si>
  <si>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</si>
  <si>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</si>
  <si>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</si>
  <si>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</si>
  <si>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</si>
  <si>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</si>
  <si>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</si>
  <si>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</si>
  <si>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</si>
  <si>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</si>
  <si>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</si>
  <si>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</si>
  <si>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</si>
  <si>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</si>
  <si>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</si>
  <si>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</si>
  <si>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</si>
  <si>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</si>
  <si>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</si>
  <si>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</si>
  <si>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</si>
  <si>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</si>
  <si>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</si>
  <si>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</si>
  <si>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</si>
  <si>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</si>
  <si>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</si>
  <si>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</si>
  <si>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</si>
  <si>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</si>
  <si>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</si>
  <si>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</si>
  <si>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</si>
  <si>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</si>
  <si>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</si>
  <si>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</si>
  <si>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</si>
  <si>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</si>
  <si>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</si>
  <si>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</si>
  <si>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</si>
  <si>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</si>
  <si>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</si>
  <si>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</si>
  <si>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</si>
  <si>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</si>
  <si>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</si>
  <si>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</si>
  <si>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</si>
  <si>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</si>
  <si>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</si>
  <si>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</si>
  <si>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</si>
  <si>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</si>
  <si>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</si>
  <si>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</si>
  <si>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</si>
  <si>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</si>
  <si>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</si>
  <si>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</si>
  <si>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</si>
  <si>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</si>
  <si>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</si>
  <si>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</si>
  <si>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</si>
  <si>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</si>
  <si>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</si>
  <si>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</si>
  <si>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</si>
  <si>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</si>
  <si>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</si>
  <si>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</si>
  <si>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</si>
  <si>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</si>
  <si>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</si>
  <si>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</si>
  <si>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</si>
  <si>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</si>
  <si>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</si>
  <si>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</si>
  <si>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</si>
  <si>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</si>
  <si>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</si>
  <si>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</si>
  <si>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</si>
  <si>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</si>
  <si>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</si>
  <si>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</si>
  <si>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</si>
  <si>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</si>
  <si>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</si>
  <si>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</si>
  <si>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</si>
  <si>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</si>
  <si>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</si>
  <si>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</si>
  <si>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</si>
  <si>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</si>
  <si>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</si>
  <si>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</si>
  <si>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</si>
  <si>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</si>
  <si>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</si>
  <si>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</si>
  <si>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</si>
  <si>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</si>
  <si>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</si>
  <si>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</si>
  <si>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</si>
  <si>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</si>
  <si>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</si>
  <si>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</si>
  <si>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</si>
  <si>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</si>
  <si>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</si>
  <si>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</si>
  <si>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</si>
  <si>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</si>
  <si>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</si>
  <si>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</si>
  <si>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</si>
  <si>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</si>
  <si>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</si>
  <si>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</si>
  <si>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</si>
  <si>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</si>
  <si>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</si>
  <si>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</si>
  <si>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</si>
  <si>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</si>
  <si>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</si>
  <si>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</si>
  <si>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</si>
  <si>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</si>
  <si>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</si>
  <si>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</si>
  <si>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</si>
  <si>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</si>
  <si>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</si>
  <si>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</si>
  <si>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</si>
  <si>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</si>
  <si>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</si>
  <si>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</si>
  <si>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</si>
  <si>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</si>
  <si>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</si>
  <si>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</si>
  <si>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</si>
  <si>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</si>
  <si>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</si>
  <si>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</si>
  <si>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</si>
  <si>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</si>
  <si>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</si>
  <si>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</si>
  <si>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</si>
  <si>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</si>
  <si>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</si>
  <si>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</si>
  <si>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</si>
  <si>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</si>
  <si>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</si>
  <si>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</si>
  <si>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</si>
  <si>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</si>
  <si>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</si>
  <si>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</si>
  <si>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</si>
  <si>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</si>
  <si>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</si>
  <si>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</si>
  <si>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</si>
  <si>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</si>
  <si>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</si>
  <si>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</si>
  <si>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</si>
  <si>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</si>
  <si>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</si>
  <si>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</si>
  <si>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</si>
  <si>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</si>
  <si>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</si>
  <si>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</si>
  <si>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</si>
  <si>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</si>
  <si>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</si>
  <si>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</si>
  <si>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</si>
  <si>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</si>
  <si>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</si>
  <si>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</si>
  <si>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</si>
  <si>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</si>
  <si>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</si>
  <si>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</si>
  <si>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</si>
  <si>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</si>
  <si>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</si>
  <si>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</si>
  <si>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</si>
  <si>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</si>
  <si>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</si>
  <si>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</si>
  <si>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</si>
  <si>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</si>
  <si>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</si>
  <si>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</si>
  <si>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</si>
  <si>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</si>
  <si>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</si>
  <si>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</si>
  <si>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</si>
  <si>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</si>
  <si>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</si>
  <si>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</si>
  <si>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</si>
  <si>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</si>
  <si>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</si>
  <si>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</si>
  <si>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</si>
  <si>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</si>
  <si>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</si>
  <si>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</si>
  <si>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</si>
  <si>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</si>
  <si>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</si>
  <si>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</si>
  <si>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</si>
  <si>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</si>
  <si>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</si>
  <si>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</si>
  <si>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</si>
  <si>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</si>
  <si>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</si>
  <si>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</si>
  <si>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</si>
  <si>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</si>
  <si>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</si>
  <si>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</si>
  <si>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</si>
  <si>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</si>
  <si>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</si>
  <si>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</si>
  <si>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</si>
  <si>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</si>
  <si>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</si>
  <si>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</si>
  <si>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</si>
  <si>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</si>
  <si>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</si>
  <si>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</si>
  <si>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</si>
  <si>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</si>
  <si>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</si>
  <si>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</si>
  <si>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</si>
  <si>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</si>
  <si>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</si>
  <si>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</si>
  <si>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</si>
  <si>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</si>
  <si>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</si>
  <si>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</si>
  <si>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</si>
  <si>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</si>
  <si>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</si>
  <si>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</si>
  <si>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</si>
  <si>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</si>
  <si>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</si>
  <si>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</si>
  <si>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</si>
  <si>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</si>
  <si>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</si>
  <si>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</si>
  <si>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</si>
  <si>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</si>
  <si>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</si>
  <si>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</si>
  <si>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</si>
  <si>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</si>
  <si>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</si>
  <si>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</si>
  <si>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</si>
  <si>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</si>
  <si>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</si>
  <si>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</si>
  <si>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</si>
  <si>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</si>
  <si>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</si>
  <si>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</si>
  <si>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</si>
  <si>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</si>
  <si>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</si>
  <si>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</si>
  <si>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</si>
  <si>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</si>
  <si>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</si>
  <si>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</si>
  <si>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</si>
  <si>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</si>
  <si>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</si>
  <si>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</si>
  <si>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</si>
  <si>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</si>
  <si>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</si>
  <si>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</si>
  <si>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</si>
  <si>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</si>
  <si>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</si>
  <si>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</si>
  <si>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</si>
  <si>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</si>
  <si>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</si>
  <si>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</si>
  <si>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</si>
  <si>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</si>
  <si>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</si>
  <si>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</si>
  <si>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</si>
  <si>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</si>
  <si>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</si>
  <si>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</si>
  <si>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</si>
  <si>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</si>
  <si>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</si>
  <si>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</si>
  <si>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</si>
  <si>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</si>
  <si>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</si>
  <si>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</si>
  <si>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</si>
  <si>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</si>
  <si>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</si>
  <si>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</si>
  <si>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</si>
  <si>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</si>
  <si>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</si>
  <si>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</si>
  <si>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</si>
  <si>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</si>
  <si>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</si>
  <si>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</si>
  <si>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</si>
  <si>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</si>
  <si>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</si>
  <si>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</si>
  <si>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</si>
  <si>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</si>
  <si>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</si>
  <si>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</si>
  <si>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</si>
  <si>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</si>
  <si>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</si>
  <si>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</si>
  <si>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</si>
  <si>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</si>
  <si>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</si>
  <si>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</si>
  <si>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</si>
  <si>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</si>
  <si>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</si>
  <si>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</si>
  <si>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</si>
  <si>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</si>
  <si>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</si>
  <si>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</si>
  <si>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</si>
  <si>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</si>
  <si>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</si>
  <si>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</si>
  <si>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</si>
  <si>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</si>
  <si>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</si>
  <si>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</si>
  <si>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</si>
  <si>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</si>
  <si>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</si>
  <si>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</si>
  <si>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</si>
  <si>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</si>
  <si>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</si>
  <si>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</si>
  <si>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</si>
  <si>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</si>
  <si>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</si>
  <si>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</si>
  <si>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</si>
  <si>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</si>
  <si>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</si>
  <si>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</si>
  <si>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</si>
  <si>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</si>
  <si>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</si>
  <si>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</si>
  <si>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</si>
  <si>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</si>
  <si>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</si>
  <si>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</si>
  <si>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</si>
  <si>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</si>
  <si>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</si>
  <si>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</si>
  <si>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</si>
  <si>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</si>
  <si>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</si>
  <si>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</si>
  <si>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</si>
  <si>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</si>
  <si>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</si>
  <si>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</si>
  <si>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</si>
  <si>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</si>
  <si>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</si>
  <si>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</si>
  <si>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</si>
  <si>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</si>
  <si>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</si>
  <si>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</si>
  <si>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</si>
  <si>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</si>
  <si>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</si>
  <si>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</si>
  <si>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</si>
  <si>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</si>
  <si>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</si>
  <si>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</si>
  <si>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</si>
  <si>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</si>
  <si>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</si>
  <si>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</si>
  <si>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</si>
  <si>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</si>
  <si>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</si>
  <si>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</si>
  <si>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</si>
  <si>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</si>
  <si>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</si>
  <si>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</si>
  <si>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</si>
  <si>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</si>
  <si>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</si>
  <si>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</si>
  <si>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</si>
  <si>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</si>
  <si>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</si>
  <si>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</si>
  <si>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</si>
  <si>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</si>
  <si>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</si>
  <si>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</si>
  <si>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</si>
  <si>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</si>
  <si>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</si>
  <si>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</si>
  <si>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</si>
  <si>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</si>
  <si>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</si>
  <si>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</si>
  <si>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</si>
  <si>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</si>
  <si>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</si>
  <si>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</si>
  <si>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</si>
  <si>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</si>
  <si>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</si>
  <si>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</si>
  <si>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</si>
  <si>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</si>
  <si>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</si>
  <si>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</si>
  <si>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</si>
  <si>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</si>
  <si>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</si>
  <si>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</si>
  <si>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</si>
  <si>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</si>
  <si>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</si>
  <si>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</si>
  <si>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</si>
  <si>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</si>
  <si>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</si>
  <si>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</si>
  <si>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</si>
  <si>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</si>
  <si>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</si>
  <si>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</si>
  <si>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</si>
  <si>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</si>
  <si>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</si>
  <si>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</si>
  <si>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</si>
  <si>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</si>
  <si>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</si>
  <si>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</si>
  <si>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</si>
  <si>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</si>
  <si>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</si>
  <si>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</si>
  <si>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</si>
  <si>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</si>
  <si>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</si>
  <si>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</si>
  <si>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</si>
  <si>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</si>
  <si>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</si>
  <si>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</si>
  <si>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</si>
  <si>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</si>
  <si>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</si>
  <si>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</si>
  <si>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</si>
  <si>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</si>
  <si>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</si>
  <si>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</si>
  <si>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</si>
  <si>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</si>
  <si>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</si>
  <si>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</si>
  <si>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</si>
  <si>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</si>
  <si>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</si>
  <si>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</si>
  <si>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</si>
  <si>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</si>
  <si>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</si>
  <si>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</si>
  <si>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</si>
  <si>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</si>
  <si>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</si>
  <si>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</si>
  <si>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</si>
  <si>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</si>
  <si>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</si>
  <si>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</si>
  <si>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</si>
  <si>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</si>
  <si>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</si>
  <si>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</si>
  <si>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</si>
  <si>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</si>
  <si>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</si>
  <si>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</si>
  <si>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</si>
  <si>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</si>
  <si>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</si>
  <si>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</si>
  <si>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</si>
  <si>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</si>
  <si>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</si>
  <si>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</si>
  <si>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</si>
  <si>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</si>
  <si>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</si>
  <si>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</si>
  <si>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</si>
  <si>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</si>
  <si>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</si>
  <si>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</si>
  <si>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</si>
  <si>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</si>
  <si>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</si>
  <si>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</si>
  <si>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</si>
  <si>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</si>
  <si>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</si>
  <si>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</si>
  <si>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</si>
  <si>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</si>
  <si>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</si>
  <si>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</si>
  <si>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</si>
  <si>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</si>
  <si>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</si>
  <si>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</si>
  <si>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</si>
  <si>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</si>
  <si>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</si>
  <si>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</si>
  <si>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</si>
  <si>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</si>
  <si>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</si>
  <si>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</si>
  <si>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</si>
  <si>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</si>
  <si>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</si>
  <si>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</si>
  <si>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</si>
  <si>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</si>
  <si>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</si>
  <si>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</si>
  <si>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</si>
  <si>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</si>
  <si>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</si>
  <si>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</si>
  <si>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</si>
  <si>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</si>
  <si>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</si>
  <si>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</si>
  <si>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</si>
  <si>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</si>
  <si>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</si>
  <si>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</si>
  <si>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</si>
  <si>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</si>
  <si>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</si>
  <si>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</si>
  <si>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</si>
  <si>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</si>
  <si>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</si>
  <si>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</si>
  <si>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</si>
  <si>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</si>
  <si>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</si>
  <si>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</si>
  <si>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</si>
  <si>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</si>
  <si>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</si>
  <si>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</si>
  <si>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</si>
  <si>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</si>
  <si>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</si>
  <si>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</si>
  <si>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</si>
  <si>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</si>
  <si>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</si>
  <si>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</si>
  <si>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</si>
  <si>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</si>
  <si>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</si>
  <si>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</si>
  <si>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</si>
  <si>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</si>
  <si>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</si>
  <si>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</si>
  <si>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</si>
  <si>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</si>
  <si>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</si>
  <si>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</si>
  <si>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</si>
  <si>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</si>
  <si>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</si>
  <si>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</si>
  <si>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</si>
  <si>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</si>
  <si>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</si>
  <si>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</si>
  <si>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</si>
  <si>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</si>
  <si>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</si>
  <si>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</si>
  <si>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</si>
  <si>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</si>
  <si>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</si>
  <si>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</si>
  <si>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</si>
  <si>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</si>
  <si>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</si>
  <si>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</si>
  <si>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</si>
  <si>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</si>
  <si>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</si>
  <si>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</si>
  <si>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</si>
  <si>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</si>
  <si>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</si>
  <si>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</si>
  <si>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</si>
  <si>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</si>
  <si>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</si>
  <si>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</si>
  <si>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</si>
  <si>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</si>
  <si>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</si>
  <si>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</si>
  <si>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</si>
  <si>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</si>
  <si>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</si>
  <si>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</si>
  <si>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</si>
  <si>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</si>
  <si>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</si>
  <si>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</si>
  <si>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</si>
  <si>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</si>
  <si>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</si>
  <si>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</si>
  <si>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</si>
  <si>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</si>
  <si>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</si>
  <si>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</si>
  <si>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</si>
  <si>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</si>
  <si>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</si>
  <si>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</si>
  <si>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</si>
  <si>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</si>
  <si>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</si>
  <si>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</si>
  <si>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</si>
  <si>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</si>
  <si>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</si>
  <si>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</si>
  <si>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</si>
  <si>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</si>
  <si>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</si>
  <si>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</si>
  <si>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</si>
  <si>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</si>
  <si>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</si>
  <si>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</si>
  <si>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</si>
  <si>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</si>
  <si>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</si>
  <si>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</si>
  <si>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</si>
  <si>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</si>
  <si>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</si>
  <si>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</si>
  <si>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</si>
  <si>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</si>
  <si>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</si>
  <si>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</si>
  <si>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</si>
  <si>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</si>
  <si>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</si>
  <si>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</si>
  <si>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</si>
  <si>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</si>
  <si>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</si>
  <si>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</si>
  <si>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</si>
  <si>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</si>
  <si>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</si>
  <si>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</si>
  <si>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</si>
  <si>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</si>
  <si>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</si>
  <si>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</si>
  <si>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</si>
  <si>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</si>
  <si>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</si>
  <si>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</si>
  <si>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</si>
  <si>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</si>
  <si>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</si>
  <si>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</si>
  <si>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</si>
  <si>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</si>
  <si>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</si>
  <si>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</si>
  <si>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</si>
  <si>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</si>
  <si>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</si>
  <si>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</si>
  <si>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</si>
  <si>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</si>
  <si>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</si>
  <si>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</si>
  <si>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</si>
  <si>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</si>
  <si>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</si>
  <si>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</si>
  <si>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</si>
  <si>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</si>
  <si>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</si>
  <si>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</si>
  <si>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</si>
  <si>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</si>
  <si>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</si>
  <si>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</si>
  <si>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</si>
  <si>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</si>
  <si>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</si>
  <si>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</si>
  <si>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</si>
  <si>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</si>
  <si>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</si>
  <si>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</si>
  <si>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</si>
  <si>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</si>
  <si>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</si>
  <si>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</si>
  <si>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</si>
  <si>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</si>
  <si>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</si>
  <si>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</si>
  <si>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</si>
  <si>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</si>
  <si>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</si>
  <si>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</si>
  <si>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</si>
  <si>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</si>
  <si>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</si>
  <si>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</si>
  <si>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</si>
  <si>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</si>
  <si>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</si>
  <si>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</si>
  <si>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</si>
  <si>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</si>
  <si>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</si>
  <si>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</si>
  <si>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</si>
  <si>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</si>
  <si>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</si>
  <si>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</si>
  <si>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</si>
  <si>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</si>
  <si>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</si>
  <si>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</si>
  <si>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</si>
  <si>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</si>
  <si>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</si>
  <si>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</si>
  <si>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</si>
  <si>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</si>
  <si>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</si>
  <si>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</si>
  <si>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</si>
  <si>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</si>
  <si>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</si>
  <si>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</si>
  <si>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</si>
  <si>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</si>
  <si>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</si>
  <si>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</si>
  <si>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</si>
  <si>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</si>
  <si>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</si>
  <si>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</si>
  <si>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</si>
  <si>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</si>
  <si>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</si>
  <si>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</si>
  <si>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</si>
  <si>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</si>
  <si>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</si>
  <si>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</si>
  <si>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</si>
  <si>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</si>
  <si>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</si>
  <si>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</si>
  <si>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</si>
  <si>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</si>
  <si>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</si>
  <si>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</si>
  <si>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</si>
  <si>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</si>
  <si>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</si>
  <si>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</si>
  <si>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</si>
  <si>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</si>
  <si>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</si>
  <si>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</si>
  <si>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</si>
  <si>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</si>
  <si>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</si>
  <si>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</si>
  <si>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</si>
  <si>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</si>
  <si>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</si>
  <si>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</si>
  <si>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</si>
  <si>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</si>
  <si>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</si>
  <si>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</si>
  <si>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</si>
  <si>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</si>
  <si>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</si>
  <si>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</si>
  <si>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</si>
  <si>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</si>
  <si>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</si>
  <si>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</si>
  <si>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</si>
  <si>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</si>
  <si>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</si>
  <si>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</si>
  <si>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</si>
  <si>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</si>
  <si>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</si>
  <si>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</si>
  <si>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</si>
  <si>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</si>
  <si>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</si>
  <si>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</si>
  <si>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</si>
  <si>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</si>
  <si>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</si>
  <si>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</si>
  <si>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</si>
  <si>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</si>
  <si>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</si>
  <si>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</si>
  <si>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</si>
  <si>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</si>
  <si>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</si>
  <si>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</si>
  <si>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</si>
  <si>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</si>
  <si>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</si>
  <si>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</si>
  <si>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</si>
  <si>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</si>
  <si>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</si>
  <si>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</si>
  <si>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</si>
  <si>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</si>
  <si>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</si>
  <si>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</si>
  <si>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</si>
  <si>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</si>
  <si>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</si>
  <si>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</si>
  <si>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</si>
  <si>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</si>
  <si>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</si>
  <si>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</si>
  <si>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</si>
  <si>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</si>
  <si>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</si>
  <si>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</si>
  <si>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</si>
  <si>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</si>
  <si>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</si>
  <si>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</si>
  <si>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</si>
  <si>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</si>
  <si>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</si>
  <si>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</si>
  <si>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</si>
  <si>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</si>
  <si>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</si>
  <si>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</si>
  <si>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</si>
  <si>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</si>
  <si>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</si>
  <si>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</si>
  <si>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</si>
  <si>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</si>
  <si>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</si>
  <si>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</si>
  <si>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</si>
  <si>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</si>
  <si>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</si>
  <si>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</si>
  <si>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</si>
  <si>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</si>
  <si>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</si>
  <si>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</si>
  <si>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</si>
  <si>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</si>
  <si>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</si>
  <si>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</si>
  <si>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</si>
  <si>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</si>
  <si>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</si>
  <si>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</si>
  <si>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</si>
  <si>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</si>
  <si>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</si>
  <si>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</si>
  <si>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</si>
  <si>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</si>
  <si>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</si>
  <si>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</si>
  <si>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</si>
  <si>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</si>
  <si>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</si>
  <si>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</si>
  <si>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</si>
  <si>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</si>
  <si>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</si>
  <si>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</si>
  <si>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</si>
  <si>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</si>
  <si>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</si>
  <si>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</si>
  <si>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</si>
  <si>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</si>
  <si>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</si>
  <si>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</si>
  <si>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</si>
  <si>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</si>
  <si>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</si>
  <si>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</si>
  <si>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</si>
  <si>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</si>
  <si>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</si>
  <si>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</si>
  <si>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</si>
  <si>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</si>
  <si>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</si>
  <si>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</si>
  <si>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</si>
  <si>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</si>
  <si>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</si>
  <si>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</si>
  <si>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</si>
  <si>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</si>
  <si>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</si>
  <si>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</si>
  <si>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</si>
  <si>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</si>
  <si>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</si>
  <si>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</si>
  <si>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</si>
  <si>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</si>
  <si>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</si>
  <si>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</si>
  <si>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</si>
  <si>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</si>
  <si>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</si>
  <si>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</si>
  <si>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</si>
  <si>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</si>
  <si>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</si>
  <si>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</si>
  <si>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</si>
  <si>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</si>
  <si>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</si>
  <si>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</si>
  <si>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</si>
  <si>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</si>
  <si>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</si>
  <si>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</si>
  <si>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</si>
  <si>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</si>
  <si>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</si>
  <si>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</si>
  <si>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</si>
  <si>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</si>
  <si>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</si>
  <si>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</si>
  <si>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</si>
  <si>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</si>
  <si>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</si>
  <si>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</si>
  <si>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</si>
  <si>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</si>
  <si>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</si>
  <si>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</si>
  <si>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</si>
  <si>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</si>
  <si>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</si>
  <si>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</si>
  <si>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</si>
  <si>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</si>
  <si>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</si>
  <si>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</si>
  <si>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</si>
  <si>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</si>
  <si>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</si>
  <si>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</si>
  <si>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</si>
  <si>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</si>
  <si>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</si>
  <si>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</si>
  <si>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</si>
  <si>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</si>
  <si>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</si>
  <si>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</si>
  <si>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</si>
  <si>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</si>
  <si>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</si>
  <si>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</si>
  <si>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</si>
  <si>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</si>
  <si>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</si>
  <si>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</si>
  <si>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</si>
  <si>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</si>
  <si>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</si>
  <si>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</si>
  <si>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</si>
  <si>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</si>
  <si>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</si>
  <si>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</si>
  <si>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</si>
  <si>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</si>
  <si>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</si>
  <si>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</si>
  <si>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</si>
  <si>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</si>
  <si>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</si>
  <si>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</si>
  <si>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</si>
  <si>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</si>
  <si>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</si>
  <si>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</si>
  <si>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</si>
  <si>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</si>
  <si>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</si>
  <si>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</si>
  <si>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</si>
  <si>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</si>
  <si>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</si>
  <si>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</si>
  <si>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</si>
  <si>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</si>
  <si>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</si>
  <si>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</si>
  <si>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</si>
  <si>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</si>
  <si>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</si>
  <si>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</si>
  <si>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</si>
  <si>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</si>
  <si>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</si>
  <si>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</si>
  <si>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</si>
  <si>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</si>
  <si>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</si>
  <si>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</si>
  <si>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</si>
  <si>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</si>
  <si>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</si>
  <si>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</si>
  <si>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</si>
  <si>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</si>
  <si>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</si>
  <si>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</si>
  <si>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</si>
  <si>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</si>
  <si>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</si>
  <si>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</si>
  <si>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</si>
  <si>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</si>
  <si>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</si>
  <si>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</si>
  <si>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</si>
  <si>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</si>
  <si>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</si>
  <si>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</si>
  <si>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</si>
  <si>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</si>
  <si>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</si>
  <si>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</si>
  <si>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</si>
  <si>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</si>
  <si>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</si>
  <si>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</si>
  <si>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</si>
  <si>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</si>
  <si>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</si>
  <si>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</si>
  <si>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</si>
  <si>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</si>
  <si>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</si>
  <si>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</si>
  <si>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</si>
  <si>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</si>
  <si>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</si>
  <si>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</si>
  <si>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</si>
  <si>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</si>
  <si>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</si>
  <si>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</si>
  <si>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</si>
  <si>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</si>
  <si>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</si>
  <si>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</si>
  <si>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</si>
  <si>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</si>
  <si>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</si>
  <si>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</si>
  <si>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</si>
  <si>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</si>
  <si>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</si>
  <si>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</si>
  <si>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</si>
  <si>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</si>
  <si>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</si>
  <si>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</si>
  <si>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</si>
  <si>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</si>
  <si>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</si>
  <si>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</si>
  <si>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</si>
  <si>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</si>
  <si>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</si>
  <si>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</si>
  <si>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</si>
  <si>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</si>
  <si>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</si>
  <si>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</si>
  <si>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</si>
  <si>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</si>
  <si>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</si>
  <si>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</si>
  <si>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</si>
  <si>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</si>
  <si>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</si>
  <si>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</si>
  <si>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</si>
  <si>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</si>
  <si>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</si>
  <si>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</si>
  <si>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</si>
  <si>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</si>
  <si>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</si>
  <si>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</si>
  <si>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</si>
  <si>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</si>
  <si>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</si>
  <si>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</si>
  <si>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</si>
  <si>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</si>
  <si>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</si>
  <si>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</si>
  <si>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</si>
  <si>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</si>
  <si>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</si>
  <si>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</si>
  <si>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</si>
  <si>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</si>
  <si>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</si>
  <si>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</si>
  <si>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</si>
  <si>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</si>
  <si>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</si>
  <si>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</si>
  <si>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</si>
  <si>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</si>
  <si>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</si>
  <si>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</si>
  <si>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</si>
  <si>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</si>
  <si>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</si>
  <si>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</si>
  <si>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</si>
  <si>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</si>
  <si>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</si>
  <si>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</si>
  <si>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</si>
  <si>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</si>
  <si>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</si>
  <si>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</si>
  <si>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</si>
  <si>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</si>
  <si>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</si>
  <si>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</si>
  <si>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</si>
  <si>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</si>
  <si>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</si>
  <si>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</si>
  <si>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</si>
  <si>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</si>
  <si>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</si>
  <si>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</si>
  <si>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</si>
  <si>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</si>
  <si>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</si>
  <si>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</si>
  <si>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</si>
  <si>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</si>
  <si>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</si>
  <si>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</si>
  <si>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</si>
  <si>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</si>
  <si>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</si>
  <si>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</si>
  <si>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</si>
  <si>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</si>
  <si>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</si>
  <si>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</si>
  <si>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</si>
  <si>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</si>
  <si>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</si>
  <si>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</si>
  <si>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</si>
  <si>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</si>
  <si>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</si>
  <si>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</si>
  <si>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</si>
  <si>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</si>
  <si>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</si>
  <si>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</si>
  <si>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</si>
  <si>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</si>
  <si>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</si>
  <si>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</si>
  <si>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</si>
  <si>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</si>
  <si>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</si>
  <si>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</si>
  <si>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</si>
  <si>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</si>
  <si>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</si>
  <si>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</si>
  <si>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</si>
  <si>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</si>
  <si>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</si>
  <si>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</si>
  <si>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</si>
  <si>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</si>
  <si>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</si>
  <si>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</si>
  <si>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</si>
  <si>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</si>
  <si>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</si>
  <si>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</si>
  <si>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</si>
  <si>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</si>
  <si>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</si>
  <si>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</si>
  <si>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</si>
  <si>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</si>
  <si>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</si>
  <si>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</si>
  <si>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</si>
  <si>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</si>
  <si>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</si>
  <si>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</si>
  <si>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</si>
  <si>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</si>
  <si>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</si>
  <si>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</si>
  <si>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</si>
  <si>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</si>
  <si>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</si>
  <si>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</si>
  <si>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</si>
  <si>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</si>
  <si>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</si>
  <si>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</si>
  <si>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</si>
  <si>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</si>
  <si>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</si>
  <si>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</si>
  <si>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</si>
  <si>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</si>
  <si>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</si>
  <si>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</si>
  <si>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</si>
  <si>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</si>
  <si>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</si>
  <si>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</si>
  <si>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</si>
  <si>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</si>
  <si>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</si>
  <si>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</si>
  <si>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</si>
  <si>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</si>
  <si>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</si>
  <si>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</si>
  <si>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</si>
  <si>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</si>
  <si>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</si>
  <si>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</si>
  <si>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</si>
  <si>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</si>
  <si>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</si>
  <si>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</si>
  <si>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</si>
  <si>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</si>
  <si>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</si>
  <si>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</si>
  <si>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</si>
  <si>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</si>
  <si>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</si>
  <si>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</si>
  <si>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</si>
  <si>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</si>
  <si>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</si>
  <si>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</si>
  <si>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</si>
  <si>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</si>
  <si>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</si>
  <si>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</si>
  <si>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</si>
  <si>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</si>
  <si>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</si>
  <si>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</si>
  <si>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</si>
  <si>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</si>
  <si>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</si>
  <si>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</si>
  <si>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</si>
  <si>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</si>
  <si>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</si>
  <si>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</si>
  <si>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</si>
  <si>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</si>
  <si>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</si>
  <si>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</si>
  <si>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</si>
  <si>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</si>
  <si>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</si>
  <si>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</si>
  <si>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</si>
  <si>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</si>
  <si>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</si>
  <si>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</si>
  <si>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</si>
  <si>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</si>
  <si>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</si>
  <si>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</si>
  <si>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</si>
  <si>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</si>
  <si>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</si>
  <si>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</si>
  <si>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</si>
  <si>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</si>
  <si>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</si>
  <si>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</si>
  <si>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</si>
  <si>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</si>
  <si>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</si>
  <si>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</si>
  <si>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</si>
  <si>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</si>
  <si>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</si>
  <si>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</si>
  <si>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</si>
  <si>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</si>
  <si>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</si>
  <si>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</si>
  <si>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</si>
  <si>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</si>
  <si>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</si>
  <si>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</si>
  <si>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</si>
  <si>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</si>
  <si>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</si>
  <si>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</si>
  <si>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</si>
  <si>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</si>
  <si>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</si>
  <si>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</si>
  <si>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</si>
  <si>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</si>
  <si>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</si>
  <si>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</si>
  <si>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</si>
  <si>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</si>
  <si>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</si>
  <si>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</si>
  <si>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</si>
  <si>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</si>
  <si>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</si>
  <si>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</si>
  <si>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</si>
  <si>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</si>
  <si>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</si>
  <si>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</si>
  <si>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</si>
  <si>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</si>
  <si>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</si>
  <si>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</si>
  <si>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</si>
  <si>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</si>
  <si>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</si>
  <si>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</si>
  <si>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</si>
  <si>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</si>
  <si>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</si>
  <si>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</si>
  <si>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</si>
  <si>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</si>
  <si>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</si>
  <si>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</si>
  <si>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</si>
  <si>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</si>
  <si>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</si>
  <si>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</si>
  <si>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</si>
  <si>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</si>
  <si>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</si>
  <si>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</si>
  <si>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</si>
  <si>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</si>
  <si>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</si>
  <si>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</si>
  <si>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</si>
  <si>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</si>
  <si>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</si>
  <si>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</si>
  <si>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</si>
  <si>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</si>
  <si>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</si>
  <si>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</si>
  <si>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</si>
  <si>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</si>
  <si>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</si>
  <si>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</si>
  <si>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</si>
  <si>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</si>
  <si>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</si>
  <si>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</si>
  <si>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</si>
  <si>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</si>
  <si>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</si>
  <si>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</si>
  <si>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</si>
  <si>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</si>
  <si>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</si>
  <si>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</si>
  <si>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</si>
  <si>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</si>
  <si>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</si>
  <si>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</si>
  <si>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</si>
  <si>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</si>
  <si>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</si>
  <si>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</si>
  <si>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</si>
  <si>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</si>
  <si>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</si>
  <si>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</si>
  <si>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</si>
  <si>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</si>
  <si>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</si>
  <si>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</si>
  <si>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</si>
  <si>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</si>
  <si>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</si>
  <si>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</si>
  <si>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</si>
  <si>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</si>
  <si>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</si>
  <si>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</si>
  <si>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</si>
  <si>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</si>
  <si>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</si>
  <si>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</si>
  <si>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</si>
  <si>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Jackson/Williamson</t>
  </si>
  <si>
    <t>Giant City Consolidated School District #130</t>
  </si>
  <si>
    <t>1062 Boskeydell Road</t>
  </si>
  <si>
    <t>Carbondale</t>
  </si>
  <si>
    <t>bhill@gcs130.org</t>
  </si>
  <si>
    <t>Mrs. Belinda Hill</t>
  </si>
  <si>
    <t>618-457-5391</t>
  </si>
  <si>
    <t>618-549-5060</t>
  </si>
  <si>
    <t>Kujawa &amp; Batteau, P.C.</t>
  </si>
  <si>
    <t>Kevin Batteau</t>
  </si>
  <si>
    <t>309 S. Walnut Street</t>
  </si>
  <si>
    <t>Pinckneyville</t>
  </si>
  <si>
    <t>IL</t>
  </si>
  <si>
    <t>618-357-3000</t>
  </si>
  <si>
    <t>618-357-3654</t>
  </si>
  <si>
    <t>kbatteau@kandb-cpa.com</t>
  </si>
  <si>
    <t>General Obligation Refunding Bonds Series 2016</t>
  </si>
  <si>
    <t>Tri County Special Education Services</t>
  </si>
  <si>
    <t>10-2660-310</t>
  </si>
  <si>
    <t>Computer Repair/Data Proc.</t>
  </si>
  <si>
    <t>Quality Network Solutions</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</si>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</sst>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400050</xdr:colOff>
          <xdr:row>3</xdr:row>
          <xdr:rowOff>38100</xdr:rowOff>
        </xdr:from>
        <xdr:to>
          <xdr:col>1</xdr:col>
          <xdr:colOff>1314450</xdr:colOff>
          <xdr:row>7</xdr:row>
          <xdr:rowOff>76200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18813BD-23A7-4D6E-AA5A-943C0F2A498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7"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30039130004</v>
      </c>
      <c r="B13" s="2037"/>
      <c r="C13" s="2037"/>
      <c r="D13" s="2037"/>
      <c r="E13" s="2037"/>
      <c r="F13" s="2037"/>
      <c r="G13" s="2037"/>
      <c r="H13" s="2038"/>
      <c r="I13" s="31"/>
      <c r="J13" s="30"/>
      <c r="K13" s="28"/>
      <c r="L13" s="30"/>
      <c r="M13" s="30"/>
      <c r="N13" s="30"/>
      <c r="O13" s="30"/>
      <c r="P13" s="30"/>
      <c r="Q13" s="30"/>
      <c r="R13" s="30"/>
      <c r="S13" s="30"/>
      <c r="T13" s="2041" t="s">
        <v>2086</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2078</v>
      </c>
      <c r="B15" s="2039"/>
      <c r="C15" s="2039"/>
      <c r="D15" s="2039"/>
      <c r="E15" s="2039"/>
      <c r="F15" s="2039"/>
      <c r="G15" s="2039"/>
      <c r="H15" s="2040"/>
      <c r="T15" s="2045" t="s">
        <v>2087</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2079</v>
      </c>
      <c r="B17" s="1996"/>
      <c r="C17" s="1996"/>
      <c r="D17" s="1996"/>
      <c r="E17" s="1996"/>
      <c r="F17" s="1996"/>
      <c r="G17" s="1996"/>
      <c r="H17" s="2021"/>
      <c r="T17" s="2052" t="s">
        <v>2088</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2080</v>
      </c>
      <c r="B19" s="1981"/>
      <c r="C19" s="1981"/>
      <c r="D19" s="1981"/>
      <c r="E19" s="1981"/>
      <c r="F19" s="1981"/>
      <c r="G19" s="1981"/>
      <c r="H19" s="1961"/>
      <c r="I19" s="30"/>
      <c r="J19" s="99"/>
      <c r="K19" s="40"/>
      <c r="L19" s="38"/>
      <c r="M19" s="112" t="s">
        <v>333</v>
      </c>
      <c r="P19" s="27"/>
      <c r="Q19" s="27"/>
      <c r="R19" s="27"/>
      <c r="S19" s="31"/>
      <c r="T19" s="2035" t="s">
        <v>2089</v>
      </c>
      <c r="U19" s="1960"/>
      <c r="V19" s="1960"/>
      <c r="W19" s="1961"/>
      <c r="X19" s="2050" t="s">
        <v>2090</v>
      </c>
      <c r="Y19" s="2051"/>
      <c r="Z19" s="2048">
        <v>62274</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2081</v>
      </c>
      <c r="B21" s="1960"/>
      <c r="C21" s="1960"/>
      <c r="D21" s="1960"/>
      <c r="E21" s="1960"/>
      <c r="F21" s="1960"/>
      <c r="G21" s="1960"/>
      <c r="H21" s="1961"/>
      <c r="I21" s="2015" t="s">
        <v>699</v>
      </c>
      <c r="J21" s="2010"/>
      <c r="K21" s="2010"/>
      <c r="L21" s="2010"/>
      <c r="M21" s="2010"/>
      <c r="N21" s="2010"/>
      <c r="O21" s="2010"/>
      <c r="P21" s="2010"/>
      <c r="Q21" s="2010"/>
      <c r="R21" s="2010"/>
      <c r="S21" s="2016"/>
      <c r="T21" s="2059" t="s">
        <v>2091</v>
      </c>
      <c r="U21" s="2060"/>
      <c r="V21" s="2060"/>
      <c r="W21" s="2060"/>
      <c r="X21" s="2065" t="s">
        <v>2092</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2082</v>
      </c>
      <c r="B23" s="2013"/>
      <c r="C23" s="2013"/>
      <c r="D23" s="2013"/>
      <c r="E23" s="2013"/>
      <c r="F23" s="2013"/>
      <c r="G23" s="2013"/>
      <c r="H23" s="2014"/>
      <c r="T23" s="1995">
        <v>65.028419999999997</v>
      </c>
      <c r="U23" s="2058"/>
      <c r="V23" s="2058"/>
      <c r="W23" s="2058"/>
      <c r="X23" s="2062">
        <v>43373</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62902</v>
      </c>
      <c r="B25" s="1960"/>
      <c r="C25" s="1960"/>
      <c r="D25" s="1960"/>
      <c r="E25" s="1960"/>
      <c r="F25" s="1960"/>
      <c r="G25" s="1960"/>
      <c r="H25" s="1961"/>
      <c r="I25" s="113"/>
      <c r="J25" s="1984"/>
      <c r="K25" s="1984"/>
      <c r="L25" s="1984"/>
      <c r="M25" s="1984"/>
      <c r="N25" s="1984"/>
      <c r="O25" s="1984"/>
      <c r="P25" s="1984"/>
      <c r="Q25" s="1984"/>
      <c r="R25" s="1984"/>
      <c r="S25" s="1985"/>
      <c r="T25" s="2055" t="s">
        <v>2093</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2083</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2082</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2084</v>
      </c>
      <c r="B42" s="1979"/>
      <c r="C42" s="1980"/>
      <c r="D42" s="1978" t="s">
        <v>2085</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&amp;L&amp;8"The notes are an Integral part of these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4" colorId="8" zoomScale="110" zoomScaleNormal="110" workbookViewId="0">
      <selection activeCell="A31" sqref="A30:A31"/>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2037</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682561</v>
      </c>
      <c r="C4" s="1546"/>
      <c r="D4" s="1774">
        <f>B4-C4</f>
        <v>682561</v>
      </c>
      <c r="E4" s="1546">
        <f>622378.14+83877.18</f>
        <v>706255.32000000007</v>
      </c>
      <c r="F4" s="1774">
        <f>E4-C4</f>
        <v>706255.32000000007</v>
      </c>
    </row>
    <row r="5" spans="1:6" ht="13.7" customHeight="1" x14ac:dyDescent="0.2">
      <c r="A5" s="716" t="s">
        <v>925</v>
      </c>
      <c r="B5" s="1772">
        <f>'Revenues 9-14'!D5</f>
        <v>124776</v>
      </c>
      <c r="C5" s="585"/>
      <c r="D5" s="1775">
        <f t="shared" ref="D5:D18" si="0">B5-C5</f>
        <v>124776</v>
      </c>
      <c r="E5" s="585">
        <f>115328.55+15382.61</f>
        <v>130711.16</v>
      </c>
      <c r="F5" s="1775">
        <f>E5-C5</f>
        <v>130711.16</v>
      </c>
    </row>
    <row r="6" spans="1:6" ht="13.7" customHeight="1" x14ac:dyDescent="0.2">
      <c r="A6" s="716" t="s">
        <v>431</v>
      </c>
      <c r="B6" s="1772">
        <f>'Revenues 9-14'!E5</f>
        <v>138575</v>
      </c>
      <c r="C6" s="585"/>
      <c r="D6" s="1775">
        <f t="shared" si="0"/>
        <v>138575</v>
      </c>
      <c r="E6" s="585">
        <f>124732.12+17192.77</f>
        <v>141924.88999999998</v>
      </c>
      <c r="F6" s="1775">
        <f t="shared" ref="F6:F18" si="1">E6-C6</f>
        <v>141924.88999999998</v>
      </c>
    </row>
    <row r="7" spans="1:6" ht="13.7" customHeight="1" x14ac:dyDescent="0.2">
      <c r="A7" s="716" t="s">
        <v>157</v>
      </c>
      <c r="B7" s="1772">
        <f>'Revenues 9-14'!F5</f>
        <v>68041</v>
      </c>
      <c r="C7" s="585"/>
      <c r="D7" s="1775">
        <f t="shared" si="0"/>
        <v>68041</v>
      </c>
      <c r="E7" s="585">
        <f>9404.67+70513.56</f>
        <v>79918.23</v>
      </c>
      <c r="F7" s="1775">
        <f t="shared" si="1"/>
        <v>79918.23</v>
      </c>
    </row>
    <row r="8" spans="1:6" ht="13.7" customHeight="1" x14ac:dyDescent="0.2">
      <c r="A8" s="716" t="s">
        <v>1241</v>
      </c>
      <c r="B8" s="1772">
        <f>'Revenues 9-14'!G5</f>
        <v>33023</v>
      </c>
      <c r="C8" s="585"/>
      <c r="D8" s="1775">
        <f t="shared" si="0"/>
        <v>33023</v>
      </c>
      <c r="E8" s="585">
        <f>3562.7+26717</f>
        <v>30279.7</v>
      </c>
      <c r="F8" s="1775">
        <f t="shared" si="1"/>
        <v>30279.7</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3238</v>
      </c>
      <c r="C10" s="585"/>
      <c r="D10" s="1775">
        <f t="shared" si="0"/>
        <v>3238</v>
      </c>
      <c r="E10" s="585">
        <f>2356.6+37.72</f>
        <v>2394.3199999999997</v>
      </c>
      <c r="F10" s="1775">
        <f t="shared" si="1"/>
        <v>2394.3199999999997</v>
      </c>
    </row>
    <row r="11" spans="1:6" x14ac:dyDescent="0.2">
      <c r="A11" s="716" t="s">
        <v>429</v>
      </c>
      <c r="B11" s="1772">
        <f>'Revenues 9-14'!J5</f>
        <v>150247</v>
      </c>
      <c r="C11" s="585"/>
      <c r="D11" s="1775">
        <f t="shared" si="0"/>
        <v>150247</v>
      </c>
      <c r="E11" s="585">
        <f>131246.35+17505.67</f>
        <v>148752.02000000002</v>
      </c>
      <c r="F11" s="1775">
        <f t="shared" si="1"/>
        <v>148752.02000000002</v>
      </c>
    </row>
    <row r="12" spans="1:6" ht="13.7" customHeight="1" x14ac:dyDescent="0.2">
      <c r="A12" s="716" t="s">
        <v>159</v>
      </c>
      <c r="B12" s="1772">
        <f>'Revenues 9-14'!K5</f>
        <v>29111</v>
      </c>
      <c r="C12" s="585"/>
      <c r="D12" s="1775">
        <f t="shared" si="0"/>
        <v>29111</v>
      </c>
      <c r="E12" s="585">
        <f>2541.61+19059.86</f>
        <v>21601.47</v>
      </c>
      <c r="F12" s="1775">
        <f t="shared" si="1"/>
        <v>21601.47</v>
      </c>
    </row>
    <row r="13" spans="1:6" ht="13.7" customHeight="1" x14ac:dyDescent="0.2">
      <c r="A13" s="716" t="s">
        <v>993</v>
      </c>
      <c r="B13" s="1772">
        <f>SUM('Revenues 9-14'!C6:D6)</f>
        <v>11810</v>
      </c>
      <c r="C13" s="585"/>
      <c r="D13" s="1775">
        <f t="shared" si="0"/>
        <v>11810</v>
      </c>
      <c r="E13" s="585">
        <f>2541.61+11885.54</f>
        <v>14427.150000000001</v>
      </c>
      <c r="F13" s="1775">
        <f t="shared" si="1"/>
        <v>14427.150000000001</v>
      </c>
    </row>
    <row r="14" spans="1:6" ht="13.7" customHeight="1" x14ac:dyDescent="0.2">
      <c r="A14" s="716" t="s">
        <v>430</v>
      </c>
      <c r="B14" s="1772">
        <f>SUM('Revenues 9-14'!C7:D7,'Revenues 9-14'!F7:H7)</f>
        <v>13487</v>
      </c>
      <c r="C14" s="585"/>
      <c r="D14" s="1775">
        <f t="shared" si="0"/>
        <v>13487</v>
      </c>
      <c r="E14" s="585">
        <f>1662.56+15087.95</f>
        <v>16750.510000000002</v>
      </c>
      <c r="F14" s="1775">
        <f t="shared" si="1"/>
        <v>16750.510000000002</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46813</v>
      </c>
      <c r="C16" s="585"/>
      <c r="D16" s="1775">
        <f t="shared" si="0"/>
        <v>46813</v>
      </c>
      <c r="E16" s="585">
        <f>5771.19+43272.25</f>
        <v>49043.44</v>
      </c>
      <c r="F16" s="1775">
        <f t="shared" si="1"/>
        <v>49043.44</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1301682</v>
      </c>
      <c r="C19" s="1773">
        <f>SUM(C4:C18)</f>
        <v>0</v>
      </c>
      <c r="D19" s="1773">
        <f>SUM(D4:D18)</f>
        <v>1301682</v>
      </c>
      <c r="E19" s="1773">
        <f>SUM(E4:E18)</f>
        <v>1342058.21</v>
      </c>
      <c r="F19" s="1773">
        <f>SUM(F4:F18)</f>
        <v>1342058.21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&amp;L&amp;8"The notes are an Integral part of these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view="pageLayout" topLeftCell="A22" colorId="8" zoomScaleNormal="110" workbookViewId="0">
      <selection activeCell="A54" sqref="A5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9" t="s">
        <v>2038</v>
      </c>
      <c r="D2" s="724" t="s">
        <v>2045</v>
      </c>
      <c r="E2" s="724" t="s">
        <v>2046</v>
      </c>
      <c r="F2" s="1909" t="s">
        <v>2039</v>
      </c>
    </row>
    <row r="3" spans="1:7" ht="15.75" customHeight="1" x14ac:dyDescent="0.2">
      <c r="A3" s="2230" t="s">
        <v>1176</v>
      </c>
      <c r="B3" s="2231"/>
      <c r="C3" s="2224"/>
      <c r="D3" s="2225"/>
      <c r="E3" s="2225"/>
      <c r="F3" s="2226"/>
    </row>
    <row r="4" spans="1:7" ht="12.75" customHeight="1" thickBot="1" x14ac:dyDescent="0.25">
      <c r="A4" s="2218" t="s">
        <v>651</v>
      </c>
      <c r="B4" s="2219"/>
      <c r="C4" s="581">
        <v>0</v>
      </c>
      <c r="D4" s="581">
        <v>0</v>
      </c>
      <c r="E4" s="581">
        <v>0</v>
      </c>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2094</v>
      </c>
      <c r="B31" s="734">
        <v>42597</v>
      </c>
      <c r="C31" s="735">
        <v>1205000</v>
      </c>
      <c r="D31" s="736">
        <v>3</v>
      </c>
      <c r="E31" s="735">
        <v>1180000</v>
      </c>
      <c r="F31" s="735"/>
      <c r="G31" s="735"/>
      <c r="H31" s="735">
        <v>120000</v>
      </c>
      <c r="I31" s="1778">
        <f>((E31+F31)-H31)+G31</f>
        <v>1060000</v>
      </c>
      <c r="J31" s="735">
        <v>1045051</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1205000</v>
      </c>
      <c r="D49" s="746"/>
      <c r="E49" s="1778">
        <f t="shared" ref="E49:J49" si="2">SUM(E31:E48)</f>
        <v>1180000</v>
      </c>
      <c r="F49" s="1778">
        <f t="shared" si="2"/>
        <v>0</v>
      </c>
      <c r="G49" s="1778">
        <f t="shared" si="2"/>
        <v>0</v>
      </c>
      <c r="H49" s="1778">
        <f t="shared" si="2"/>
        <v>120000</v>
      </c>
      <c r="I49" s="1778">
        <f t="shared" si="2"/>
        <v>1060000</v>
      </c>
      <c r="J49" s="1778">
        <f t="shared" si="2"/>
        <v>1045051</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disablePrompts="1"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&amp;L&amp;8"The notes are an Integral part of these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view="pageLayout" topLeftCell="A16" colorId="8" zoomScaleNormal="110" workbookViewId="0">
      <selection activeCell="E49" sqref="E4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v>0</v>
      </c>
      <c r="H3" s="765">
        <v>0</v>
      </c>
      <c r="I3" s="765">
        <v>0</v>
      </c>
      <c r="J3" s="766">
        <v>0</v>
      </c>
      <c r="K3" s="766">
        <v>0</v>
      </c>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13487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13487</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13487</v>
      </c>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13487</v>
      </c>
      <c r="I23" s="1780">
        <f>SUM(I14:I16,I21,I22)</f>
        <v>0</v>
      </c>
      <c r="J23" s="1780">
        <f>SUM(J14:J16,J21,J22)</f>
        <v>0</v>
      </c>
      <c r="K23" s="1780">
        <f>SUM(K14:K16,K21,K22)</f>
        <v>0</v>
      </c>
    </row>
    <row r="24" spans="1:11" ht="14.25" thickTop="1" thickBot="1" x14ac:dyDescent="0.25">
      <c r="A24" s="2266" t="s">
        <v>2026</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&amp;L&amp;8"The notes are an Integral part of these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view="pageLayout" colorId="8" zoomScaleNormal="110" workbookViewId="0">
      <selection activeCell="A36" sqref="A3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2035</v>
      </c>
      <c r="B1" s="2272"/>
      <c r="C1" s="2273"/>
      <c r="D1" s="827"/>
      <c r="E1" s="828"/>
      <c r="F1" s="828"/>
      <c r="G1" s="829"/>
      <c r="H1" s="830"/>
      <c r="I1" s="831"/>
      <c r="J1" s="2269"/>
      <c r="K1" s="2270"/>
      <c r="L1" s="2270"/>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331206</v>
      </c>
      <c r="D5" s="842"/>
      <c r="E5" s="842"/>
      <c r="F5" s="1782">
        <f>(C5+D5)-E5</f>
        <v>331206</v>
      </c>
      <c r="G5" s="838"/>
      <c r="H5" s="843"/>
      <c r="I5" s="843"/>
      <c r="J5" s="843"/>
      <c r="K5" s="794"/>
      <c r="L5" s="1791">
        <f>F5-K5</f>
        <v>331206</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2983251</v>
      </c>
      <c r="D8" s="845"/>
      <c r="E8" s="845"/>
      <c r="F8" s="1782">
        <f>(C8+D8)-E8</f>
        <v>2983251</v>
      </c>
      <c r="G8" s="844">
        <v>50</v>
      </c>
      <c r="H8" s="766">
        <v>1120757</v>
      </c>
      <c r="I8" s="766">
        <v>59665</v>
      </c>
      <c r="J8" s="766"/>
      <c r="K8" s="1791">
        <f>(H8+I8)-J8</f>
        <v>1180422</v>
      </c>
      <c r="L8" s="1791">
        <f>F8-K8</f>
        <v>1802829</v>
      </c>
    </row>
    <row r="9" spans="1:14" ht="14.25" thickTop="1" thickBot="1" x14ac:dyDescent="0.25">
      <c r="A9" s="779" t="s">
        <v>1181</v>
      </c>
      <c r="B9" s="841">
        <v>232</v>
      </c>
      <c r="C9" s="766"/>
      <c r="D9" s="766"/>
      <c r="E9" s="766"/>
      <c r="F9" s="1782">
        <f>(C9+D9)-E9</f>
        <v>0</v>
      </c>
      <c r="G9" s="844">
        <v>20</v>
      </c>
      <c r="H9" s="766">
        <v>0</v>
      </c>
      <c r="I9" s="766"/>
      <c r="J9" s="766"/>
      <c r="K9" s="1791">
        <f>(H9+I9)-J9</f>
        <v>0</v>
      </c>
      <c r="L9" s="1791">
        <f>F9-K9</f>
        <v>0</v>
      </c>
    </row>
    <row r="10" spans="1:14" ht="24" thickTop="1" thickBot="1" x14ac:dyDescent="0.25">
      <c r="A10" s="846" t="s">
        <v>1182</v>
      </c>
      <c r="B10" s="841">
        <v>240</v>
      </c>
      <c r="C10" s="847">
        <v>384474</v>
      </c>
      <c r="D10" s="847">
        <v>9832</v>
      </c>
      <c r="E10" s="847"/>
      <c r="F10" s="1786">
        <f>(C10+D10)-E10</f>
        <v>394306</v>
      </c>
      <c r="G10" s="844">
        <v>20</v>
      </c>
      <c r="H10" s="848">
        <v>84377</v>
      </c>
      <c r="I10" s="848">
        <v>19715</v>
      </c>
      <c r="J10" s="848"/>
      <c r="K10" s="1791">
        <f>(H10+I10)-J10</f>
        <v>104092</v>
      </c>
      <c r="L10" s="1791">
        <f>F10-K10</f>
        <v>290214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278977</v>
      </c>
      <c r="D12" s="845"/>
      <c r="E12" s="845"/>
      <c r="F12" s="1782">
        <f>(C12+D12)-E12</f>
        <v>278977</v>
      </c>
      <c r="G12" s="844">
        <v>10</v>
      </c>
      <c r="H12" s="766">
        <v>278977</v>
      </c>
      <c r="I12" s="766"/>
      <c r="J12" s="766"/>
      <c r="K12" s="1791">
        <f>(H12+I12)-J12</f>
        <v>278977</v>
      </c>
      <c r="L12" s="1791">
        <f>F12-K12</f>
        <v>0</v>
      </c>
    </row>
    <row r="13" spans="1:14" ht="14.25" thickTop="1" thickBot="1" x14ac:dyDescent="0.25">
      <c r="A13" s="849" t="s">
        <v>1184</v>
      </c>
      <c r="B13" s="841">
        <v>252</v>
      </c>
      <c r="C13" s="845">
        <v>80146</v>
      </c>
      <c r="D13" s="845">
        <v>35607</v>
      </c>
      <c r="E13" s="845"/>
      <c r="F13" s="1782">
        <f>(C13+D13)-E13</f>
        <v>115753</v>
      </c>
      <c r="G13" s="844">
        <v>5</v>
      </c>
      <c r="H13" s="766">
        <v>41778</v>
      </c>
      <c r="I13" s="766">
        <v>20894</v>
      </c>
      <c r="J13" s="766"/>
      <c r="K13" s="1791">
        <f>(H13+I13)-J13</f>
        <v>62672</v>
      </c>
      <c r="L13" s="1791">
        <f>F13-K13</f>
        <v>53081</v>
      </c>
    </row>
    <row r="14" spans="1:14" ht="14.25" thickTop="1" thickBot="1" x14ac:dyDescent="0.25">
      <c r="A14" s="849" t="s">
        <v>1185</v>
      </c>
      <c r="B14" s="841">
        <v>253</v>
      </c>
      <c r="C14" s="766">
        <v>0</v>
      </c>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0</v>
      </c>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4058054</v>
      </c>
      <c r="D16" s="1782">
        <f>SUM(D3,D5:D6,D8:D10,D12:D15)</f>
        <v>45439</v>
      </c>
      <c r="E16" s="1782">
        <f>SUM(E3,E5:E6,E8:E10,E12:E15)</f>
        <v>0</v>
      </c>
      <c r="F16" s="1782">
        <f>SUM(F3,F5:F6,F8:F10,F12:F15)</f>
        <v>4103493</v>
      </c>
      <c r="G16" s="844"/>
      <c r="H16" s="1782">
        <f>SUM(H3,H6,H8:H10,H12:H14,)</f>
        <v>1525889</v>
      </c>
      <c r="I16" s="1782">
        <f>SUM(I3,I6,I8:I10,I12:I14,)</f>
        <v>100274</v>
      </c>
      <c r="J16" s="1782">
        <f>SUM(J3,J6,J8:J10,J12:J14,)</f>
        <v>0</v>
      </c>
      <c r="K16" s="1782">
        <f>(H16+I16)-J16</f>
        <v>1626163</v>
      </c>
      <c r="L16" s="1782">
        <f>F16-K16</f>
        <v>2477330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100274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&amp;L&amp;8"The notes are an Integral part of these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topLeftCell="A67" colorId="8" zoomScale="110" zoomScaleNormal="110" workbookViewId="0">
      <selection activeCell="J69" sqref="J6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1642164</v>
      </c>
      <c r="G8" s="866"/>
    </row>
    <row r="9" spans="1:7" x14ac:dyDescent="0.2">
      <c r="A9" s="870" t="s">
        <v>480</v>
      </c>
      <c r="B9" s="871" t="s">
        <v>1989</v>
      </c>
      <c r="C9" s="872"/>
      <c r="D9" s="870" t="s">
        <v>522</v>
      </c>
      <c r="E9" s="869"/>
      <c r="F9" s="1935">
        <f>'Expenditures 15-22'!K151</f>
        <v>128534</v>
      </c>
      <c r="G9" s="873"/>
    </row>
    <row r="10" spans="1:7" x14ac:dyDescent="0.2">
      <c r="A10" s="870" t="s">
        <v>520</v>
      </c>
      <c r="B10" s="871" t="s">
        <v>1990</v>
      </c>
      <c r="C10" s="872"/>
      <c r="D10" s="870" t="s">
        <v>522</v>
      </c>
      <c r="E10" s="869"/>
      <c r="F10" s="1935">
        <f>'Expenditures 15-22'!K174</f>
        <v>142517</v>
      </c>
      <c r="G10" s="873"/>
    </row>
    <row r="11" spans="1:7" x14ac:dyDescent="0.2">
      <c r="A11" s="870" t="s">
        <v>481</v>
      </c>
      <c r="B11" s="871" t="s">
        <v>1991</v>
      </c>
      <c r="C11" s="872"/>
      <c r="D11" s="870" t="s">
        <v>522</v>
      </c>
      <c r="E11" s="869"/>
      <c r="F11" s="1935">
        <f>'Expenditures 15-22'!K210</f>
        <v>101968</v>
      </c>
      <c r="G11" s="873"/>
    </row>
    <row r="12" spans="1:7" x14ac:dyDescent="0.2">
      <c r="A12" s="870" t="s">
        <v>482</v>
      </c>
      <c r="B12" s="871" t="s">
        <v>1992</v>
      </c>
      <c r="C12" s="872"/>
      <c r="D12" s="870" t="s">
        <v>522</v>
      </c>
      <c r="E12" s="869"/>
      <c r="F12" s="1935">
        <f>'Expenditures 15-22'!K295</f>
        <v>64977</v>
      </c>
      <c r="G12" s="873"/>
    </row>
    <row r="13" spans="1:7" x14ac:dyDescent="0.2">
      <c r="A13" s="870" t="s">
        <v>108</v>
      </c>
      <c r="B13" s="871" t="s">
        <v>1993</v>
      </c>
      <c r="C13" s="872"/>
      <c r="D13" s="870" t="s">
        <v>522</v>
      </c>
      <c r="E13" s="869"/>
      <c r="F13" s="1935">
        <f>'Expenditures 15-22'!K342</f>
        <v>95605</v>
      </c>
      <c r="G13" s="874"/>
    </row>
    <row r="14" spans="1:7" ht="12" customHeight="1" thickBot="1" x14ac:dyDescent="0.25">
      <c r="A14" s="1792"/>
      <c r="B14" s="1793"/>
      <c r="C14" s="1794"/>
      <c r="D14" s="1795" t="s">
        <v>522</v>
      </c>
      <c r="E14" s="1796" t="s">
        <v>1015</v>
      </c>
      <c r="F14" s="1797">
        <f>SUM(F8:F13)</f>
        <v>2175765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82568</v>
      </c>
      <c r="G52" s="866"/>
    </row>
    <row r="53" spans="1:7" x14ac:dyDescent="0.2">
      <c r="A53" s="870" t="s">
        <v>479</v>
      </c>
      <c r="B53" s="870" t="s">
        <v>1551</v>
      </c>
      <c r="C53" s="890">
        <f>'Expenditures 15-22'!B102</f>
        <v>4000</v>
      </c>
      <c r="D53" s="889" t="str">
        <f>'Expenditures 15-22'!A102</f>
        <v>Total Payments to Other Govt Units</v>
      </c>
      <c r="E53" s="869"/>
      <c r="F53" s="1939">
        <f>'Expenditures 15-22'!K102</f>
        <v>26200</v>
      </c>
      <c r="G53" s="866"/>
    </row>
    <row r="54" spans="1:7" x14ac:dyDescent="0.2">
      <c r="A54" s="870" t="s">
        <v>479</v>
      </c>
      <c r="B54" s="870" t="s">
        <v>1552</v>
      </c>
      <c r="C54" s="890" t="s">
        <v>1039</v>
      </c>
      <c r="D54" s="886" t="s">
        <v>1157</v>
      </c>
      <c r="E54" s="869"/>
      <c r="F54" s="1939">
        <f>'Expenditures 15-22'!G114</f>
        <v>27219</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8388</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120000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9769</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4100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278244</v>
      </c>
      <c r="G76" s="866"/>
    </row>
    <row r="77" spans="1:8" s="894" customFormat="1" ht="12" customHeight="1" thickTop="1" thickBot="1" x14ac:dyDescent="0.25">
      <c r="A77" s="1801"/>
      <c r="B77" s="1798"/>
      <c r="C77" s="1794"/>
      <c r="D77" s="1799" t="s">
        <v>2012</v>
      </c>
      <c r="E77" s="1796"/>
      <c r="F77" s="1802">
        <f>(F14-F76)</f>
        <v>1897521</v>
      </c>
      <c r="G77" s="870"/>
    </row>
    <row r="78" spans="1:8" s="894" customFormat="1" ht="12" customHeight="1" thickTop="1" x14ac:dyDescent="0.2">
      <c r="A78" s="1803"/>
      <c r="B78" s="1798"/>
      <c r="C78" s="1794"/>
      <c r="D78" s="1799" t="s">
        <v>2059</v>
      </c>
      <c r="E78" s="1796"/>
      <c r="F78" s="899">
        <v>190.22</v>
      </c>
      <c r="G78" s="900"/>
      <c r="H78" s="870"/>
    </row>
    <row r="79" spans="1:8" s="894" customFormat="1" ht="12" customHeight="1" thickBot="1" x14ac:dyDescent="0.25">
      <c r="A79" s="1804"/>
      <c r="B79" s="1798"/>
      <c r="C79" s="1794"/>
      <c r="D79" s="1799" t="s">
        <v>2013</v>
      </c>
      <c r="E79" s="1796" t="s">
        <v>1015</v>
      </c>
      <c r="F79" s="1805">
        <f>IF(F78&gt;0,F77/F78," Complete Line 78")</f>
        <v>9975.402165913154</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35161</v>
      </c>
      <c r="G94" s="913"/>
    </row>
    <row r="95" spans="1:7" x14ac:dyDescent="0.2">
      <c r="A95" s="909" t="s">
        <v>142</v>
      </c>
      <c r="B95" s="909" t="s">
        <v>177</v>
      </c>
      <c r="C95" s="911">
        <v>1700</v>
      </c>
      <c r="D95" s="919" t="str">
        <f>'Revenues 9-14'!A82</f>
        <v>Total District/School Activity Income</v>
      </c>
      <c r="E95" s="907"/>
      <c r="F95" s="1811">
        <f>SUM('Revenues 9-14'!C82,'Revenues 9-14'!D82)</f>
        <v>19840</v>
      </c>
      <c r="G95" s="913"/>
    </row>
    <row r="96" spans="1:7" x14ac:dyDescent="0.2">
      <c r="A96" s="909" t="s">
        <v>479</v>
      </c>
      <c r="B96" s="909" t="s">
        <v>178</v>
      </c>
      <c r="C96" s="911">
        <f>'Revenues 9-14'!B84</f>
        <v>1811</v>
      </c>
      <c r="D96" s="912" t="str">
        <f>'Revenues 9-14'!A84</f>
        <v>Rentals - Regular Textbooks</v>
      </c>
      <c r="E96" s="907"/>
      <c r="F96" s="1811">
        <f>'Revenues 9-14'!C84</f>
        <v>6650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125</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124540</v>
      </c>
      <c r="G104" s="913"/>
    </row>
    <row r="105" spans="1:7" x14ac:dyDescent="0.2">
      <c r="A105" s="909" t="s">
        <v>524</v>
      </c>
      <c r="B105" s="909" t="s">
        <v>842</v>
      </c>
      <c r="C105" s="914">
        <v>3100</v>
      </c>
      <c r="D105" s="920" t="str">
        <f>'Revenues 9-14'!A131</f>
        <v>Total Special Education</v>
      </c>
      <c r="E105" s="907"/>
      <c r="F105" s="1811">
        <f>SUM('Revenues 9-14'!C131:D131,'Revenues 9-14'!F131)</f>
        <v>33888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427</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45287</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35175</v>
      </c>
      <c r="G129" s="931"/>
    </row>
    <row r="130" spans="1:7" x14ac:dyDescent="0.2">
      <c r="A130" s="928" t="s">
        <v>689</v>
      </c>
      <c r="B130" s="928" t="s">
        <v>804</v>
      </c>
      <c r="C130" s="933">
        <v>4300</v>
      </c>
      <c r="D130" s="934" t="str">
        <f>'Revenues 9-14'!A211</f>
        <v>Total Title I</v>
      </c>
      <c r="E130" s="907"/>
      <c r="F130" s="1811">
        <f>SUM('Revenues 9-14'!C211,'Revenues 9-14'!D211,'Revenues 9-14'!F211,'Revenues 9-14'!G211)</f>
        <v>67088</v>
      </c>
      <c r="G130" s="931"/>
    </row>
    <row r="131" spans="1:7" x14ac:dyDescent="0.2">
      <c r="A131" s="928" t="s">
        <v>689</v>
      </c>
      <c r="B131" s="928" t="s">
        <v>805</v>
      </c>
      <c r="C131" s="933">
        <v>4400</v>
      </c>
      <c r="D131" s="934" t="str">
        <f>'Revenues 9-14'!A216</f>
        <v>Total Title IV</v>
      </c>
      <c r="E131" s="907"/>
      <c r="F131" s="1811">
        <f>SUM('Revenues 9-14'!C216,'Revenues 9-14'!D216,'Revenues 9-14'!F216,'Revenues 9-14'!G216)</f>
        <v>5951</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11863</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7160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10094</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16132</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420881</v>
      </c>
    </row>
    <row r="179" spans="1:7" ht="12" customHeight="1" x14ac:dyDescent="0.2">
      <c r="A179" s="1792"/>
      <c r="B179" s="1806"/>
      <c r="C179" s="1807"/>
      <c r="D179" s="1808" t="s">
        <v>2015</v>
      </c>
      <c r="E179" s="1809"/>
      <c r="F179" s="1811">
        <f>'PCTC-OEPP 27-28'!F77-F178</f>
        <v>1476640</v>
      </c>
    </row>
    <row r="180" spans="1:7" ht="12" customHeight="1" x14ac:dyDescent="0.2">
      <c r="A180" s="1792"/>
      <c r="B180" s="1806"/>
      <c r="C180" s="1807"/>
      <c r="D180" s="1808" t="s">
        <v>1924</v>
      </c>
      <c r="E180" s="1809"/>
      <c r="F180" s="1811">
        <f>'Cap Outlay Deprec 26'!I18</f>
        <v>100274</v>
      </c>
    </row>
    <row r="181" spans="1:7" ht="12" customHeight="1" x14ac:dyDescent="0.2">
      <c r="A181" s="1792"/>
      <c r="B181" s="1806"/>
      <c r="C181" s="1807"/>
      <c r="D181" s="1808" t="s">
        <v>2016</v>
      </c>
      <c r="E181" s="1809"/>
      <c r="F181" s="1811">
        <f>F179+F180</f>
        <v>1576914</v>
      </c>
    </row>
    <row r="182" spans="1:7" ht="12" customHeight="1" x14ac:dyDescent="0.2">
      <c r="A182" s="1792"/>
      <c r="B182" s="1812"/>
      <c r="C182" s="1807"/>
      <c r="D182" s="1808" t="str">
        <f>D78</f>
        <v>9 Month ADA from District Average Daily Attendance/Prior General State Aid Inquiry 2017-2018</v>
      </c>
      <c r="E182" s="1809"/>
      <c r="F182" s="1813">
        <f>'PCTC-OEPP 27-28'!F78</f>
        <v>190.22</v>
      </c>
      <c r="G182" s="931"/>
    </row>
    <row r="183" spans="1:7" ht="12" customHeight="1" thickBot="1" x14ac:dyDescent="0.25">
      <c r="A183" s="1792"/>
      <c r="B183" s="1812"/>
      <c r="C183" s="1807"/>
      <c r="D183" s="1808" t="s">
        <v>2017</v>
      </c>
      <c r="E183" s="1809" t="s">
        <v>1626</v>
      </c>
      <c r="F183" s="1814">
        <f>F181/F182</f>
        <v>8289.948480706551</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ageMargins left="0.54" right="0.2" top="0.7" bottom="0.45" header="0.19" footer="0.17"/>
  <pageSetup scale="70" firstPageNumber="27" orientation="portrait" useFirstPageNumber="1" r:id="rId2"/>
  <headerFooter alignWithMargins="0">
    <oddHeader>&amp;L&amp;8Page &amp;P&amp;C &amp;R&amp;8Page &amp;P</oddHeader>
    <oddFooter>&amp;L&amp;8"The notes are an Integral part of these statements"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selection activeCell="A81" sqref="A81"/>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2075</v>
      </c>
      <c r="B7" s="2295"/>
      <c r="C7" s="2295"/>
      <c r="D7" s="2295"/>
      <c r="E7" s="2295"/>
      <c r="F7" s="2295"/>
      <c r="G7" s="2296"/>
    </row>
    <row r="8" spans="1:7" ht="15.75" customHeight="1" x14ac:dyDescent="0.25">
      <c r="A8" s="2297" t="s">
        <v>2024</v>
      </c>
      <c r="B8" s="2298"/>
      <c r="C8" s="2298"/>
      <c r="D8" s="2298"/>
      <c r="E8" s="2298"/>
      <c r="F8" s="2298"/>
      <c r="G8" s="2299"/>
    </row>
    <row r="9" spans="1:7" ht="35.25" customHeight="1" x14ac:dyDescent="0.25">
      <c r="A9" s="2294" t="s">
        <v>2023</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1941</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2097</v>
      </c>
      <c r="B17" s="1956" t="s">
        <v>2096</v>
      </c>
      <c r="C17" s="1958" t="s">
        <v>2098</v>
      </c>
      <c r="D17" s="1867">
        <v>11719</v>
      </c>
      <c r="E17" s="1562">
        <f t="shared" ref="E17:E141" si="1">IF(D17&lt;=25000,D17,IF(D17&gt;25000,25000,0))</f>
        <v>11719</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11719</v>
      </c>
      <c r="E141" s="1563">
        <f t="shared" si="1"/>
        <v>11719</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Layout" topLeftCell="A22" colorId="8" zoomScaleNormal="110" workbookViewId="0">
      <selection activeCell="B46" sqref="B4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v>70661</v>
      </c>
      <c r="F8" s="975"/>
      <c r="G8" s="976"/>
      <c r="H8" s="162"/>
      <c r="I8" s="162"/>
    </row>
    <row r="9" spans="1:9" s="669" customFormat="1" ht="12" customHeight="1" x14ac:dyDescent="0.2">
      <c r="A9" s="971" t="s">
        <v>132</v>
      </c>
      <c r="B9" s="972"/>
      <c r="C9" s="972"/>
      <c r="D9" s="973"/>
      <c r="E9" s="974">
        <v>79402</v>
      </c>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5" t="s">
        <v>1945</v>
      </c>
      <c r="B11" s="2306"/>
      <c r="C11" s="2306"/>
      <c r="D11" s="2307"/>
      <c r="E11" s="978">
        <v>6574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1135926</v>
      </c>
      <c r="F19" s="1822"/>
      <c r="G19" s="1824">
        <f>'Expenditures 15-22'!K33-SUM('Expenditures 15-22'!G33,'Expenditures 15-22'!I33)+'Expenditures 15-22'!D229</f>
        <v>1135926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26601</v>
      </c>
      <c r="F21" s="1825"/>
      <c r="G21" s="1828">
        <f>'Expenditures 15-22'!K42-SUM('Expenditures 15-22'!G42,'Expenditures 15-22'!I42)+'Expenditures 15-22'!K120-SUM('Expenditures 15-22'!G120,'Expenditures 15-22'!I120)+'Expenditures 15-22'!K180-SUM('Expenditures 15-22'!G180,'Expenditures 15-22'!I180)+'Expenditures 15-22'!D238</f>
        <v>26601</v>
      </c>
      <c r="H21" s="988"/>
      <c r="I21" s="162"/>
    </row>
    <row r="22" spans="1:9" s="669" customFormat="1" ht="12" customHeight="1" x14ac:dyDescent="0.2">
      <c r="A22" s="995" t="s">
        <v>585</v>
      </c>
      <c r="B22" s="996"/>
      <c r="C22" s="994">
        <v>2200</v>
      </c>
      <c r="D22" s="1825"/>
      <c r="E22" s="1827">
        <f>'Expenditures 15-22'!K47-SUM('Expenditures 15-22'!G47,'Expenditures 15-22'!I47)+'Expenditures 15-22'!D243</f>
        <v>25405</v>
      </c>
      <c r="F22" s="1825"/>
      <c r="G22" s="1828">
        <f>'Expenditures 15-22'!K47-SUM('Expenditures 15-22'!G47,'Expenditures 15-22'!I47)+'Expenditures 15-22'!D243</f>
        <v>25405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155912</v>
      </c>
      <c r="F23" s="1825"/>
      <c r="G23" s="1827">
        <f>'Expenditures 15-22'!K53-SUM('Expenditures 15-22'!G53,'Expenditures 15-22'!I53)+'Expenditures 15-22'!D257+'Expenditures 15-22'!K330-SUM('Expenditures 15-22'!G330,'Expenditures 15-22'!I330)</f>
        <v>155912</v>
      </c>
      <c r="H23" s="988"/>
      <c r="I23" s="162"/>
    </row>
    <row r="24" spans="1:9" s="669" customFormat="1" ht="12" customHeight="1" x14ac:dyDescent="0.2">
      <c r="A24" s="995" t="s">
        <v>587</v>
      </c>
      <c r="B24" s="996"/>
      <c r="C24" s="994">
        <v>2400</v>
      </c>
      <c r="D24" s="1825"/>
      <c r="E24" s="1827">
        <f>'Expenditures 15-22'!K57-SUM('Expenditures 15-22'!G57,'Expenditures 15-22'!I57)+'Expenditures 15-22'!D261</f>
        <v>68694</v>
      </c>
      <c r="F24" s="1825"/>
      <c r="G24" s="1828">
        <f>'Expenditures 15-22'!K57-SUM('Expenditures 15-22'!G57,'Expenditures 15-22'!I57)+'Expenditures 15-22'!D261</f>
        <v>68694</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5053</v>
      </c>
      <c r="E27" s="1827">
        <f>E8</f>
        <v>70661</v>
      </c>
      <c r="F27" s="1827">
        <f>'Expenditures 15-22'!K60-SUM('Expenditures 15-22'!G60,'Expenditures 15-22'!I60)+'Expenditures 15-22'!D264-E8</f>
        <v>5053</v>
      </c>
      <c r="G27" s="1828">
        <f>E8</f>
        <v>70661</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194702</v>
      </c>
      <c r="F28" s="1829">
        <f>'Expenditures 15-22'!K61-SUM('Expenditures 15-22'!G61,'Expenditures 15-22'!I61)+'Expenditures 15-22'!K124-SUM('Expenditures 15-22'!G124,'Expenditures 15-22'!I124)+'Expenditures 15-22'!D266-E9</f>
        <v>115300</v>
      </c>
      <c r="G28" s="1828">
        <f>E9</f>
        <v>79402</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101968</v>
      </c>
      <c r="F29" s="1825"/>
      <c r="G29" s="1828">
        <f>'Expenditures 15-22'!K62-SUM('Expenditures 15-22'!G62,'Expenditures 15-22'!I62)+'Expenditures 15-22'!K125-SUM('Expenditures 15-22'!G125,'Expenditures 15-22'!I125)+'Expenditures 15-22'!K182-SUM('Expenditures 15-22'!G182,'Expenditures 15-22'!I182)+'Expenditures 15-22'!D267</f>
        <v>101968</v>
      </c>
      <c r="H29" s="986"/>
    </row>
    <row r="30" spans="1:9" ht="12" customHeight="1" x14ac:dyDescent="0.2">
      <c r="A30" s="995" t="s">
        <v>102</v>
      </c>
      <c r="B30" s="998"/>
      <c r="C30" s="994">
        <v>2560</v>
      </c>
      <c r="D30" s="1825"/>
      <c r="E30" s="1827">
        <f>'Expenditures 15-22'!K63-SUM('Expenditures 15-22'!G63,'Expenditures 15-22'!I63)+'Expenditures 15-22'!D268-E10</f>
        <v>73703</v>
      </c>
      <c r="F30" s="1825"/>
      <c r="G30" s="1827">
        <f>'Expenditures 15-22'!K63-SUM('Expenditures 15-22'!G63,'Expenditures 15-22'!I63)+'Expenditures 15-22'!D268-E10</f>
        <v>73703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11719</v>
      </c>
      <c r="E37" s="1827">
        <f>E14</f>
        <v>0</v>
      </c>
      <c r="F37" s="1827">
        <f>'Expenditures 15-22'!K71-SUM('Expenditures 15-22'!G71,'Expenditures 15-22'!I71)+'Expenditures 15-22'!D276-E14</f>
        <v>11719</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4660</v>
      </c>
      <c r="F38" s="1825"/>
      <c r="G38" s="1827">
        <f>'Expenditures 15-22'!K73-SUM('Expenditures 15-22'!G73,'Expenditures 15-22'!I73)+'Expenditures 15-22'!K128-SUM('Expenditures 15-22'!G128,'Expenditures 15-22'!I128)+'Expenditures 15-22'!K183-SUM('Expenditures 15-22'!G183,'Expenditures 15-22'!I183)+'Expenditures 15-22'!D278</f>
        <v>4660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92337</v>
      </c>
      <c r="F39" s="1825"/>
      <c r="G39" s="1827">
        <f>'Expenditures 15-22'!K75-SUM('Expenditures 15-22'!G75,'Expenditures 15-22'!I75)+'Expenditures 15-22'!K130-SUM('Expenditures 15-22'!G130,'Expenditures 15-22'!I130)+'Expenditures 15-22'!K185-SUM('Expenditures 15-22'!G185,'Expenditures 15-22'!I185)+'Expenditures 15-22'!D280</f>
        <v>92337</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16772</v>
      </c>
      <c r="E41" s="1829">
        <f>SUM(E19:E40)</f>
        <v>1950569</v>
      </c>
      <c r="F41" s="1829">
        <f>SUM(F19:F39)</f>
        <v>132072</v>
      </c>
      <c r="G41" s="1829">
        <f>SUM(G19:G40)</f>
        <v>1835269</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16772</v>
      </c>
      <c r="F43" s="1830" t="s">
        <v>495</v>
      </c>
      <c r="G43" s="1831">
        <f>F41</f>
        <v>132072</v>
      </c>
    </row>
    <row r="44" spans="1:7" ht="12" customHeight="1" x14ac:dyDescent="0.2">
      <c r="A44" s="988"/>
      <c r="B44" s="162"/>
      <c r="C44" s="1002"/>
      <c r="D44" s="1830" t="s">
        <v>494</v>
      </c>
      <c r="E44" s="1831">
        <f>E41</f>
        <v>1950569</v>
      </c>
      <c r="F44" s="1830" t="s">
        <v>494</v>
      </c>
      <c r="G44" s="1831">
        <f>G41</f>
        <v>1835269</v>
      </c>
    </row>
    <row r="45" spans="1:7" ht="12" customHeight="1" x14ac:dyDescent="0.2">
      <c r="A45" s="988"/>
      <c r="B45" s="162"/>
      <c r="C45" s="162"/>
      <c r="D45" s="1832" t="s">
        <v>1063</v>
      </c>
      <c r="E45" s="1833">
        <f>(E43/E44)</f>
        <v>8.5985166379656391E-3</v>
      </c>
      <c r="F45" s="1832" t="s">
        <v>1063</v>
      </c>
      <c r="G45" s="1833">
        <f>(G43/G44)</f>
        <v>7.1963292574549018E-2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&amp;L&amp;8"The notes are an Integral part of these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selection activeCell="A50" sqref="A50"/>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2" t="s">
        <v>1446</v>
      </c>
      <c r="B1" s="2322"/>
      <c r="C1" s="2322"/>
      <c r="D1" s="2322"/>
      <c r="E1" s="2322"/>
      <c r="F1" s="2322"/>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3" t="s">
        <v>1627</v>
      </c>
      <c r="B5" s="2324"/>
      <c r="C5" s="2325"/>
      <c r="D5" s="2325"/>
      <c r="E5" s="2325"/>
      <c r="F5" s="2325"/>
    </row>
    <row r="6" spans="1:10" ht="12" customHeight="1" x14ac:dyDescent="0.25">
      <c r="A6" s="1875"/>
      <c r="B6" s="1876"/>
      <c r="C6" s="2326" t="str">
        <f>COVER!A17</f>
        <v>Giant City Consolidated School District #130</v>
      </c>
      <c r="D6" s="2326"/>
      <c r="E6" s="2326"/>
      <c r="F6" s="1877"/>
    </row>
    <row r="7" spans="1:10" ht="11.25" customHeight="1" thickBot="1" x14ac:dyDescent="0.3">
      <c r="A7" s="1875"/>
      <c r="B7" s="1876"/>
      <c r="C7" s="2327">
        <f>COVER!A13</f>
        <v>30039130004</v>
      </c>
      <c r="D7" s="2327"/>
      <c r="E7" s="2327"/>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t="s">
        <v>2077</v>
      </c>
      <c r="F26" s="1892" t="s">
        <v>2095</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5</v>
      </c>
      <c r="K34" s="1903">
        <f>SUM(H34:J34)</f>
        <v>15</v>
      </c>
    </row>
    <row r="35" spans="1:11" ht="12" customHeight="1" x14ac:dyDescent="0.2">
      <c r="A35" s="1896" t="s">
        <v>1459</v>
      </c>
      <c r="B35" s="1897"/>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8"/>
      <c r="B39" s="1898"/>
      <c r="C39" s="1898"/>
      <c r="D39" s="1898"/>
      <c r="E39" s="1898"/>
      <c r="F39" s="1898"/>
    </row>
    <row r="40" spans="1:11" s="1895" customFormat="1" ht="12" customHeight="1" x14ac:dyDescent="0.25">
      <c r="A40" s="1899" t="s">
        <v>1458</v>
      </c>
      <c r="B40" s="1900"/>
      <c r="C40" s="2317"/>
      <c r="D40" s="2317"/>
      <c r="E40" s="2317"/>
      <c r="F40" s="2318"/>
      <c r="H40" s="1904"/>
      <c r="I40" s="1904"/>
      <c r="J40" s="1904"/>
      <c r="K40" s="1904"/>
    </row>
    <row r="41" spans="1:11" s="1895" customFormat="1" ht="12" customHeight="1" x14ac:dyDescent="0.25">
      <c r="A41" s="2319"/>
      <c r="B41" s="2320"/>
      <c r="C41" s="2320"/>
      <c r="D41" s="2320"/>
      <c r="E41" s="2320"/>
      <c r="F41" s="2321"/>
      <c r="H41" s="1904"/>
      <c r="I41" s="1904"/>
      <c r="J41" s="1904"/>
      <c r="K41" s="1904"/>
    </row>
    <row r="42" spans="1:11" s="1895" customFormat="1" ht="12" customHeight="1" x14ac:dyDescent="0.25">
      <c r="A42" s="2319"/>
      <c r="B42" s="2320"/>
      <c r="C42" s="2320"/>
      <c r="D42" s="2320"/>
      <c r="E42" s="2320"/>
      <c r="F42" s="2321"/>
      <c r="H42" s="1904"/>
      <c r="I42" s="1904"/>
      <c r="J42" s="1904"/>
      <c r="K42" s="1904"/>
    </row>
    <row r="43" spans="1:11" s="1895" customFormat="1" ht="15" x14ac:dyDescent="0.25">
      <c r="A43" s="2308"/>
      <c r="B43" s="2309"/>
      <c r="C43" s="2309"/>
      <c r="D43" s="2309"/>
      <c r="E43" s="2309"/>
      <c r="F43" s="2310"/>
      <c r="H43" s="1904"/>
      <c r="I43" s="1904"/>
      <c r="J43" s="1904"/>
      <c r="K43" s="1904"/>
    </row>
    <row r="44" spans="1:11" s="1895" customFormat="1" ht="12" hidden="1" customHeight="1" x14ac:dyDescent="0.25">
      <c r="A44" s="2308"/>
      <c r="B44" s="2309"/>
      <c r="C44" s="2309"/>
      <c r="D44" s="2309"/>
      <c r="E44" s="2309"/>
      <c r="F44" s="2310"/>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37" header="0.17" footer="0.17"/>
  <pageSetup scale="85" orientation="landscape" r:id="rId1"/>
  <headerFooter>
    <oddFooter>&amp;L"The notes are an Integral part of these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view="pageLayout" topLeftCell="A16" colorId="8" zoomScaleNormal="110" workbookViewId="0">
      <selection activeCell="C42" sqref="C41:C42"/>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Giant City Consolidated School District #130</v>
      </c>
      <c r="J6" s="2336"/>
      <c r="Q6" s="1686"/>
    </row>
    <row r="7" spans="1:17" x14ac:dyDescent="0.2">
      <c r="A7" s="2337" t="s">
        <v>924</v>
      </c>
      <c r="B7" s="2338"/>
      <c r="C7" s="2338"/>
      <c r="D7" s="2338"/>
      <c r="E7" s="2339"/>
      <c r="F7" s="1018"/>
      <c r="G7" s="1010"/>
      <c r="H7" s="1017" t="s">
        <v>390</v>
      </c>
      <c r="I7" s="2340">
        <f>COVER!A13</f>
        <v>30039130004</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63363</v>
      </c>
      <c r="F12" s="1040"/>
      <c r="G12" s="1834">
        <f t="shared" ref="G12:G18" si="0">SUM(E12:F12)</f>
        <v>63363</v>
      </c>
      <c r="H12" s="1041">
        <v>65269</v>
      </c>
      <c r="I12" s="1040"/>
      <c r="J12" s="1834">
        <f t="shared" ref="J12:J18" si="1">SUM(H12:I12)</f>
        <v>65269</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63363</v>
      </c>
      <c r="F19" s="1836">
        <f t="shared" si="2"/>
        <v>0</v>
      </c>
      <c r="G19" s="1836">
        <f t="shared" si="2"/>
        <v>63363</v>
      </c>
      <c r="H19" s="1836">
        <f t="shared" si="2"/>
        <v>65269</v>
      </c>
      <c r="I19" s="1836">
        <f t="shared" si="2"/>
        <v>0</v>
      </c>
      <c r="J19" s="1836">
        <f t="shared" si="2"/>
        <v>65269</v>
      </c>
    </row>
    <row r="20" spans="1:10" ht="13.5" thickTop="1" x14ac:dyDescent="0.2">
      <c r="A20" s="1036">
        <v>9</v>
      </c>
      <c r="B20" s="2347" t="s">
        <v>1703</v>
      </c>
      <c r="C20" s="2347"/>
      <c r="D20" s="2348"/>
      <c r="E20" s="1047"/>
      <c r="F20" s="1047"/>
      <c r="G20" s="1047"/>
      <c r="H20" s="1047"/>
      <c r="I20" s="1047"/>
      <c r="J20" s="1837">
        <f>IF(AND(G19&gt;0,J19&gt;0),(((J19-G19)/G19)),"Enter Budget Data")</f>
        <v>3.0080646434038794E-2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1944</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&amp;L"The notes are an Integral part of these statements"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view="pageLayout" topLeftCell="A18" zoomScaleNormal="110" workbookViewId="0">
      <selection activeCell="B66" sqref="B65:B6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Giant City Consolidated School District #130</v>
      </c>
    </row>
    <row r="65" spans="2:2" x14ac:dyDescent="0.2">
      <c r="B65" s="1071">
        <f>COVER!A13</f>
        <v>30039130004</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oddFooter>&amp;L"The notes are an Integral part of these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Layout" topLeftCell="A52"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headerFooter>
    <oddFooter>&amp;L"The notes are an Integral part of these statements"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Layout" topLeftCell="A46" colorId="8" zoomScaleNormal="110" workbookViewId="0">
      <selection activeCell="C55" sqref="C5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oddFooter>&amp;L"The notes are an Integral part of these statements"</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39" sqref="B3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oddFooter>&amp;L"The notes are an Integral part of these statements"</oddFoot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400050</xdr:colOff>
                <xdr:row>3</xdr:row>
                <xdr:rowOff>38100</xdr:rowOff>
              </from>
              <to>
                <xdr:col>1</xdr:col>
                <xdr:colOff>1314450</xdr:colOff>
                <xdr:row>7</xdr:row>
                <xdr:rowOff>76200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Layout" topLeftCell="A20" zoomScaleNormal="110" workbookViewId="0">
      <selection activeCell="A24" sqref="A23:A2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2056</v>
      </c>
      <c r="B4" s="2375"/>
      <c r="C4" s="2375"/>
      <c r="D4" s="2375"/>
      <c r="E4" s="2375"/>
      <c r="F4" s="2376"/>
      <c r="G4" s="1075"/>
      <c r="H4" s="1075"/>
    </row>
    <row r="5" spans="1:8" ht="14.25" customHeight="1" x14ac:dyDescent="0.2">
      <c r="A5" s="2377" t="s">
        <v>2057</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1740919</v>
      </c>
      <c r="C8" s="1838">
        <f>'Acct Summary 7-8'!D8</f>
        <v>139002</v>
      </c>
      <c r="D8" s="1838">
        <f>'Acct Summary 7-8'!F8</f>
        <v>115091</v>
      </c>
      <c r="E8" s="1838">
        <f>'Acct Summary 7-8'!I8</f>
        <v>3833</v>
      </c>
      <c r="F8" s="1838">
        <f>SUM(B8:E8)</f>
        <v>1998845</v>
      </c>
    </row>
    <row r="9" spans="1:8" s="1080" customFormat="1" ht="14.25" customHeight="1" thickBot="1" x14ac:dyDescent="0.25">
      <c r="A9" s="1079" t="s">
        <v>1436</v>
      </c>
      <c r="B9" s="1839">
        <f>'Acct Summary 7-8'!C17</f>
        <v>1642164</v>
      </c>
      <c r="C9" s="1839">
        <f>'Acct Summary 7-8'!D17</f>
        <v>128534</v>
      </c>
      <c r="D9" s="1839">
        <f>'Acct Summary 7-8'!F17</f>
        <v>101968</v>
      </c>
      <c r="E9" s="1838"/>
      <c r="F9" s="1838">
        <f>SUM(B9:E9)</f>
        <v>1872666</v>
      </c>
    </row>
    <row r="10" spans="1:8" s="1080" customFormat="1" ht="14.25" thickTop="1" thickBot="1" x14ac:dyDescent="0.25">
      <c r="A10" s="1081" t="s">
        <v>1437</v>
      </c>
      <c r="B10" s="1840">
        <f>(B8-B9)</f>
        <v>98755</v>
      </c>
      <c r="C10" s="1840">
        <f>(C8-C9)</f>
        <v>10468</v>
      </c>
      <c r="D10" s="1840">
        <f>(D8-D9)</f>
        <v>13123</v>
      </c>
      <c r="E10" s="1839">
        <f>(E8-E9)</f>
        <v>3833</v>
      </c>
      <c r="F10" s="1841">
        <f>SUM(F8-F9)</f>
        <v>126179</v>
      </c>
    </row>
    <row r="11" spans="1:8" s="1080" customFormat="1" ht="14.25" thickTop="1" thickBot="1" x14ac:dyDescent="0.25">
      <c r="A11" s="1082" t="s">
        <v>1785</v>
      </c>
      <c r="B11" s="1842">
        <f>'Acct Summary 7-8'!C81</f>
        <v>704217</v>
      </c>
      <c r="C11" s="1842">
        <f>'Acct Summary 7-8'!D81</f>
        <v>214564</v>
      </c>
      <c r="D11" s="1842">
        <f>'Acct Summary 7-8'!F81</f>
        <v>77983</v>
      </c>
      <c r="E11" s="1842">
        <f>'Acct Summary 7-8'!I81</f>
        <v>98434</v>
      </c>
      <c r="F11" s="1843">
        <f>SUM(B11:E11)</f>
        <v>1095198</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oddFooter>&amp;L"The notes are an Integral part of these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3" colorId="8" zoomScale="110" zoomScaleNormal="110" workbookViewId="0">
      <selection activeCell="D53" sqref="D53"/>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&amp;L&amp;8"The notes are an Integral part of these statements"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30039130004</v>
      </c>
    </row>
    <row r="3" spans="1:2" x14ac:dyDescent="0.2">
      <c r="A3" t="s">
        <v>1013</v>
      </c>
      <c r="B3" s="138" t="str">
        <f>COVER!A15</f>
        <v>Jackson/Williamson</v>
      </c>
    </row>
    <row r="4" spans="1:2" x14ac:dyDescent="0.2">
      <c r="A4" t="s">
        <v>1064</v>
      </c>
      <c r="B4" s="138" t="str">
        <f>COVER!A17</f>
        <v>Giant City Consolidated School District #130</v>
      </c>
    </row>
    <row r="5" spans="1:2" x14ac:dyDescent="0.2">
      <c r="A5" t="s">
        <v>728</v>
      </c>
      <c r="B5" s="138" t="str">
        <f>COVER!A38</f>
        <v>Mrs. Belinda Hill</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65.028419999999997</v>
      </c>
    </row>
    <row r="16" spans="1:2" x14ac:dyDescent="0.2">
      <c r="A16" t="s">
        <v>442</v>
      </c>
      <c r="B16" s="138" t="str">
        <f>COVER!T13</f>
        <v>Kujawa &amp; Batteau, P.C.</v>
      </c>
    </row>
    <row r="17" spans="1:2" x14ac:dyDescent="0.2">
      <c r="A17" t="s">
        <v>939</v>
      </c>
      <c r="B17" s="138" t="str">
        <f>COVER!T15</f>
        <v>Kevin Batteau</v>
      </c>
    </row>
    <row r="18" spans="1:2" x14ac:dyDescent="0.2">
      <c r="A18" t="s">
        <v>1212</v>
      </c>
      <c r="B18" s="138" t="str">
        <f>COVER!T17</f>
        <v>309 S. Walnut Street</v>
      </c>
    </row>
    <row r="19" spans="1:2" x14ac:dyDescent="0.2">
      <c r="A19" t="s">
        <v>941</v>
      </c>
      <c r="B19" s="138" t="str">
        <f>COVER!T25</f>
        <v>kbatteau@kandb-cpa.com</v>
      </c>
    </row>
    <row r="20" spans="1:2" x14ac:dyDescent="0.2">
      <c r="A20" t="s">
        <v>942</v>
      </c>
      <c r="B20" s="138" t="str">
        <f>COVER!T19</f>
        <v>Pinckneyville</v>
      </c>
    </row>
    <row r="21" spans="1:2" x14ac:dyDescent="0.2">
      <c r="A21" t="s">
        <v>500</v>
      </c>
      <c r="B21" s="138" t="str">
        <f>COVER!X19</f>
        <v>IL</v>
      </c>
    </row>
    <row r="22" spans="1:2" x14ac:dyDescent="0.2">
      <c r="A22" t="s">
        <v>943</v>
      </c>
      <c r="B22" s="138">
        <f>COVER!Z19</f>
        <v>62274</v>
      </c>
    </row>
    <row r="23" spans="1:2" x14ac:dyDescent="0.2">
      <c r="A23" t="s">
        <v>1214</v>
      </c>
      <c r="B23" s="138" t="str">
        <f>COVER!T21</f>
        <v>618-357-3000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35370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717749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13532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13532</v>
      </c>
      <c r="C91" s="2" t="s">
        <v>594</v>
      </c>
      <c r="D91" s="2" t="str">
        <f t="shared" si="0"/>
        <v>Error?</v>
      </c>
    </row>
    <row r="92" spans="1:4" x14ac:dyDescent="0.2">
      <c r="A92" s="5">
        <v>31</v>
      </c>
      <c r="B92" s="138">
        <f>'Assets-Liab 5-6'!C39</f>
        <v>704217</v>
      </c>
      <c r="D92" s="2" t="str">
        <f t="shared" si="0"/>
        <v>Error?</v>
      </c>
    </row>
    <row r="93" spans="1:4" x14ac:dyDescent="0.2">
      <c r="A93" s="5">
        <v>32</v>
      </c>
      <c r="B93" s="138">
        <f>'Assets-Liab 5-6'!C41</f>
        <v>717749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214482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-82</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-82</v>
      </c>
      <c r="C122" s="2" t="s">
        <v>594</v>
      </c>
      <c r="D122" s="2" t="str">
        <f t="shared" si="0"/>
        <v>Error?</v>
      </c>
    </row>
    <row r="123" spans="1:4" x14ac:dyDescent="0.2">
      <c r="A123" s="5">
        <v>62</v>
      </c>
      <c r="B123" s="138">
        <f>'Assets-Liab 5-6'!D39</f>
        <v>214564</v>
      </c>
      <c r="D123" s="2" t="str">
        <f t="shared" si="0"/>
        <v>Error?</v>
      </c>
    </row>
    <row r="124" spans="1:4" x14ac:dyDescent="0.2">
      <c r="A124" s="5">
        <v>63</v>
      </c>
      <c r="B124" s="138">
        <f>'Assets-Liab 5-6'!D41</f>
        <v>214482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14949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14949</v>
      </c>
      <c r="D140" s="2" t="str">
        <f t="shared" si="1"/>
        <v>Error?</v>
      </c>
    </row>
    <row r="141" spans="1:4" x14ac:dyDescent="0.2">
      <c r="A141" s="5">
        <v>80</v>
      </c>
      <c r="B141" s="138">
        <f>'Assets-Liab 5-6'!E41</f>
        <v>14949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80583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2600</v>
      </c>
      <c r="C169" s="2" t="s">
        <v>594</v>
      </c>
      <c r="D169" s="2" t="str">
        <f t="shared" si="1"/>
        <v>Error?</v>
      </c>
    </row>
    <row r="170" spans="1:4" x14ac:dyDescent="0.2">
      <c r="A170" s="5">
        <v>109</v>
      </c>
      <c r="B170" s="138">
        <f>'Assets-Liab 5-6'!F39</f>
        <v>77983</v>
      </c>
      <c r="D170" s="2" t="str">
        <f t="shared" si="1"/>
        <v>Error?</v>
      </c>
    </row>
    <row r="171" spans="1:4" x14ac:dyDescent="0.2">
      <c r="A171" s="5">
        <v>110</v>
      </c>
      <c r="B171" s="138">
        <f>'Assets-Liab 5-6'!F41</f>
        <v>80583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129476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129476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103932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103932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331206</v>
      </c>
      <c r="D273" s="2" t="str">
        <f t="shared" si="3"/>
        <v>Error?</v>
      </c>
    </row>
    <row r="274" spans="1:4" x14ac:dyDescent="0.2">
      <c r="A274" s="5">
        <v>213</v>
      </c>
      <c r="B274" s="138">
        <f>'Assets-Liab 5-6'!M17</f>
        <v>2983251</v>
      </c>
      <c r="D274" s="2" t="str">
        <f t="shared" si="3"/>
        <v>Error?</v>
      </c>
    </row>
    <row r="275" spans="1:4" x14ac:dyDescent="0.2">
      <c r="A275" s="5">
        <v>214</v>
      </c>
      <c r="B275" s="138">
        <f>'Assets-Liab 5-6'!M18</f>
        <v>394306</v>
      </c>
      <c r="D275" s="2" t="str">
        <f t="shared" si="3"/>
        <v>Error?</v>
      </c>
    </row>
    <row r="276" spans="1:4" x14ac:dyDescent="0.2">
      <c r="A276" s="5">
        <v>215</v>
      </c>
      <c r="B276" s="138">
        <f>'Assets-Liab 5-6'!M19</f>
        <v>359123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4067886</v>
      </c>
      <c r="C279" s="2" t="s">
        <v>594</v>
      </c>
      <c r="D279" s="2" t="str">
        <f t="shared" si="3"/>
        <v>Error?</v>
      </c>
    </row>
    <row r="280" spans="1:4" x14ac:dyDescent="0.2">
      <c r="A280" s="5">
        <v>219</v>
      </c>
      <c r="B280" s="138">
        <f>'Assets-Liab 5-6'!M40</f>
        <v>4067886</v>
      </c>
      <c r="D280" s="2" t="str">
        <f t="shared" si="3"/>
        <v>Error?</v>
      </c>
    </row>
    <row r="281" spans="1:4" x14ac:dyDescent="0.2">
      <c r="A281" s="5">
        <v>220</v>
      </c>
      <c r="B281" s="138">
        <f>'Assets-Liab 5-6'!M41</f>
        <v>4067886</v>
      </c>
      <c r="C281" s="2" t="s">
        <v>594</v>
      </c>
      <c r="D281" s="2" t="str">
        <f t="shared" si="3"/>
        <v>Error?</v>
      </c>
    </row>
    <row r="282" spans="1:4" x14ac:dyDescent="0.2">
      <c r="A282" s="5">
        <v>221</v>
      </c>
      <c r="B282" s="138">
        <f>'Assets-Liab 5-6'!N21</f>
        <v>14949</v>
      </c>
      <c r="D282" s="2" t="str">
        <f t="shared" si="3"/>
        <v>Error?</v>
      </c>
    </row>
    <row r="283" spans="1:4" x14ac:dyDescent="0.2">
      <c r="A283" s="5">
        <v>222</v>
      </c>
      <c r="B283" s="138">
        <f>'Assets-Liab 5-6'!N22</f>
        <v>1045051</v>
      </c>
      <c r="D283" s="2" t="str">
        <f t="shared" si="3"/>
        <v>Error?</v>
      </c>
    </row>
    <row r="284" spans="1:4" x14ac:dyDescent="0.2">
      <c r="A284" s="5">
        <v>223</v>
      </c>
      <c r="B284" s="138">
        <f>'Assets-Liab 5-6'!N23</f>
        <v>1060000</v>
      </c>
      <c r="C284" s="2" t="s">
        <v>594</v>
      </c>
      <c r="D284" s="2" t="str">
        <f t="shared" si="3"/>
        <v>Error?</v>
      </c>
    </row>
    <row r="285" spans="1:4" x14ac:dyDescent="0.2">
      <c r="A285" s="5">
        <v>224</v>
      </c>
      <c r="B285" s="138">
        <f>'Assets-Liab 5-6'!N36</f>
        <v>1060000</v>
      </c>
      <c r="D285" s="2" t="str">
        <f t="shared" si="3"/>
        <v>Error?</v>
      </c>
    </row>
    <row r="286" spans="1:4" x14ac:dyDescent="0.2">
      <c r="A286" s="10">
        <v>225</v>
      </c>
      <c r="D286" s="2" t="str">
        <f t="shared" si="3"/>
        <v>OK</v>
      </c>
    </row>
    <row r="287" spans="1:4" x14ac:dyDescent="0.2">
      <c r="A287" s="5">
        <v>226</v>
      </c>
      <c r="B287" s="138">
        <f>'Assets-Liab 5-6'!N37</f>
        <v>1060000</v>
      </c>
      <c r="C287" s="2" t="s">
        <v>594</v>
      </c>
      <c r="D287" s="2" t="str">
        <f t="shared" si="3"/>
        <v>Error?</v>
      </c>
    </row>
    <row r="288" spans="1:4" x14ac:dyDescent="0.2">
      <c r="A288" s="5">
        <v>227</v>
      </c>
      <c r="B288" s="138">
        <f>'Assets-Liab 5-6'!N41</f>
        <v>1060000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644739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14988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889965</v>
      </c>
      <c r="C720" s="2" t="s">
        <v>594</v>
      </c>
      <c r="D720" s="2" t="str">
        <f t="shared" si="10"/>
        <v>Error?</v>
      </c>
    </row>
    <row r="721" spans="1:4" x14ac:dyDescent="0.2">
      <c r="A721" s="5">
        <v>660</v>
      </c>
      <c r="B721" s="138">
        <f>'Expenditures 15-22'!C36</f>
        <v>7235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15775</v>
      </c>
      <c r="D726" s="2" t="str">
        <f t="shared" si="10"/>
        <v>Error?</v>
      </c>
    </row>
    <row r="727" spans="1:4" x14ac:dyDescent="0.2">
      <c r="A727" s="5">
        <v>666</v>
      </c>
      <c r="B727" s="138">
        <f>'Expenditures 15-22'!C42</f>
        <v>23010</v>
      </c>
      <c r="C727" s="2" t="s">
        <v>594</v>
      </c>
      <c r="D727" s="2" t="str">
        <f t="shared" si="10"/>
        <v>Error?</v>
      </c>
    </row>
    <row r="728" spans="1:4" x14ac:dyDescent="0.2">
      <c r="A728" s="5">
        <v>667</v>
      </c>
      <c r="B728" s="138">
        <f>'Expenditures 15-22'!C44</f>
        <v>3450</v>
      </c>
      <c r="D728" s="2" t="str">
        <f t="shared" si="10"/>
        <v>Error?</v>
      </c>
    </row>
    <row r="729" spans="1:4" x14ac:dyDescent="0.2">
      <c r="A729" s="5">
        <v>668</v>
      </c>
      <c r="B729" s="138">
        <f>'Expenditures 15-22'!C45</f>
        <v>3048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6498</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49360</v>
      </c>
      <c r="D733" s="2" t="str">
        <f t="shared" si="10"/>
        <v>Error?</v>
      </c>
    </row>
    <row r="734" spans="1:4" x14ac:dyDescent="0.2">
      <c r="A734" s="5">
        <v>673</v>
      </c>
      <c r="B734" s="138">
        <f>'Expenditures 15-22'!C53</f>
        <v>49360</v>
      </c>
      <c r="C734" s="2" t="s">
        <v>594</v>
      </c>
      <c r="D734" s="2" t="str">
        <f t="shared" si="10"/>
        <v>Error?</v>
      </c>
    </row>
    <row r="735" spans="1:4" x14ac:dyDescent="0.2">
      <c r="A735" s="5">
        <v>674</v>
      </c>
      <c r="B735" s="138">
        <f>'Expenditures 15-22'!C55</f>
        <v>51610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51610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60732</v>
      </c>
      <c r="D739" s="2" t="str">
        <f t="shared" si="10"/>
        <v>Error?</v>
      </c>
    </row>
    <row r="740" spans="1:4" x14ac:dyDescent="0.2">
      <c r="A740" s="5">
        <v>679</v>
      </c>
      <c r="B740" s="138">
        <f>'Expenditures 15-22'!C61</f>
        <v>38341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27868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126941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257419</v>
      </c>
      <c r="C755" s="2" t="s">
        <v>594</v>
      </c>
      <c r="D755" s="2" t="str">
        <f t="shared" si="10"/>
        <v>Error?</v>
      </c>
    </row>
    <row r="756" spans="1:4" x14ac:dyDescent="0.2">
      <c r="A756" s="5">
        <v>695</v>
      </c>
      <c r="B756" s="138">
        <f>'Expenditures 15-22'!C75</f>
        <v>71363</v>
      </c>
      <c r="D756" s="2" t="str">
        <f t="shared" si="10"/>
        <v>Error?</v>
      </c>
    </row>
    <row r="757" spans="1:4" x14ac:dyDescent="0.2">
      <c r="A757" s="5">
        <v>696</v>
      </c>
      <c r="B757" s="138">
        <f>'Expenditures 15-22'!C114</f>
        <v>1218747</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107944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254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150156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275</v>
      </c>
      <c r="D784" s="2" t="str">
        <f t="shared" si="11"/>
        <v>Error?</v>
      </c>
    </row>
    <row r="785" spans="1:4" x14ac:dyDescent="0.2">
      <c r="A785" s="5">
        <v>724</v>
      </c>
      <c r="B785" s="138">
        <f>'Expenditures 15-22'!D42</f>
        <v>275</v>
      </c>
      <c r="C785" s="2" t="s">
        <v>594</v>
      </c>
      <c r="D785" s="2" t="str">
        <f t="shared" si="11"/>
        <v>Error?</v>
      </c>
    </row>
    <row r="786" spans="1:4" x14ac:dyDescent="0.2">
      <c r="A786" s="5">
        <v>725</v>
      </c>
      <c r="B786" s="138">
        <f>'Expenditures 15-22'!D44</f>
        <v>823</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823</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11403</v>
      </c>
      <c r="D791" s="2" t="str">
        <f t="shared" si="11"/>
        <v>Error?</v>
      </c>
    </row>
    <row r="792" spans="1:4" x14ac:dyDescent="0.2">
      <c r="A792" s="5">
        <v>731</v>
      </c>
      <c r="B792" s="138">
        <f>'Expenditures 15-22'!D53</f>
        <v>11403</v>
      </c>
      <c r="C792" s="2" t="s">
        <v>594</v>
      </c>
      <c r="D792" s="2" t="str">
        <f t="shared" si="11"/>
        <v>Error?</v>
      </c>
    </row>
    <row r="793" spans="1:4" x14ac:dyDescent="0.2">
      <c r="A793" s="5">
        <v>732</v>
      </c>
      <c r="B793" s="138">
        <f>'Expenditures 15-22'!D55</f>
        <v>12137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12137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5053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3361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8414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33052</v>
      </c>
      <c r="C813" s="2" t="s">
        <v>594</v>
      </c>
      <c r="D813" s="2" t="str">
        <f t="shared" si="11"/>
        <v>Error?</v>
      </c>
    </row>
    <row r="814" spans="1:4" x14ac:dyDescent="0.2">
      <c r="A814" s="5">
        <v>753</v>
      </c>
      <c r="B814" s="138">
        <f>'Expenditures 15-22'!D75</f>
        <v>1989</v>
      </c>
      <c r="D814" s="2" t="str">
        <f t="shared" si="11"/>
        <v>Error?</v>
      </c>
    </row>
    <row r="815" spans="1:4" x14ac:dyDescent="0.2">
      <c r="A815" s="5">
        <v>754</v>
      </c>
      <c r="B815" s="138">
        <f>'Expenditures 15-22'!D114</f>
        <v>185197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24646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8353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48723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7158</v>
      </c>
      <c r="D844" s="2" t="str">
        <f t="shared" si="12"/>
        <v>Error?</v>
      </c>
    </row>
    <row r="845" spans="1:4" x14ac:dyDescent="0.2">
      <c r="A845" s="5">
        <v>784</v>
      </c>
      <c r="B845" s="138">
        <f>'Expenditures 15-22'!E45</f>
        <v>6076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13234</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413</v>
      </c>
      <c r="D849" s="2" t="str">
        <f t="shared" si="12"/>
        <v>Error?</v>
      </c>
    </row>
    <row r="850" spans="1:4" x14ac:dyDescent="0.2">
      <c r="A850" s="5">
        <v>789</v>
      </c>
      <c r="B850" s="138">
        <f>'Expenditures 15-22'!E53</f>
        <v>413</v>
      </c>
      <c r="C850" s="2" t="s">
        <v>594</v>
      </c>
      <c r="D850" s="2" t="str">
        <f t="shared" si="12"/>
        <v>Error?</v>
      </c>
    </row>
    <row r="851" spans="1:4" x14ac:dyDescent="0.2">
      <c r="A851" s="5">
        <v>790</v>
      </c>
      <c r="B851" s="138">
        <f>'Expenditures 15-22'!E55</f>
        <v>1703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1703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19332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19332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11719</v>
      </c>
      <c r="D867" s="2" t="str">
        <f t="shared" si="12"/>
        <v>Error?</v>
      </c>
    </row>
    <row r="868" spans="1:4" x14ac:dyDescent="0.2">
      <c r="A868" s="10">
        <v>807</v>
      </c>
      <c r="D868" s="2" t="str">
        <f t="shared" si="12"/>
        <v>OK</v>
      </c>
    </row>
    <row r="869" spans="1:4" x14ac:dyDescent="0.2">
      <c r="A869" s="5">
        <v>808</v>
      </c>
      <c r="B869" s="138">
        <f>'Expenditures 15-22'!E72</f>
        <v>11719</v>
      </c>
      <c r="C869" s="2" t="s">
        <v>594</v>
      </c>
      <c r="D869" s="2" t="str">
        <f t="shared" si="12"/>
        <v>Error?</v>
      </c>
    </row>
    <row r="870" spans="1:4" x14ac:dyDescent="0.2">
      <c r="A870" s="5">
        <v>809</v>
      </c>
      <c r="B870" s="138">
        <f>'Expenditures 15-22'!E73</f>
        <v>440</v>
      </c>
      <c r="D870" s="2" t="str">
        <f t="shared" si="12"/>
        <v>Error?</v>
      </c>
    </row>
    <row r="871" spans="1:4" x14ac:dyDescent="0.2">
      <c r="A871" s="5">
        <v>810</v>
      </c>
      <c r="B871" s="138">
        <f>'Expenditures 15-22'!E74</f>
        <v>46841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121764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12706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3777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16995</v>
      </c>
      <c r="C894" s="2" t="s">
        <v>594</v>
      </c>
      <c r="D894" s="2" t="str">
        <f t="shared" si="12"/>
        <v>Error?</v>
      </c>
    </row>
    <row r="895" spans="1:4" x14ac:dyDescent="0.2">
      <c r="A895" s="5">
        <v>834</v>
      </c>
      <c r="B895" s="138">
        <f>'Expenditures 15-22'!F36</f>
        <v>118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27</v>
      </c>
      <c r="D900" s="2" t="str">
        <f t="shared" si="13"/>
        <v>Error?</v>
      </c>
    </row>
    <row r="901" spans="1:4" x14ac:dyDescent="0.2">
      <c r="A901" s="5">
        <v>840</v>
      </c>
      <c r="B901" s="138">
        <f>'Expenditures 15-22'!F42</f>
        <v>145</v>
      </c>
      <c r="C901" s="2" t="s">
        <v>594</v>
      </c>
      <c r="D901" s="2" t="str">
        <f t="shared" si="13"/>
        <v>Error?</v>
      </c>
    </row>
    <row r="902" spans="1:4" x14ac:dyDescent="0.2">
      <c r="A902" s="5">
        <v>841</v>
      </c>
      <c r="B902" s="138">
        <f>'Expenditures 15-22'!F44</f>
        <v>2611</v>
      </c>
      <c r="D902" s="2" t="str">
        <f t="shared" si="13"/>
        <v>Error?</v>
      </c>
    </row>
    <row r="903" spans="1:4" x14ac:dyDescent="0.2">
      <c r="A903" s="5">
        <v>842</v>
      </c>
      <c r="B903" s="138">
        <f>'Expenditures 15-22'!F45</f>
        <v>1731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4342</v>
      </c>
      <c r="C905" s="2" t="s">
        <v>594</v>
      </c>
      <c r="D905" s="2" t="str">
        <f t="shared" si="13"/>
        <v>Error?</v>
      </c>
    </row>
    <row r="906" spans="1:4" x14ac:dyDescent="0.2">
      <c r="A906" s="5">
        <v>845</v>
      </c>
      <c r="B906" s="138">
        <f>'Expenditures 15-22'!F49</f>
        <v>131</v>
      </c>
      <c r="D906" s="2" t="str">
        <f t="shared" si="13"/>
        <v>Error?</v>
      </c>
    </row>
    <row r="907" spans="1:4" x14ac:dyDescent="0.2">
      <c r="A907" s="5">
        <v>846</v>
      </c>
      <c r="B907" s="138">
        <f>'Expenditures 15-22'!F50</f>
        <v>1649</v>
      </c>
      <c r="D907" s="2" t="str">
        <f t="shared" si="13"/>
        <v>Error?</v>
      </c>
    </row>
    <row r="908" spans="1:4" x14ac:dyDescent="0.2">
      <c r="A908" s="5">
        <v>847</v>
      </c>
      <c r="B908" s="138">
        <f>'Expenditures 15-22'!F53</f>
        <v>1780</v>
      </c>
      <c r="C908" s="2" t="s">
        <v>594</v>
      </c>
      <c r="D908" s="2" t="str">
        <f t="shared" si="13"/>
        <v>Error?</v>
      </c>
    </row>
    <row r="909" spans="1:4" x14ac:dyDescent="0.2">
      <c r="A909" s="5">
        <v>848</v>
      </c>
      <c r="B909" s="138">
        <f>'Expenditures 15-22'!F55</f>
        <v>2414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2414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9874</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37647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47521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512</v>
      </c>
      <c r="D928" s="2" t="str">
        <f t="shared" si="13"/>
        <v>Error?</v>
      </c>
    </row>
    <row r="929" spans="1:4" x14ac:dyDescent="0.2">
      <c r="A929" s="5">
        <v>868</v>
      </c>
      <c r="B929" s="138">
        <f>'Expenditures 15-22'!F74</f>
        <v>56714</v>
      </c>
      <c r="C929" s="2" t="s">
        <v>594</v>
      </c>
      <c r="D929" s="2" t="str">
        <f t="shared" si="13"/>
        <v>Error?</v>
      </c>
    </row>
    <row r="930" spans="1:4" x14ac:dyDescent="0.2">
      <c r="A930" s="5">
        <v>869</v>
      </c>
      <c r="B930" s="138">
        <f>'Expenditures 15-22'!F75</f>
        <v>9166</v>
      </c>
      <c r="D930" s="2" t="str">
        <f t="shared" si="13"/>
        <v>Error?</v>
      </c>
    </row>
    <row r="931" spans="1:4" x14ac:dyDescent="0.2">
      <c r="A931" s="5">
        <v>870</v>
      </c>
      <c r="B931" s="138">
        <f>'Expenditures 15-22'!F114</f>
        <v>82875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27219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27219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27219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3899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1103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5032</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538</v>
      </c>
      <c r="D1023" s="2" t="str">
        <f t="shared" ref="D1023:D1086" si="15">IF(ISBLANK(B1023),"OK",IF(A1023-B1023=0,"OK","Error?"))</f>
        <v>Error?</v>
      </c>
    </row>
    <row r="1024" spans="1:4" x14ac:dyDescent="0.2">
      <c r="A1024" s="5">
        <v>963</v>
      </c>
      <c r="B1024" s="138">
        <f>'Expenditures 15-22'!H53</f>
        <v>538</v>
      </c>
      <c r="C1024" s="2" t="s">
        <v>594</v>
      </c>
      <c r="D1024" s="2" t="str">
        <f t="shared" si="15"/>
        <v>Error?</v>
      </c>
    </row>
    <row r="1025" spans="1:4" x14ac:dyDescent="0.2">
      <c r="A1025" s="5">
        <v>964</v>
      </c>
      <c r="B1025" s="138">
        <f>'Expenditures 15-22'!H55</f>
        <v>100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642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642</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1280</v>
      </c>
      <c r="C1045" s="2" t="s">
        <v>594</v>
      </c>
      <c r="D1045" s="2" t="str">
        <f t="shared" si="15"/>
        <v>Error?</v>
      </c>
    </row>
    <row r="1046" spans="1:4" x14ac:dyDescent="0.2">
      <c r="A1046" s="5">
        <v>985</v>
      </c>
      <c r="B1046" s="138">
        <f>'Expenditures 15-22'!H75</f>
        <v>50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6362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821153</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28475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1138090</v>
      </c>
      <c r="C1108" s="2" t="s">
        <v>594</v>
      </c>
      <c r="D1108" s="2" t="str">
        <f t="shared" si="16"/>
        <v>Error?</v>
      </c>
    </row>
    <row r="1109" spans="1:4" x14ac:dyDescent="0.2">
      <c r="A1109" s="5">
        <v>1048</v>
      </c>
      <c r="B1109" s="138">
        <f>'Expenditures 15-22'!K36</f>
        <v>7353</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16077</v>
      </c>
      <c r="C1114" s="2" t="s">
        <v>594</v>
      </c>
      <c r="D1114" s="2" t="str">
        <f t="shared" si="16"/>
        <v>Error?</v>
      </c>
    </row>
    <row r="1115" spans="1:4" x14ac:dyDescent="0.2">
      <c r="A1115" s="5">
        <v>1054</v>
      </c>
      <c r="B1115" s="138">
        <f>'Expenditures 15-22'!K42</f>
        <v>23430</v>
      </c>
      <c r="C1115" s="2" t="s">
        <v>594</v>
      </c>
      <c r="D1115" s="2" t="str">
        <f t="shared" si="16"/>
        <v>Error?</v>
      </c>
    </row>
    <row r="1116" spans="1:4" x14ac:dyDescent="0.2">
      <c r="A1116" s="5">
        <v>1055</v>
      </c>
      <c r="B1116" s="138">
        <f>'Expenditures 15-22'!K44</f>
        <v>14042</v>
      </c>
      <c r="C1116" s="2" t="s">
        <v>594</v>
      </c>
      <c r="D1116" s="2" t="str">
        <f t="shared" si="16"/>
        <v>Error?</v>
      </c>
    </row>
    <row r="1117" spans="1:4" x14ac:dyDescent="0.2">
      <c r="A1117" s="5">
        <v>1056</v>
      </c>
      <c r="B1117" s="138">
        <f>'Expenditures 15-22'!K45</f>
        <v>10855</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24897</v>
      </c>
      <c r="C1119" s="2" t="s">
        <v>594</v>
      </c>
      <c r="D1119" s="2" t="str">
        <f t="shared" si="16"/>
        <v>Error?</v>
      </c>
    </row>
    <row r="1120" spans="1:4" x14ac:dyDescent="0.2">
      <c r="A1120" s="5">
        <v>1059</v>
      </c>
      <c r="B1120" s="138">
        <f>'Expenditures 15-22'!K49</f>
        <v>131</v>
      </c>
      <c r="C1120" s="2" t="s">
        <v>594</v>
      </c>
      <c r="D1120" s="2" t="str">
        <f t="shared" si="16"/>
        <v>Error?</v>
      </c>
    </row>
    <row r="1121" spans="1:4" x14ac:dyDescent="0.2">
      <c r="A1121" s="5">
        <v>1060</v>
      </c>
      <c r="B1121" s="138">
        <f>'Expenditures 15-22'!K50</f>
        <v>63363</v>
      </c>
      <c r="C1121" s="2" t="s">
        <v>594</v>
      </c>
      <c r="D1121" s="2" t="str">
        <f t="shared" si="16"/>
        <v>Error?</v>
      </c>
    </row>
    <row r="1122" spans="1:4" x14ac:dyDescent="0.2">
      <c r="A1122" s="5">
        <v>1061</v>
      </c>
      <c r="B1122" s="138">
        <f>'Expenditures 15-22'!K53</f>
        <v>63494</v>
      </c>
      <c r="C1122" s="2" t="s">
        <v>594</v>
      </c>
      <c r="D1122" s="2" t="str">
        <f t="shared" si="16"/>
        <v>Error?</v>
      </c>
    </row>
    <row r="1123" spans="1:4" x14ac:dyDescent="0.2">
      <c r="A1123" s="5">
        <v>1062</v>
      </c>
      <c r="B1123" s="138">
        <f>'Expenditures 15-22'!K55</f>
        <v>67964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67964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65785</v>
      </c>
      <c r="C1127" s="2" t="s">
        <v>594</v>
      </c>
      <c r="D1127" s="2" t="str">
        <f t="shared" si="16"/>
        <v>Error?</v>
      </c>
    </row>
    <row r="1128" spans="1:4" x14ac:dyDescent="0.2">
      <c r="A1128" s="5">
        <v>1067</v>
      </c>
      <c r="B1128" s="138">
        <f>'Expenditures 15-22'!K61</f>
        <v>67547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69518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202850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11719</v>
      </c>
      <c r="C1139" s="2" t="s">
        <v>594</v>
      </c>
      <c r="D1139" s="2" t="str">
        <f t="shared" si="16"/>
        <v>Error?</v>
      </c>
    </row>
    <row r="1140" spans="1:4" x14ac:dyDescent="0.2">
      <c r="A1140" s="10">
        <v>1079</v>
      </c>
      <c r="D1140" s="2" t="str">
        <f t="shared" si="16"/>
        <v>OK</v>
      </c>
    </row>
    <row r="1141" spans="1:4" x14ac:dyDescent="0.2">
      <c r="A1141" s="5">
        <v>1080</v>
      </c>
      <c r="B1141" s="138">
        <f>'Expenditures 15-22'!K72</f>
        <v>11719</v>
      </c>
      <c r="C1141" s="2" t="s">
        <v>594</v>
      </c>
      <c r="D1141" s="2" t="str">
        <f t="shared" si="16"/>
        <v>Error?</v>
      </c>
    </row>
    <row r="1142" spans="1:4" x14ac:dyDescent="0.2">
      <c r="A1142" s="5">
        <v>1081</v>
      </c>
      <c r="B1142" s="138">
        <f>'Expenditures 15-22'!K73</f>
        <v>952</v>
      </c>
      <c r="C1142" s="2" t="s">
        <v>594</v>
      </c>
      <c r="D1142" s="2" t="str">
        <f t="shared" si="16"/>
        <v>Error?</v>
      </c>
    </row>
    <row r="1143" spans="1:4" x14ac:dyDescent="0.2">
      <c r="A1143" s="5">
        <v>1082</v>
      </c>
      <c r="B1143" s="138">
        <f>'Expenditures 15-22'!K74</f>
        <v>395306</v>
      </c>
      <c r="C1143" s="2" t="s">
        <v>594</v>
      </c>
      <c r="D1143" s="2" t="str">
        <f t="shared" si="16"/>
        <v>Error?</v>
      </c>
    </row>
    <row r="1144" spans="1:4" x14ac:dyDescent="0.2">
      <c r="A1144" s="5">
        <v>1083</v>
      </c>
      <c r="B1144" s="138">
        <f>'Expenditures 15-22'!K75</f>
        <v>82568</v>
      </c>
      <c r="C1144" s="2" t="s">
        <v>594</v>
      </c>
      <c r="D1144" s="2" t="str">
        <f t="shared" si="16"/>
        <v>Error?</v>
      </c>
    </row>
    <row r="1145" spans="1:4" x14ac:dyDescent="0.2">
      <c r="A1145" s="5">
        <v>1084</v>
      </c>
      <c r="B1145" s="138">
        <f>'Expenditures 15-22'!K102</f>
        <v>26200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1642164</v>
      </c>
      <c r="C1152" s="2" t="s">
        <v>594</v>
      </c>
      <c r="D1152" s="2" t="str">
        <f t="shared" si="17"/>
        <v>Error?</v>
      </c>
    </row>
    <row r="1153" spans="1:4" x14ac:dyDescent="0.2">
      <c r="A1153" s="5">
        <v>1092</v>
      </c>
      <c r="B1153" s="138">
        <f>'Expenditures 15-22'!K115</f>
        <v>98755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30344</v>
      </c>
      <c r="D1221" s="2" t="str">
        <f t="shared" si="18"/>
        <v>Error?</v>
      </c>
    </row>
    <row r="1222" spans="1:4" x14ac:dyDescent="0.2">
      <c r="A1222" s="10">
        <v>1161</v>
      </c>
      <c r="D1222" s="2" t="str">
        <f t="shared" si="18"/>
        <v>OK</v>
      </c>
    </row>
    <row r="1223" spans="1:4" x14ac:dyDescent="0.2">
      <c r="A1223" s="5">
        <v>1162</v>
      </c>
      <c r="B1223" s="138">
        <f>'Expenditures 15-22'!C127</f>
        <v>30344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30344</v>
      </c>
      <c r="C1225" s="2" t="s">
        <v>594</v>
      </c>
      <c r="D1225" s="2" t="str">
        <f t="shared" si="18"/>
        <v>Error?</v>
      </c>
    </row>
    <row r="1226" spans="1:4" x14ac:dyDescent="0.2">
      <c r="A1226" s="5">
        <v>1165</v>
      </c>
      <c r="B1226" s="138">
        <f>'Expenditures 15-22'!C151</f>
        <v>30344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3975</v>
      </c>
      <c r="D1229" s="2" t="str">
        <f t="shared" si="18"/>
        <v>Error?</v>
      </c>
    </row>
    <row r="1230" spans="1:4" x14ac:dyDescent="0.2">
      <c r="A1230" s="10">
        <v>1169</v>
      </c>
      <c r="D1230" s="2" t="str">
        <f t="shared" si="18"/>
        <v>OK</v>
      </c>
    </row>
    <row r="1231" spans="1:4" x14ac:dyDescent="0.2">
      <c r="A1231" s="5">
        <v>1170</v>
      </c>
      <c r="B1231" s="138">
        <f>'Expenditures 15-22'!D127</f>
        <v>3975</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3975</v>
      </c>
      <c r="C1233" s="2" t="s">
        <v>594</v>
      </c>
      <c r="D1233" s="2" t="str">
        <f t="shared" si="18"/>
        <v>Error?</v>
      </c>
    </row>
    <row r="1234" spans="1:4" x14ac:dyDescent="0.2">
      <c r="A1234" s="5">
        <v>1173</v>
      </c>
      <c r="B1234" s="138">
        <f>'Expenditures 15-22'!D151</f>
        <v>3975</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4489</v>
      </c>
      <c r="D1237" s="2" t="str">
        <f t="shared" si="18"/>
        <v>Error?</v>
      </c>
    </row>
    <row r="1238" spans="1:4" x14ac:dyDescent="0.2">
      <c r="A1238" s="10">
        <v>1177</v>
      </c>
      <c r="D1238" s="2" t="str">
        <f t="shared" si="18"/>
        <v>OK</v>
      </c>
    </row>
    <row r="1239" spans="1:4" x14ac:dyDescent="0.2">
      <c r="A1239" s="5">
        <v>1178</v>
      </c>
      <c r="B1239" s="138">
        <f>'Expenditures 15-22'!E127</f>
        <v>4489</v>
      </c>
      <c r="C1239" s="2" t="s">
        <v>594</v>
      </c>
      <c r="D1239" s="2" t="str">
        <f t="shared" si="18"/>
        <v>Error?</v>
      </c>
    </row>
    <row r="1240" spans="1:4" x14ac:dyDescent="0.2">
      <c r="A1240" s="5">
        <v>1179</v>
      </c>
      <c r="B1240" s="138">
        <f>'Expenditures 15-22'!E128</f>
        <v>3708</v>
      </c>
      <c r="D1240" s="2" t="str">
        <f t="shared" si="18"/>
        <v>Error?</v>
      </c>
    </row>
    <row r="1241" spans="1:4" x14ac:dyDescent="0.2">
      <c r="A1241" s="5">
        <v>1180</v>
      </c>
      <c r="B1241" s="138">
        <f>'Expenditures 15-22'!E129</f>
        <v>8197</v>
      </c>
      <c r="C1241" s="2" t="s">
        <v>594</v>
      </c>
      <c r="D1241" s="2" t="str">
        <f t="shared" si="18"/>
        <v>Error?</v>
      </c>
    </row>
    <row r="1242" spans="1:4" x14ac:dyDescent="0.2">
      <c r="A1242" s="5">
        <v>1181</v>
      </c>
      <c r="B1242" s="138">
        <f>'Expenditures 15-22'!E151</f>
        <v>8197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77630</v>
      </c>
      <c r="D1245" s="2" t="str">
        <f t="shared" si="18"/>
        <v>Error?</v>
      </c>
    </row>
    <row r="1246" spans="1:4" x14ac:dyDescent="0.2">
      <c r="A1246" s="10">
        <v>1185</v>
      </c>
      <c r="D1246" s="2" t="str">
        <f t="shared" si="18"/>
        <v>OK</v>
      </c>
    </row>
    <row r="1247" spans="1:4" x14ac:dyDescent="0.2">
      <c r="A1247" s="5">
        <v>1186</v>
      </c>
      <c r="B1247" s="138">
        <f>'Expenditures 15-22'!F127</f>
        <v>77630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77630</v>
      </c>
      <c r="C1249" s="2" t="s">
        <v>594</v>
      </c>
      <c r="D1249" s="2" t="str">
        <f t="shared" si="18"/>
        <v>Error?</v>
      </c>
    </row>
    <row r="1250" spans="1:4" x14ac:dyDescent="0.2">
      <c r="A1250" s="5">
        <v>1189</v>
      </c>
      <c r="B1250" s="138">
        <f>'Expenditures 15-22'!F151</f>
        <v>77630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8388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8388</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8388</v>
      </c>
      <c r="C1258" s="2" t="s">
        <v>594</v>
      </c>
      <c r="D1258" s="2" t="str">
        <f t="shared" si="18"/>
        <v>Error?</v>
      </c>
    </row>
    <row r="1259" spans="1:4" x14ac:dyDescent="0.2">
      <c r="A1259" s="5">
        <v>1198</v>
      </c>
      <c r="B1259" s="138">
        <f>'Expenditures 15-22'!G151</f>
        <v>8388</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124826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124826</v>
      </c>
      <c r="C1279" s="2" t="s">
        <v>594</v>
      </c>
      <c r="D1279" s="2" t="str">
        <f t="shared" ref="D1279:D1342" si="19">IF(ISBLANK(B1279),"OK",IF(A1279-B1279=0,"OK","Error?"))</f>
        <v>Error?</v>
      </c>
    </row>
    <row r="1280" spans="1:4" x14ac:dyDescent="0.2">
      <c r="A1280" s="5">
        <v>1219</v>
      </c>
      <c r="B1280" s="138">
        <f>'Expenditures 15-22'!K128</f>
        <v>3708</v>
      </c>
      <c r="C1280" s="2" t="s">
        <v>594</v>
      </c>
      <c r="D1280" s="2" t="str">
        <f t="shared" si="19"/>
        <v>Error?</v>
      </c>
    </row>
    <row r="1281" spans="1:4" x14ac:dyDescent="0.2">
      <c r="A1281" s="5">
        <v>1220</v>
      </c>
      <c r="B1281" s="138">
        <f>'Expenditures 15-22'!K129</f>
        <v>128534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128534</v>
      </c>
      <c r="C1288" s="2" t="s">
        <v>594</v>
      </c>
      <c r="D1288" s="2" t="str">
        <f t="shared" si="19"/>
        <v>Error?</v>
      </c>
    </row>
    <row r="1289" spans="1:4" x14ac:dyDescent="0.2">
      <c r="A1289" s="5">
        <v>1228</v>
      </c>
      <c r="B1289" s="138">
        <f>'Expenditures 15-22'!K152</f>
        <v>10468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22017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500</v>
      </c>
      <c r="C1314" s="2" t="s">
        <v>594</v>
      </c>
      <c r="D1314" s="2" t="str">
        <f t="shared" si="19"/>
        <v>Error?</v>
      </c>
    </row>
    <row r="1315" spans="1:4" x14ac:dyDescent="0.2">
      <c r="A1315" s="5">
        <v>1254</v>
      </c>
      <c r="B1315" s="138">
        <f>'Expenditures 15-22'!H170</f>
        <v>120000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142517</v>
      </c>
      <c r="C1317" s="2" t="s">
        <v>594</v>
      </c>
      <c r="D1317" s="2" t="str">
        <f t="shared" si="19"/>
        <v>Error?</v>
      </c>
    </row>
    <row r="1318" spans="1:4" x14ac:dyDescent="0.2">
      <c r="A1318" s="5">
        <v>1257</v>
      </c>
      <c r="B1318" s="138">
        <f>'Expenditures 15-22'!H174</f>
        <v>142517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22017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500</v>
      </c>
      <c r="C1328" s="2" t="s">
        <v>594</v>
      </c>
      <c r="D1328" s="2" t="str">
        <f t="shared" si="19"/>
        <v>Error?</v>
      </c>
    </row>
    <row r="1329" spans="1:4" x14ac:dyDescent="0.2">
      <c r="A1329" s="5">
        <v>1268</v>
      </c>
      <c r="B1329" s="138">
        <f>'Expenditures 15-22'!K170</f>
        <v>120000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142517</v>
      </c>
      <c r="C1331" s="2" t="s">
        <v>594</v>
      </c>
      <c r="D1331" s="2" t="str">
        <f t="shared" si="19"/>
        <v>Error?</v>
      </c>
    </row>
    <row r="1332" spans="1:4" x14ac:dyDescent="0.2">
      <c r="A1332" s="5">
        <v>1271</v>
      </c>
      <c r="B1332" s="138">
        <f>'Expenditures 15-22'!K174</f>
        <v>142517</v>
      </c>
      <c r="C1332" s="2" t="s">
        <v>594</v>
      </c>
      <c r="D1332" s="2" t="str">
        <f t="shared" si="19"/>
        <v>Error?</v>
      </c>
    </row>
    <row r="1333" spans="1:4" x14ac:dyDescent="0.2">
      <c r="A1333" s="5">
        <v>1272</v>
      </c>
      <c r="B1333" s="138">
        <f>'Expenditures 15-22'!K175</f>
        <v>-3760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101968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101968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101968</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101968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101968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101968</v>
      </c>
      <c r="C1388" s="2" t="s">
        <v>594</v>
      </c>
      <c r="D1388" s="2" t="str">
        <f t="shared" si="20"/>
        <v>Error?</v>
      </c>
    </row>
    <row r="1389" spans="1:4" x14ac:dyDescent="0.2">
      <c r="A1389" s="5">
        <v>1328</v>
      </c>
      <c r="B1389" s="138">
        <f>'Expenditures 15-22'!K211</f>
        <v>13123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1153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25055</v>
      </c>
      <c r="C1410" s="2" t="s">
        <v>594</v>
      </c>
      <c r="D1410" s="2" t="str">
        <f t="shared" si="21"/>
        <v>Error?</v>
      </c>
    </row>
    <row r="1411" spans="1:4" x14ac:dyDescent="0.2">
      <c r="A1411" s="5">
        <v>1350</v>
      </c>
      <c r="B1411" s="138">
        <f>'Expenditures 15-22'!D232</f>
        <v>1086</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2085</v>
      </c>
      <c r="D1416" s="2" t="str">
        <f t="shared" si="21"/>
        <v>Error?</v>
      </c>
    </row>
    <row r="1417" spans="1:4" x14ac:dyDescent="0.2">
      <c r="A1417" s="5">
        <v>1356</v>
      </c>
      <c r="B1417" s="138">
        <f>'Expenditures 15-22'!D238</f>
        <v>3171</v>
      </c>
      <c r="C1417" s="2" t="s">
        <v>594</v>
      </c>
      <c r="D1417" s="2" t="str">
        <f t="shared" si="21"/>
        <v>Error?</v>
      </c>
    </row>
    <row r="1418" spans="1:4" x14ac:dyDescent="0.2">
      <c r="A1418" s="5">
        <v>1357</v>
      </c>
      <c r="B1418" s="138">
        <f>'Expenditures 15-22'!D240</f>
        <v>50</v>
      </c>
      <c r="D1418" s="2" t="str">
        <f t="shared" si="21"/>
        <v>Error?</v>
      </c>
    </row>
    <row r="1419" spans="1:4" x14ac:dyDescent="0.2">
      <c r="A1419" s="5">
        <v>1358</v>
      </c>
      <c r="B1419" s="138">
        <f>'Expenditures 15-22'!D241</f>
        <v>458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508</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913</v>
      </c>
      <c r="D1423" s="2" t="str">
        <f t="shared" si="21"/>
        <v>Error?</v>
      </c>
    </row>
    <row r="1424" spans="1:4" x14ac:dyDescent="0.2">
      <c r="A1424" s="5">
        <v>1363</v>
      </c>
      <c r="B1424" s="138">
        <f>'Expenditures 15-22'!D257</f>
        <v>913</v>
      </c>
      <c r="C1424" s="2" t="s">
        <v>594</v>
      </c>
      <c r="D1424" s="2" t="str">
        <f t="shared" si="21"/>
        <v>Error?</v>
      </c>
    </row>
    <row r="1425" spans="1:4" x14ac:dyDescent="0.2">
      <c r="A1425" s="5">
        <v>1364</v>
      </c>
      <c r="B1425" s="138">
        <f>'Expenditures 15-22'!D259</f>
        <v>730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730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9929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10717</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4185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24831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30153</v>
      </c>
      <c r="C1446" s="2" t="s">
        <v>594</v>
      </c>
      <c r="D1446" s="2" t="str">
        <f t="shared" si="21"/>
        <v>Error?</v>
      </c>
    </row>
    <row r="1447" spans="1:4" x14ac:dyDescent="0.2">
      <c r="A1447" s="5">
        <v>1386</v>
      </c>
      <c r="B1447" s="138">
        <f>'Expenditures 15-22'!D280</f>
        <v>9769</v>
      </c>
      <c r="D1447" s="2" t="str">
        <f t="shared" si="21"/>
        <v>Error?</v>
      </c>
    </row>
    <row r="1448" spans="1:4" x14ac:dyDescent="0.2">
      <c r="A1448" s="5">
        <v>1387</v>
      </c>
      <c r="B1448" s="138">
        <f>'Expenditures 15-22'!D295</f>
        <v>64977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1153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25055</v>
      </c>
      <c r="C1474" s="2" t="s">
        <v>594</v>
      </c>
      <c r="D1474" s="2" t="str">
        <f t="shared" si="22"/>
        <v>Error?</v>
      </c>
    </row>
    <row r="1475" spans="1:4" x14ac:dyDescent="0.2">
      <c r="A1475" s="5">
        <v>1414</v>
      </c>
      <c r="B1475" s="138">
        <f>'Expenditures 15-22'!K232</f>
        <v>1086</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2085</v>
      </c>
      <c r="C1480" s="2" t="s">
        <v>594</v>
      </c>
      <c r="D1480" s="2" t="str">
        <f t="shared" si="22"/>
        <v>Error?</v>
      </c>
    </row>
    <row r="1481" spans="1:4" x14ac:dyDescent="0.2">
      <c r="A1481" s="5">
        <v>1420</v>
      </c>
      <c r="B1481" s="138">
        <f>'Expenditures 15-22'!K238</f>
        <v>3171</v>
      </c>
      <c r="C1481" s="2" t="s">
        <v>594</v>
      </c>
      <c r="D1481" s="2" t="str">
        <f t="shared" si="22"/>
        <v>Error?</v>
      </c>
    </row>
    <row r="1482" spans="1:4" x14ac:dyDescent="0.2">
      <c r="A1482" s="5">
        <v>1421</v>
      </c>
      <c r="B1482" s="138">
        <f>'Expenditures 15-22'!K240</f>
        <v>50</v>
      </c>
      <c r="C1482" s="2" t="s">
        <v>594</v>
      </c>
      <c r="D1482" s="2" t="str">
        <f t="shared" si="22"/>
        <v>Error?</v>
      </c>
    </row>
    <row r="1483" spans="1:4" x14ac:dyDescent="0.2">
      <c r="A1483" s="5">
        <v>1422</v>
      </c>
      <c r="B1483" s="138">
        <f>'Expenditures 15-22'!K241</f>
        <v>458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508</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913</v>
      </c>
      <c r="C1487" s="2" t="s">
        <v>594</v>
      </c>
      <c r="D1487" s="2" t="str">
        <f t="shared" si="22"/>
        <v>Error?</v>
      </c>
    </row>
    <row r="1488" spans="1:4" x14ac:dyDescent="0.2">
      <c r="A1488" s="5">
        <v>1427</v>
      </c>
      <c r="B1488" s="138">
        <f>'Expenditures 15-22'!K257</f>
        <v>913</v>
      </c>
      <c r="C1488" s="2" t="s">
        <v>594</v>
      </c>
      <c r="D1488" s="2" t="str">
        <f t="shared" si="22"/>
        <v>Error?</v>
      </c>
    </row>
    <row r="1489" spans="1:4" x14ac:dyDescent="0.2">
      <c r="A1489" s="5">
        <v>1428</v>
      </c>
      <c r="B1489" s="138">
        <f>'Expenditures 15-22'!K259</f>
        <v>730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730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9929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10717</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4185</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24831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30153</v>
      </c>
      <c r="C1510" s="2" t="s">
        <v>594</v>
      </c>
      <c r="D1510" s="2" t="str">
        <f t="shared" si="22"/>
        <v>Error?</v>
      </c>
    </row>
    <row r="1511" spans="1:4" x14ac:dyDescent="0.2">
      <c r="A1511" s="5">
        <v>1450</v>
      </c>
      <c r="B1511" s="138">
        <f>'Expenditures 15-22'!K280</f>
        <v>9769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64977</v>
      </c>
      <c r="C1517" s="2" t="s">
        <v>594</v>
      </c>
      <c r="D1517" s="2" t="str">
        <f t="shared" si="22"/>
        <v>Error?</v>
      </c>
    </row>
    <row r="1518" spans="1:4" x14ac:dyDescent="0.2">
      <c r="A1518" s="5">
        <v>1457</v>
      </c>
      <c r="B1518" s="138">
        <f>'Expenditures 15-22'!K296</f>
        <v>16867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9833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9833</v>
      </c>
      <c r="C1547" s="2" t="s">
        <v>594</v>
      </c>
      <c r="D1547" s="2" t="str">
        <f t="shared" si="23"/>
        <v>Error?</v>
      </c>
    </row>
    <row r="1548" spans="1:4" x14ac:dyDescent="0.2">
      <c r="A1548" s="5">
        <v>1487</v>
      </c>
      <c r="B1548" s="138">
        <f>'Expenditures 15-22'!G312</f>
        <v>9833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9833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9833</v>
      </c>
      <c r="C1559" s="2" t="s">
        <v>594</v>
      </c>
      <c r="D1559" s="2" t="str">
        <f t="shared" si="23"/>
        <v>Error?</v>
      </c>
    </row>
    <row r="1560" spans="1:4" x14ac:dyDescent="0.2">
      <c r="A1560" s="5">
        <v>1499</v>
      </c>
      <c r="B1560" s="138">
        <f>'Expenditures 15-22'!K312</f>
        <v>9833</v>
      </c>
      <c r="C1560" s="2" t="s">
        <v>594</v>
      </c>
      <c r="D1560" s="2" t="str">
        <f t="shared" si="23"/>
        <v>Error?</v>
      </c>
    </row>
    <row r="1561" spans="1:4" x14ac:dyDescent="0.2">
      <c r="A1561" s="5">
        <v>1500</v>
      </c>
      <c r="B1561" s="138">
        <f>'Expenditures 15-22'!K313</f>
        <v>92668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605462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704217</v>
      </c>
      <c r="C1630" s="2" t="s">
        <v>594</v>
      </c>
      <c r="D1630" s="2" t="str">
        <f t="shared" si="24"/>
        <v>Error?</v>
      </c>
    </row>
    <row r="1631" spans="1:4" x14ac:dyDescent="0.2">
      <c r="A1631" s="5">
        <v>1570</v>
      </c>
      <c r="B1631" s="138">
        <f>'Acct Summary 7-8'!D79</f>
        <v>204096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214564</v>
      </c>
      <c r="C1644" s="2" t="s">
        <v>594</v>
      </c>
      <c r="D1644" s="2" t="str">
        <f t="shared" si="24"/>
        <v>Error?</v>
      </c>
    </row>
    <row r="1645" spans="1:4" x14ac:dyDescent="0.2">
      <c r="A1645" s="5">
        <v>1584</v>
      </c>
      <c r="B1645" s="138">
        <f>'Acct Summary 7-8'!E79</f>
        <v>18709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14949</v>
      </c>
      <c r="C1658" s="2" t="s">
        <v>594</v>
      </c>
      <c r="D1658" s="2" t="str">
        <f t="shared" si="24"/>
        <v>Error?</v>
      </c>
    </row>
    <row r="1659" spans="1:4" x14ac:dyDescent="0.2">
      <c r="A1659" s="5">
        <v>1598</v>
      </c>
      <c r="B1659" s="138">
        <f>'Acct Summary 7-8'!F79</f>
        <v>64860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77983</v>
      </c>
      <c r="C1672" s="2" t="s">
        <v>594</v>
      </c>
      <c r="D1672" s="2" t="str">
        <f t="shared" si="25"/>
        <v>Error?</v>
      </c>
    </row>
    <row r="1673" spans="1:4" x14ac:dyDescent="0.2">
      <c r="A1673" s="5">
        <v>1612</v>
      </c>
      <c r="B1673" s="138">
        <f>'Acct Summary 7-8'!G79</f>
        <v>112609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129476</v>
      </c>
      <c r="C1686" s="2" t="s">
        <v>594</v>
      </c>
      <c r="D1686" s="2" t="str">
        <f t="shared" si="25"/>
        <v>Error?</v>
      </c>
    </row>
    <row r="1687" spans="1:4" x14ac:dyDescent="0.2">
      <c r="A1687" s="5">
        <v>1626</v>
      </c>
      <c r="B1687" s="138">
        <f>'Acct Summary 7-8'!H79</f>
        <v>11264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103932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682561</v>
      </c>
      <c r="C1744" s="2" t="s">
        <v>594</v>
      </c>
      <c r="D1744" s="2" t="str">
        <f t="shared" si="26"/>
        <v>Error?</v>
      </c>
    </row>
    <row r="1745" spans="1:5" x14ac:dyDescent="0.2">
      <c r="A1745" s="5">
        <v>1684</v>
      </c>
      <c r="B1745" s="138">
        <f>'Tax Sched 23'!B5</f>
        <v>124776</v>
      </c>
      <c r="C1745" s="2" t="s">
        <v>594</v>
      </c>
      <c r="D1745" s="2" t="str">
        <f t="shared" si="26"/>
        <v>Error?</v>
      </c>
    </row>
    <row r="1746" spans="1:5" x14ac:dyDescent="0.2">
      <c r="A1746" s="5">
        <v>1685</v>
      </c>
      <c r="B1746" s="138">
        <f>'Tax Sched 23'!B6</f>
        <v>138575</v>
      </c>
      <c r="C1746" s="2" t="s">
        <v>594</v>
      </c>
      <c r="D1746" s="2" t="str">
        <f t="shared" si="26"/>
        <v>Error?</v>
      </c>
    </row>
    <row r="1747" spans="1:5" x14ac:dyDescent="0.2">
      <c r="A1747" s="5">
        <v>1686</v>
      </c>
      <c r="B1747" s="138">
        <f>'Tax Sched 23'!B7</f>
        <v>68041</v>
      </c>
      <c r="C1747" s="2" t="s">
        <v>594</v>
      </c>
      <c r="D1747" s="2" t="str">
        <f t="shared" si="26"/>
        <v>Error?</v>
      </c>
    </row>
    <row r="1748" spans="1:5" x14ac:dyDescent="0.2">
      <c r="A1748" s="5">
        <v>1687</v>
      </c>
      <c r="B1748" s="138">
        <f>'Tax Sched 23'!B8</f>
        <v>33023</v>
      </c>
      <c r="C1748" s="2" t="s">
        <v>594</v>
      </c>
      <c r="D1748" s="2" t="str">
        <f t="shared" si="26"/>
        <v>Error?</v>
      </c>
    </row>
    <row r="1749" spans="1:5" x14ac:dyDescent="0.2">
      <c r="A1749" s="5">
        <v>1688</v>
      </c>
      <c r="B1749" s="138">
        <f>'Tax Sched 23'!B10</f>
        <v>3238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150247</v>
      </c>
      <c r="C1752" s="2" t="s">
        <v>594</v>
      </c>
      <c r="D1752" s="2" t="str">
        <f t="shared" si="26"/>
        <v>Error?</v>
      </c>
    </row>
    <row r="1753" spans="1:5" x14ac:dyDescent="0.2">
      <c r="A1753" s="5">
        <v>1692</v>
      </c>
      <c r="B1753" s="138">
        <f>'Tax Sched 23'!B12</f>
        <v>29111</v>
      </c>
      <c r="C1753" s="2" t="s">
        <v>594</v>
      </c>
      <c r="D1753" s="2" t="str">
        <f t="shared" si="26"/>
        <v>Error?</v>
      </c>
    </row>
    <row r="1754" spans="1:5" x14ac:dyDescent="0.2">
      <c r="A1754" s="5">
        <v>1693</v>
      </c>
      <c r="B1754" s="138">
        <f>'Tax Sched 23'!B14</f>
        <v>13487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1301682</v>
      </c>
      <c r="C1759" s="2" t="s">
        <v>594</v>
      </c>
      <c r="D1759" s="2" t="str">
        <f t="shared" si="26"/>
        <v>Error?</v>
      </c>
    </row>
    <row r="1760" spans="1:5" x14ac:dyDescent="0.2">
      <c r="A1760" s="5">
        <v>1699</v>
      </c>
      <c r="B1760" s="138">
        <f>'Tax Sched 23'!D4</f>
        <v>682561</v>
      </c>
      <c r="C1760" s="2" t="s">
        <v>594</v>
      </c>
      <c r="D1760" s="2" t="str">
        <f t="shared" si="26"/>
        <v>Error?</v>
      </c>
    </row>
    <row r="1761" spans="1:5" x14ac:dyDescent="0.2">
      <c r="A1761" s="5">
        <v>1700</v>
      </c>
      <c r="B1761" s="138">
        <f>'Tax Sched 23'!D5</f>
        <v>124776</v>
      </c>
      <c r="C1761" s="2" t="s">
        <v>594</v>
      </c>
      <c r="D1761" s="2" t="str">
        <f t="shared" si="26"/>
        <v>Error?</v>
      </c>
    </row>
    <row r="1762" spans="1:5" s="8" customFormat="1" x14ac:dyDescent="0.2">
      <c r="A1762" s="5">
        <v>1701</v>
      </c>
      <c r="B1762" s="138">
        <f>'Tax Sched 23'!D6</f>
        <v>138575</v>
      </c>
      <c r="C1762" s="2" t="s">
        <v>594</v>
      </c>
      <c r="D1762" s="2" t="str">
        <f t="shared" si="26"/>
        <v>Error?</v>
      </c>
      <c r="E1762" s="9"/>
    </row>
    <row r="1763" spans="1:5" x14ac:dyDescent="0.2">
      <c r="A1763" s="5">
        <v>1702</v>
      </c>
      <c r="B1763" s="138">
        <f>'Tax Sched 23'!D7</f>
        <v>68041</v>
      </c>
      <c r="C1763" s="2" t="s">
        <v>594</v>
      </c>
      <c r="D1763" s="2" t="str">
        <f t="shared" si="26"/>
        <v>Error?</v>
      </c>
    </row>
    <row r="1764" spans="1:5" x14ac:dyDescent="0.2">
      <c r="A1764" s="5">
        <v>1703</v>
      </c>
      <c r="B1764" s="138">
        <f>'Tax Sched 23'!D8</f>
        <v>33023</v>
      </c>
      <c r="C1764" s="2" t="s">
        <v>594</v>
      </c>
      <c r="D1764" s="2" t="str">
        <f t="shared" si="26"/>
        <v>Error?</v>
      </c>
    </row>
    <row r="1765" spans="1:5" x14ac:dyDescent="0.2">
      <c r="A1765" s="5">
        <v>1704</v>
      </c>
      <c r="B1765" s="138">
        <f>'Tax Sched 23'!D10</f>
        <v>3238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150247</v>
      </c>
      <c r="C1768" s="2" t="s">
        <v>594</v>
      </c>
      <c r="D1768" s="2" t="str">
        <f t="shared" si="26"/>
        <v>Error?</v>
      </c>
    </row>
    <row r="1769" spans="1:5" x14ac:dyDescent="0.2">
      <c r="A1769" s="5">
        <v>1708</v>
      </c>
      <c r="B1769" s="138">
        <f>'Tax Sched 23'!D12</f>
        <v>29111</v>
      </c>
      <c r="C1769" s="2" t="s">
        <v>594</v>
      </c>
      <c r="D1769" s="2" t="str">
        <f t="shared" si="26"/>
        <v>Error?</v>
      </c>
    </row>
    <row r="1770" spans="1:5" x14ac:dyDescent="0.2">
      <c r="A1770" s="5">
        <v>1709</v>
      </c>
      <c r="B1770" s="138">
        <f>'Tax Sched 23'!D14</f>
        <v>13487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1301682</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706255.32000000007</v>
      </c>
      <c r="C1792" s="2" t="s">
        <v>594</v>
      </c>
      <c r="D1792" s="2" t="str">
        <f t="shared" si="27"/>
        <v>Error?</v>
      </c>
    </row>
    <row r="1793" spans="1:4" x14ac:dyDescent="0.2">
      <c r="A1793" s="5">
        <v>1732</v>
      </c>
      <c r="B1793" s="138">
        <f>'Tax Sched 23'!F5</f>
        <v>130711.16</v>
      </c>
      <c r="C1793" s="2" t="s">
        <v>594</v>
      </c>
      <c r="D1793" s="2" t="str">
        <f t="shared" si="27"/>
        <v>Error?</v>
      </c>
    </row>
    <row r="1794" spans="1:4" x14ac:dyDescent="0.2">
      <c r="A1794" s="5">
        <v>1733</v>
      </c>
      <c r="B1794" s="138">
        <f>'Tax Sched 23'!F6</f>
        <v>141924.88999999998</v>
      </c>
      <c r="C1794" s="2" t="s">
        <v>594</v>
      </c>
      <c r="D1794" s="2" t="str">
        <f t="shared" si="27"/>
        <v>Error?</v>
      </c>
    </row>
    <row r="1795" spans="1:4" x14ac:dyDescent="0.2">
      <c r="A1795" s="5">
        <v>1734</v>
      </c>
      <c r="B1795" s="138">
        <f>'Tax Sched 23'!F7</f>
        <v>79918.23</v>
      </c>
      <c r="C1795" s="2" t="s">
        <v>594</v>
      </c>
      <c r="D1795" s="2" t="str">
        <f t="shared" si="27"/>
        <v>Error?</v>
      </c>
    </row>
    <row r="1796" spans="1:4" x14ac:dyDescent="0.2">
      <c r="A1796" s="5">
        <v>1735</v>
      </c>
      <c r="B1796" s="138">
        <f>'Tax Sched 23'!F8</f>
        <v>30279.7</v>
      </c>
      <c r="C1796" s="2" t="s">
        <v>594</v>
      </c>
      <c r="D1796" s="2" t="str">
        <f t="shared" si="27"/>
        <v>Error?</v>
      </c>
    </row>
    <row r="1797" spans="1:4" x14ac:dyDescent="0.2">
      <c r="A1797" s="5">
        <v>1736</v>
      </c>
      <c r="B1797" s="138">
        <f>'Tax Sched 23'!F10</f>
        <v>2394.3199999999997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148752.02000000002</v>
      </c>
      <c r="C1800" s="2" t="s">
        <v>594</v>
      </c>
      <c r="D1800" s="2" t="str">
        <f t="shared" si="27"/>
        <v>Error?</v>
      </c>
    </row>
    <row r="1801" spans="1:4" x14ac:dyDescent="0.2">
      <c r="A1801" s="5">
        <v>1740</v>
      </c>
      <c r="B1801" s="138">
        <f>'Tax Sched 23'!F12</f>
        <v>21601.47</v>
      </c>
      <c r="C1801" s="2" t="s">
        <v>594</v>
      </c>
      <c r="D1801" s="2" t="str">
        <f t="shared" si="27"/>
        <v>Error?</v>
      </c>
    </row>
    <row r="1802" spans="1:4" x14ac:dyDescent="0.2">
      <c r="A1802" s="5">
        <v>1741</v>
      </c>
      <c r="B1802" s="138">
        <f>'Tax Sched 23'!F14</f>
        <v>16750.510000000002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1342058.21</v>
      </c>
      <c r="C1807" s="2" t="s">
        <v>594</v>
      </c>
      <c r="D1807" s="2" t="str">
        <f t="shared" si="27"/>
        <v>Error?</v>
      </c>
    </row>
    <row r="1808" spans="1:4" x14ac:dyDescent="0.2">
      <c r="A1808" s="5">
        <v>1747</v>
      </c>
      <c r="B1808" s="138">
        <f>'Tax Sched 23'!E4</f>
        <v>706255.32000000007</v>
      </c>
      <c r="D1808" s="2" t="str">
        <f t="shared" si="27"/>
        <v>Error?</v>
      </c>
    </row>
    <row r="1809" spans="1:4" x14ac:dyDescent="0.2">
      <c r="A1809" s="5">
        <v>1748</v>
      </c>
      <c r="B1809" s="138">
        <f>'Tax Sched 23'!E5</f>
        <v>130711.16</v>
      </c>
      <c r="D1809" s="2" t="str">
        <f t="shared" si="27"/>
        <v>Error?</v>
      </c>
    </row>
    <row r="1810" spans="1:4" x14ac:dyDescent="0.2">
      <c r="A1810" s="5">
        <v>1749</v>
      </c>
      <c r="B1810" s="138">
        <f>'Tax Sched 23'!E6</f>
        <v>141924.88999999998</v>
      </c>
      <c r="D1810" s="2" t="str">
        <f t="shared" si="27"/>
        <v>Error?</v>
      </c>
    </row>
    <row r="1811" spans="1:4" x14ac:dyDescent="0.2">
      <c r="A1811" s="5">
        <v>1750</v>
      </c>
      <c r="B1811" s="138">
        <f>'Tax Sched 23'!E7</f>
        <v>79918.23</v>
      </c>
      <c r="D1811" s="2" t="str">
        <f t="shared" si="27"/>
        <v>Error?</v>
      </c>
    </row>
    <row r="1812" spans="1:4" x14ac:dyDescent="0.2">
      <c r="A1812" s="5">
        <v>1751</v>
      </c>
      <c r="B1812" s="138">
        <f>'Tax Sched 23'!E8</f>
        <v>30279.7</v>
      </c>
      <c r="D1812" s="2" t="str">
        <f t="shared" si="27"/>
        <v>Error?</v>
      </c>
    </row>
    <row r="1813" spans="1:4" x14ac:dyDescent="0.2">
      <c r="A1813" s="5">
        <v>1752</v>
      </c>
      <c r="B1813" s="138">
        <f>'Tax Sched 23'!E10</f>
        <v>2394.3199999999997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148752.02000000002</v>
      </c>
      <c r="D1816" s="2" t="str">
        <f t="shared" si="27"/>
        <v>Error?</v>
      </c>
    </row>
    <row r="1817" spans="1:4" x14ac:dyDescent="0.2">
      <c r="A1817" s="5">
        <v>1756</v>
      </c>
      <c r="B1817" s="138">
        <f>'Tax Sched 23'!E12</f>
        <v>21601.47</v>
      </c>
      <c r="D1817" s="2" t="str">
        <f t="shared" si="27"/>
        <v>Error?</v>
      </c>
    </row>
    <row r="1818" spans="1:4" x14ac:dyDescent="0.2">
      <c r="A1818" s="5">
        <v>1757</v>
      </c>
      <c r="B1818" s="138">
        <f>'Tax Sched 23'!E14</f>
        <v>16750.510000000002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1342058.21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1180000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13487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13487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13487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331206</v>
      </c>
      <c r="D2008" s="2" t="str">
        <f t="shared" si="30"/>
        <v>Error?</v>
      </c>
    </row>
    <row r="2009" spans="1:4" x14ac:dyDescent="0.2">
      <c r="A2009" s="5">
        <v>1948</v>
      </c>
      <c r="B2009" s="138">
        <f>'Cap Outlay Deprec 26'!C8</f>
        <v>2983251</v>
      </c>
      <c r="D2009" s="2" t="str">
        <f t="shared" si="30"/>
        <v>Error?</v>
      </c>
    </row>
    <row r="2010" spans="1:4" x14ac:dyDescent="0.2">
      <c r="A2010" s="5">
        <v>1949</v>
      </c>
      <c r="B2010" s="138">
        <f>'Cap Outlay Deprec 26'!C10</f>
        <v>384474</v>
      </c>
      <c r="D2010" s="2" t="str">
        <f t="shared" si="30"/>
        <v>Error?</v>
      </c>
    </row>
    <row r="2011" spans="1:4" x14ac:dyDescent="0.2">
      <c r="A2011" s="5">
        <v>1950</v>
      </c>
      <c r="B2011" s="138">
        <f>'Cap Outlay Deprec 26'!C12</f>
        <v>278977</v>
      </c>
      <c r="D2011" s="2" t="str">
        <f t="shared" si="30"/>
        <v>Error?</v>
      </c>
    </row>
    <row r="2012" spans="1:4" x14ac:dyDescent="0.2">
      <c r="A2012" s="5">
        <v>1951</v>
      </c>
      <c r="B2012" s="138">
        <f>'Cap Outlay Deprec 26'!C13</f>
        <v>80146</v>
      </c>
      <c r="D2012" s="2" t="str">
        <f t="shared" si="30"/>
        <v>Error?</v>
      </c>
    </row>
    <row r="2013" spans="1:4" x14ac:dyDescent="0.2">
      <c r="A2013" s="5">
        <v>1952</v>
      </c>
      <c r="B2013" s="138">
        <f>'Cap Outlay Deprec 26'!C16</f>
        <v>4058054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9832</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35607</v>
      </c>
      <c r="D2018" s="2" t="str">
        <f t="shared" si="30"/>
        <v>Error?</v>
      </c>
    </row>
    <row r="2019" spans="1:4" x14ac:dyDescent="0.2">
      <c r="A2019" s="5">
        <v>1958</v>
      </c>
      <c r="B2019" s="138">
        <f>'Cap Outlay Deprec 26'!D16</f>
        <v>45439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331206</v>
      </c>
      <c r="C2026" s="2" t="s">
        <v>594</v>
      </c>
      <c r="D2026" s="2" t="str">
        <f t="shared" si="30"/>
        <v>Error?</v>
      </c>
    </row>
    <row r="2027" spans="1:4" x14ac:dyDescent="0.2">
      <c r="A2027" s="5">
        <v>1966</v>
      </c>
      <c r="B2027" s="138">
        <f>'Cap Outlay Deprec 26'!F8</f>
        <v>2983251</v>
      </c>
      <c r="C2027" s="2" t="s">
        <v>594</v>
      </c>
      <c r="D2027" s="2" t="str">
        <f t="shared" si="30"/>
        <v>Error?</v>
      </c>
    </row>
    <row r="2028" spans="1:4" x14ac:dyDescent="0.2">
      <c r="A2028" s="5">
        <v>1967</v>
      </c>
      <c r="B2028" s="138">
        <f>'Cap Outlay Deprec 26'!F10</f>
        <v>394306</v>
      </c>
      <c r="C2028" s="2" t="s">
        <v>594</v>
      </c>
      <c r="D2028" s="2" t="str">
        <f t="shared" si="30"/>
        <v>Error?</v>
      </c>
    </row>
    <row r="2029" spans="1:4" x14ac:dyDescent="0.2">
      <c r="A2029" s="5">
        <v>1968</v>
      </c>
      <c r="B2029" s="138">
        <f>'Cap Outlay Deprec 26'!F12</f>
        <v>278977</v>
      </c>
      <c r="C2029" s="2" t="s">
        <v>594</v>
      </c>
      <c r="D2029" s="2" t="str">
        <f t="shared" si="30"/>
        <v>Error?</v>
      </c>
    </row>
    <row r="2030" spans="1:4" x14ac:dyDescent="0.2">
      <c r="A2030" s="5">
        <v>1969</v>
      </c>
      <c r="B2030" s="138">
        <f>'Cap Outlay Deprec 26'!F13</f>
        <v>115753</v>
      </c>
      <c r="C2030" s="2" t="s">
        <v>594</v>
      </c>
      <c r="D2030" s="2" t="str">
        <f t="shared" si="30"/>
        <v>Error?</v>
      </c>
    </row>
    <row r="2031" spans="1:4" x14ac:dyDescent="0.2">
      <c r="A2031" s="5">
        <v>1970</v>
      </c>
      <c r="B2031" s="138">
        <f>'Cap Outlay Deprec 26'!F16</f>
        <v>4103493</v>
      </c>
      <c r="C2031" s="2" t="s">
        <v>594</v>
      </c>
      <c r="D2031" s="2" t="str">
        <f t="shared" si="30"/>
        <v>Error?</v>
      </c>
    </row>
    <row r="2032" spans="1:4" x14ac:dyDescent="0.2">
      <c r="A2032" s="10">
        <v>1971</v>
      </c>
      <c r="D2032" s="2" t="str">
        <f t="shared" si="30"/>
        <v>OK</v>
      </c>
    </row>
    <row r="2033" spans="1:4" x14ac:dyDescent="0.2">
      <c r="A2033" s="5">
        <v>1972</v>
      </c>
      <c r="B2033" s="138">
        <f>'Cap Outlay Deprec 26'!H8</f>
        <v>1120757</v>
      </c>
      <c r="D2033" s="2" t="str">
        <f t="shared" si="30"/>
        <v>Error?</v>
      </c>
    </row>
    <row r="2034" spans="1:4" x14ac:dyDescent="0.2">
      <c r="A2034" s="5">
        <v>1973</v>
      </c>
      <c r="B2034" s="138">
        <f>'Cap Outlay Deprec 26'!H10</f>
        <v>84377</v>
      </c>
      <c r="D2034" s="2" t="str">
        <f t="shared" si="30"/>
        <v>Error?</v>
      </c>
    </row>
    <row r="2035" spans="1:4" x14ac:dyDescent="0.2">
      <c r="A2035" s="5">
        <v>1974</v>
      </c>
      <c r="B2035" s="138">
        <f>'Cap Outlay Deprec 26'!H12</f>
        <v>278977</v>
      </c>
      <c r="D2035" s="2" t="str">
        <f t="shared" si="30"/>
        <v>Error?</v>
      </c>
    </row>
    <row r="2036" spans="1:4" x14ac:dyDescent="0.2">
      <c r="A2036" s="5">
        <v>1975</v>
      </c>
      <c r="B2036" s="138">
        <f>'Cap Outlay Deprec 26'!H13</f>
        <v>41778</v>
      </c>
      <c r="D2036" s="2" t="str">
        <f t="shared" si="30"/>
        <v>Error?</v>
      </c>
    </row>
    <row r="2037" spans="1:4" x14ac:dyDescent="0.2">
      <c r="A2037" s="5">
        <v>1976</v>
      </c>
      <c r="B2037" s="138">
        <f>'Cap Outlay Deprec 26'!H16</f>
        <v>1525889</v>
      </c>
      <c r="C2037" s="2" t="s">
        <v>594</v>
      </c>
      <c r="D2037" s="2" t="str">
        <f t="shared" si="30"/>
        <v>Error?</v>
      </c>
    </row>
    <row r="2038" spans="1:4" x14ac:dyDescent="0.2">
      <c r="A2038" s="10">
        <v>1977</v>
      </c>
      <c r="D2038" s="2" t="str">
        <f t="shared" si="30"/>
        <v>OK</v>
      </c>
    </row>
    <row r="2039" spans="1:4" x14ac:dyDescent="0.2">
      <c r="A2039" s="5">
        <v>1978</v>
      </c>
      <c r="B2039" s="138">
        <f>'Cap Outlay Deprec 26'!I8</f>
        <v>59665</v>
      </c>
      <c r="D2039" s="2" t="str">
        <f t="shared" si="30"/>
        <v>Error?</v>
      </c>
    </row>
    <row r="2040" spans="1:4" x14ac:dyDescent="0.2">
      <c r="A2040" s="5">
        <v>1979</v>
      </c>
      <c r="B2040" s="138">
        <f>'Cap Outlay Deprec 26'!I10</f>
        <v>19715</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20894</v>
      </c>
      <c r="D2042" s="2" t="str">
        <f t="shared" si="30"/>
        <v>Error?</v>
      </c>
    </row>
    <row r="2043" spans="1:4" x14ac:dyDescent="0.2">
      <c r="A2043" s="5">
        <v>1982</v>
      </c>
      <c r="B2043" s="138">
        <f>'Cap Outlay Deprec 26'!I16</f>
        <v>100274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1180422</v>
      </c>
      <c r="C2051" s="2" t="s">
        <v>594</v>
      </c>
      <c r="D2051" s="2" t="str">
        <f t="shared" si="31"/>
        <v>Error?</v>
      </c>
    </row>
    <row r="2052" spans="1:4" x14ac:dyDescent="0.2">
      <c r="A2052" s="5">
        <v>1991</v>
      </c>
      <c r="B2052" s="138">
        <f>'Cap Outlay Deprec 26'!K10</f>
        <v>104092</v>
      </c>
      <c r="C2052" s="2" t="s">
        <v>594</v>
      </c>
      <c r="D2052" s="2" t="str">
        <f t="shared" si="31"/>
        <v>Error?</v>
      </c>
    </row>
    <row r="2053" spans="1:4" x14ac:dyDescent="0.2">
      <c r="A2053" s="5">
        <v>1992</v>
      </c>
      <c r="B2053" s="138">
        <f>'Cap Outlay Deprec 26'!K12</f>
        <v>278977</v>
      </c>
      <c r="C2053" s="2" t="s">
        <v>594</v>
      </c>
      <c r="D2053" s="2" t="str">
        <f t="shared" si="31"/>
        <v>Error?</v>
      </c>
    </row>
    <row r="2054" spans="1:4" x14ac:dyDescent="0.2">
      <c r="A2054" s="5">
        <v>1993</v>
      </c>
      <c r="B2054" s="138">
        <f>'Cap Outlay Deprec 26'!K13</f>
        <v>62672</v>
      </c>
      <c r="C2054" s="2" t="s">
        <v>594</v>
      </c>
      <c r="D2054" s="2" t="str">
        <f t="shared" si="31"/>
        <v>Error?</v>
      </c>
    </row>
    <row r="2055" spans="1:4" x14ac:dyDescent="0.2">
      <c r="A2055" s="5">
        <v>1994</v>
      </c>
      <c r="B2055" s="138">
        <f>'Cap Outlay Deprec 26'!K16</f>
        <v>1626163</v>
      </c>
      <c r="C2055" s="2" t="s">
        <v>594</v>
      </c>
      <c r="D2055" s="2" t="str">
        <f t="shared" si="31"/>
        <v>Error?</v>
      </c>
    </row>
    <row r="2056" spans="1:4" x14ac:dyDescent="0.2">
      <c r="A2056" s="5">
        <v>1995</v>
      </c>
      <c r="B2056" s="138">
        <f>'Cap Outlay Deprec 26'!L5</f>
        <v>331206</v>
      </c>
      <c r="C2056" s="2" t="s">
        <v>594</v>
      </c>
      <c r="D2056" s="2" t="str">
        <f t="shared" si="31"/>
        <v>Error?</v>
      </c>
    </row>
    <row r="2057" spans="1:4" x14ac:dyDescent="0.2">
      <c r="A2057" s="5">
        <v>1996</v>
      </c>
      <c r="B2057" s="138">
        <f>'Cap Outlay Deprec 26'!L8</f>
        <v>1802829</v>
      </c>
      <c r="C2057" s="2" t="s">
        <v>594</v>
      </c>
      <c r="D2057" s="2" t="str">
        <f t="shared" si="31"/>
        <v>Error?</v>
      </c>
    </row>
    <row r="2058" spans="1:4" x14ac:dyDescent="0.2">
      <c r="A2058" s="5">
        <v>1997</v>
      </c>
      <c r="B2058" s="138">
        <f>'Cap Outlay Deprec 26'!L10</f>
        <v>290214</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53081</v>
      </c>
      <c r="C2060" s="2" t="s">
        <v>594</v>
      </c>
      <c r="D2060" s="2" t="str">
        <f t="shared" si="31"/>
        <v>Error?</v>
      </c>
    </row>
    <row r="2061" spans="1:4" x14ac:dyDescent="0.2">
      <c r="A2061" s="5">
        <v>2000</v>
      </c>
      <c r="B2061" s="138">
        <f>'Cap Outlay Deprec 26'!L16</f>
        <v>2477330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26200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129476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103932</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928916</v>
      </c>
      <c r="C2551" s="2" t="s">
        <v>594</v>
      </c>
      <c r="D2551" s="2" t="str">
        <f t="shared" si="38"/>
        <v>Error?</v>
      </c>
    </row>
    <row r="2552" spans="1:4" x14ac:dyDescent="0.2">
      <c r="A2552" s="10">
        <v>2491</v>
      </c>
      <c r="D2552" s="2" t="str">
        <f t="shared" si="38"/>
        <v>OK</v>
      </c>
    </row>
    <row r="2553" spans="1:4" x14ac:dyDescent="0.2">
      <c r="A2553" s="5">
        <v>2492</v>
      </c>
      <c r="B2553" s="138">
        <f>'Acct Summary 7-8'!C6</f>
        <v>644236</v>
      </c>
      <c r="C2553" s="2" t="s">
        <v>594</v>
      </c>
      <c r="D2553" s="2" t="str">
        <f t="shared" si="38"/>
        <v>Error?</v>
      </c>
    </row>
    <row r="2554" spans="1:4" x14ac:dyDescent="0.2">
      <c r="A2554" s="5">
        <v>2493</v>
      </c>
      <c r="B2554" s="138">
        <f>'Acct Summary 7-8'!C7</f>
        <v>167767</v>
      </c>
      <c r="C2554" s="2" t="s">
        <v>594</v>
      </c>
      <c r="D2554" s="2" t="str">
        <f t="shared" si="38"/>
        <v>Error?</v>
      </c>
    </row>
    <row r="2555" spans="1:4" x14ac:dyDescent="0.2">
      <c r="A2555" s="5">
        <v>2494</v>
      </c>
      <c r="B2555" s="138">
        <f>'Acct Summary 7-8'!C8</f>
        <v>1740919</v>
      </c>
      <c r="C2555" s="2" t="s">
        <v>594</v>
      </c>
      <c r="D2555" s="2" t="str">
        <f t="shared" si="38"/>
        <v>Error?</v>
      </c>
    </row>
    <row r="2556" spans="1:4" x14ac:dyDescent="0.2">
      <c r="A2556" s="5">
        <v>2495</v>
      </c>
      <c r="B2556" s="138">
        <f>'Acct Summary 7-8'!C12</f>
        <v>1138090</v>
      </c>
      <c r="C2556" s="2" t="s">
        <v>594</v>
      </c>
      <c r="D2556" s="2" t="str">
        <f t="shared" si="38"/>
        <v>Error?</v>
      </c>
    </row>
    <row r="2557" spans="1:4" x14ac:dyDescent="0.2">
      <c r="A2557" s="5">
        <v>2496</v>
      </c>
      <c r="B2557" s="138">
        <f>'Acct Summary 7-8'!C13</f>
        <v>395306</v>
      </c>
      <c r="C2557" s="2" t="s">
        <v>594</v>
      </c>
      <c r="D2557" s="2" t="str">
        <f t="shared" si="38"/>
        <v>Error?</v>
      </c>
    </row>
    <row r="2558" spans="1:4" x14ac:dyDescent="0.2">
      <c r="A2558" s="5">
        <v>2497</v>
      </c>
      <c r="B2558" s="138">
        <f>'Acct Summary 7-8'!C14</f>
        <v>82568</v>
      </c>
      <c r="C2558" s="2" t="s">
        <v>594</v>
      </c>
      <c r="D2558" s="2" t="str">
        <f t="shared" si="38"/>
        <v>Error?</v>
      </c>
    </row>
    <row r="2559" spans="1:4" x14ac:dyDescent="0.2">
      <c r="A2559" s="5">
        <v>2498</v>
      </c>
      <c r="B2559" s="138">
        <f>'Acct Summary 7-8'!C15</f>
        <v>26200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1642164</v>
      </c>
      <c r="C2561" s="2" t="s">
        <v>594</v>
      </c>
      <c r="D2561" s="2" t="str">
        <f t="shared" si="39"/>
        <v>Error?</v>
      </c>
    </row>
    <row r="2562" spans="1:4" x14ac:dyDescent="0.2">
      <c r="A2562" s="5">
        <v>2501</v>
      </c>
      <c r="B2562" s="138">
        <f>'Acct Summary 7-8'!C20</f>
        <v>98755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139002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139002</v>
      </c>
      <c r="C2568" s="2" t="s">
        <v>594</v>
      </c>
      <c r="D2568" s="2" t="str">
        <f t="shared" si="39"/>
        <v>Error?</v>
      </c>
    </row>
    <row r="2569" spans="1:4" x14ac:dyDescent="0.2">
      <c r="A2569" s="5">
        <v>2508</v>
      </c>
      <c r="B2569" s="138">
        <f>'Acct Summary 7-8'!D13</f>
        <v>128534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128534</v>
      </c>
      <c r="C2573" s="2" t="s">
        <v>594</v>
      </c>
      <c r="D2573" s="2" t="str">
        <f t="shared" si="39"/>
        <v>Error?</v>
      </c>
    </row>
    <row r="2574" spans="1:4" x14ac:dyDescent="0.2">
      <c r="A2574" s="5">
        <v>2513</v>
      </c>
      <c r="B2574" s="138">
        <f>'Acct Summary 7-8'!D20</f>
        <v>10468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69804</v>
      </c>
      <c r="C2591" s="2" t="s">
        <v>594</v>
      </c>
      <c r="D2591" s="2" t="str">
        <f t="shared" si="39"/>
        <v>Error?</v>
      </c>
    </row>
    <row r="2592" spans="1:4" x14ac:dyDescent="0.2">
      <c r="A2592" s="10">
        <v>2531</v>
      </c>
      <c r="D2592" s="2" t="str">
        <f t="shared" si="39"/>
        <v>OK</v>
      </c>
    </row>
    <row r="2593" spans="1:4" x14ac:dyDescent="0.2">
      <c r="A2593" s="5">
        <v>2532</v>
      </c>
      <c r="B2593" s="138">
        <f>'Acct Summary 7-8'!F6</f>
        <v>45287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115091</v>
      </c>
      <c r="C2595" s="2" t="s">
        <v>594</v>
      </c>
      <c r="D2595" s="2" t="str">
        <f t="shared" si="39"/>
        <v>Error?</v>
      </c>
    </row>
    <row r="2596" spans="1:4" x14ac:dyDescent="0.2">
      <c r="A2596" s="5">
        <v>2535</v>
      </c>
      <c r="B2596" s="138">
        <f>'Acct Summary 7-8'!F13</f>
        <v>101968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101968</v>
      </c>
      <c r="C2600" s="2" t="s">
        <v>594</v>
      </c>
      <c r="D2600" s="2" t="str">
        <f t="shared" si="39"/>
        <v>Error?</v>
      </c>
    </row>
    <row r="2601" spans="1:4" x14ac:dyDescent="0.2">
      <c r="A2601" s="5">
        <v>2540</v>
      </c>
      <c r="B2601" s="138">
        <f>'Acct Summary 7-8'!F20</f>
        <v>13123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81844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81844</v>
      </c>
      <c r="C2606" s="2" t="s">
        <v>594</v>
      </c>
      <c r="D2606" s="2" t="str">
        <f t="shared" si="39"/>
        <v>Error?</v>
      </c>
    </row>
    <row r="2607" spans="1:4" x14ac:dyDescent="0.2">
      <c r="A2607" s="5">
        <v>2546</v>
      </c>
      <c r="B2607" s="138">
        <f>'Acct Summary 7-8'!G12</f>
        <v>25055</v>
      </c>
      <c r="C2607" s="2" t="s">
        <v>594</v>
      </c>
      <c r="D2607" s="2" t="str">
        <f t="shared" si="39"/>
        <v>Error?</v>
      </c>
    </row>
    <row r="2608" spans="1:4" x14ac:dyDescent="0.2">
      <c r="A2608" s="5">
        <v>2547</v>
      </c>
      <c r="B2608" s="138">
        <f>'Acct Summary 7-8'!G13</f>
        <v>30153</v>
      </c>
      <c r="C2608" s="2" t="s">
        <v>594</v>
      </c>
      <c r="D2608" s="2" t="str">
        <f t="shared" si="39"/>
        <v>Error?</v>
      </c>
    </row>
    <row r="2609" spans="1:4" x14ac:dyDescent="0.2">
      <c r="A2609" s="5">
        <v>2548</v>
      </c>
      <c r="B2609" s="138">
        <f>'Acct Summary 7-8'!G14</f>
        <v>9769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64977</v>
      </c>
      <c r="C2612" s="2" t="s">
        <v>594</v>
      </c>
      <c r="D2612" s="2" t="str">
        <f t="shared" si="39"/>
        <v>Error?</v>
      </c>
    </row>
    <row r="2613" spans="1:4" x14ac:dyDescent="0.2">
      <c r="A2613" s="5">
        <v>2552</v>
      </c>
      <c r="B2613" s="138">
        <f>'Acct Summary 7-8'!G20</f>
        <v>16867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138757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138757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142517</v>
      </c>
      <c r="C2634" s="2" t="s">
        <v>594</v>
      </c>
      <c r="D2634" s="2" t="str">
        <f t="shared" si="40"/>
        <v>Error?</v>
      </c>
    </row>
    <row r="2635" spans="1:4" x14ac:dyDescent="0.2">
      <c r="A2635" s="5">
        <v>2574</v>
      </c>
      <c r="B2635" s="138">
        <f>'Acct Summary 7-8'!E17</f>
        <v>142517</v>
      </c>
      <c r="C2635" s="2" t="s">
        <v>594</v>
      </c>
      <c r="D2635" s="2" t="str">
        <f t="shared" si="40"/>
        <v>Error?</v>
      </c>
    </row>
    <row r="2636" spans="1:4" x14ac:dyDescent="0.2">
      <c r="A2636" s="5">
        <v>2575</v>
      </c>
      <c r="B2636" s="138">
        <f>'Acct Summary 7-8'!E20</f>
        <v>-3760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102501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102501</v>
      </c>
      <c r="C2658" s="2" t="s">
        <v>594</v>
      </c>
      <c r="D2658" s="2" t="str">
        <f t="shared" si="40"/>
        <v>Error?</v>
      </c>
    </row>
    <row r="2659" spans="1:4" x14ac:dyDescent="0.2">
      <c r="A2659" s="5">
        <v>2598</v>
      </c>
      <c r="B2659" s="138">
        <f>'Acct Summary 7-8'!H13</f>
        <v>9833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9833</v>
      </c>
      <c r="C2661" s="2" t="s">
        <v>594</v>
      </c>
      <c r="D2661" s="2" t="str">
        <f t="shared" si="40"/>
        <v>Error?</v>
      </c>
    </row>
    <row r="2662" spans="1:4" x14ac:dyDescent="0.2">
      <c r="A2662" s="5">
        <v>2601</v>
      </c>
      <c r="B2662" s="138">
        <f>'Acct Summary 7-8'!H20</f>
        <v>92668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26200</v>
      </c>
      <c r="C2789" s="2" t="s">
        <v>594</v>
      </c>
      <c r="D2789" s="2" t="str">
        <f t="shared" si="42"/>
        <v>Error?</v>
      </c>
    </row>
    <row r="2790" spans="1:4" x14ac:dyDescent="0.2">
      <c r="A2790" s="5">
        <v>2729</v>
      </c>
      <c r="B2790" s="138">
        <f>'Expenditures 15-22'!E102</f>
        <v>26200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500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500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70661</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79402</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98434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19632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98434</v>
      </c>
      <c r="D2912" s="2" t="str">
        <f t="shared" si="44"/>
        <v>Error?</v>
      </c>
    </row>
    <row r="2913" spans="1:4" x14ac:dyDescent="0.2">
      <c r="A2913" s="5">
        <v>2852</v>
      </c>
      <c r="B2913" s="138">
        <f>'Assets-Liab 5-6'!I41</f>
        <v>98434</v>
      </c>
      <c r="C2913" s="2" t="s">
        <v>594</v>
      </c>
      <c r="D2913" s="2" t="str">
        <f t="shared" si="44"/>
        <v>Error?</v>
      </c>
    </row>
    <row r="2914" spans="1:4" x14ac:dyDescent="0.2">
      <c r="A2914" s="5">
        <v>2853</v>
      </c>
      <c r="B2914" s="138">
        <f>'Assets-Liab 5-6'!L33</f>
        <v>19632</v>
      </c>
      <c r="D2914" s="2" t="str">
        <f t="shared" si="44"/>
        <v>Error?</v>
      </c>
    </row>
    <row r="2915" spans="1:4" x14ac:dyDescent="0.2">
      <c r="A2915" s="10">
        <v>2854</v>
      </c>
      <c r="D2915" s="2" t="str">
        <f t="shared" si="44"/>
        <v>OK</v>
      </c>
    </row>
    <row r="2916" spans="1:4" x14ac:dyDescent="0.2">
      <c r="A2916" s="5">
        <v>2855</v>
      </c>
      <c r="B2916" s="138">
        <f>'Assets-Liab 5-6'!L34</f>
        <v>19632</v>
      </c>
      <c r="C2916" s="2" t="s">
        <v>594</v>
      </c>
      <c r="D2916" s="2" t="str">
        <f t="shared" si="44"/>
        <v>Error?</v>
      </c>
    </row>
    <row r="2917" spans="1:4" x14ac:dyDescent="0.2">
      <c r="A2917" s="5">
        <v>2856</v>
      </c>
      <c r="B2917" s="138">
        <f>'Assets-Liab 5-6'!L41</f>
        <v>19632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26200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26200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3833</v>
      </c>
      <c r="C3225" s="2" t="s">
        <v>594</v>
      </c>
      <c r="D3225" s="2" t="str">
        <f t="shared" si="49"/>
        <v>Error?</v>
      </c>
    </row>
    <row r="3226" spans="1:4" x14ac:dyDescent="0.2">
      <c r="A3226" s="5">
        <v>3165</v>
      </c>
      <c r="B3226" s="138">
        <f>'Acct Summary 7-8'!I8</f>
        <v>3833</v>
      </c>
      <c r="C3226" s="2" t="s">
        <v>594</v>
      </c>
      <c r="D3226" s="2" t="str">
        <f t="shared" si="49"/>
        <v>Error?</v>
      </c>
    </row>
    <row r="3227" spans="1:4" x14ac:dyDescent="0.2">
      <c r="A3227" s="5">
        <v>3166</v>
      </c>
      <c r="B3227" s="138">
        <f>'Acct Summary 7-8'!I20</f>
        <v>3833</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98755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10468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13123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16867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-3760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92668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3833</v>
      </c>
      <c r="C3320" s="2" t="s">
        <v>594</v>
      </c>
      <c r="D3320" s="2" t="str">
        <f t="shared" si="50"/>
        <v>Error?</v>
      </c>
    </row>
    <row r="3321" spans="1:4" x14ac:dyDescent="0.2">
      <c r="A3321" s="5">
        <v>3260</v>
      </c>
      <c r="B3321" s="138">
        <f>'Acct Summary 7-8'!I79</f>
        <v>94601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98434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230238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41958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15724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512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288462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10585</v>
      </c>
      <c r="D3387" s="2" t="str">
        <f t="shared" si="51"/>
        <v>Error?</v>
      </c>
    </row>
    <row r="3388" spans="1:4" x14ac:dyDescent="0.2">
      <c r="A3388" s="5">
        <v>3327</v>
      </c>
      <c r="B3388" s="138">
        <f>'Expenditures 15-22'!D217</f>
        <v>13317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10585</v>
      </c>
      <c r="C3390" s="2" t="s">
        <v>594</v>
      </c>
      <c r="D3390" s="2" t="str">
        <f t="shared" si="51"/>
        <v>Error?</v>
      </c>
    </row>
    <row r="3391" spans="1:4" x14ac:dyDescent="0.2">
      <c r="A3391" s="5">
        <v>3330</v>
      </c>
      <c r="B3391" s="138">
        <f>'Expenditures 15-22'!K217</f>
        <v>13317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717749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214482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14949</v>
      </c>
      <c r="D3417" s="2" t="str">
        <f t="shared" si="52"/>
        <v>Error?</v>
      </c>
    </row>
    <row r="3418" spans="1:4" x14ac:dyDescent="0.2">
      <c r="A3418" s="10">
        <v>3357</v>
      </c>
      <c r="D3418" s="2" t="str">
        <f t="shared" si="52"/>
        <v>OK</v>
      </c>
    </row>
    <row r="3419" spans="1:4" x14ac:dyDescent="0.2">
      <c r="A3419" s="5">
        <v>3358</v>
      </c>
      <c r="B3419" s="138">
        <f>'Assets-Liab 5-6'!F4</f>
        <v>77983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129476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103932</v>
      </c>
      <c r="D3425" s="2" t="str">
        <f t="shared" si="52"/>
        <v>Error?</v>
      </c>
    </row>
    <row r="3426" spans="1:4" x14ac:dyDescent="0.2">
      <c r="A3426" s="10">
        <v>3365</v>
      </c>
      <c r="D3426" s="2" t="str">
        <f t="shared" si="52"/>
        <v>OK</v>
      </c>
    </row>
    <row r="3427" spans="1:4" x14ac:dyDescent="0.2">
      <c r="A3427" s="5">
        <v>3366</v>
      </c>
      <c r="B3427" s="138">
        <f>'Assets-Liab 5-6'!I4</f>
        <v>98434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19632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46813</v>
      </c>
      <c r="C3446" s="2" t="s">
        <v>594</v>
      </c>
      <c r="D3446" s="2" t="str">
        <f t="shared" si="52"/>
        <v>Error?</v>
      </c>
    </row>
    <row r="3447" spans="1:4" x14ac:dyDescent="0.2">
      <c r="A3447" s="5">
        <v>3386</v>
      </c>
      <c r="B3447" s="138">
        <f>'Tax Sched 23'!D16</f>
        <v>46813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49043.44</v>
      </c>
      <c r="C3449" s="2" t="s">
        <v>594</v>
      </c>
      <c r="D3449" s="2" t="str">
        <f t="shared" si="52"/>
        <v>Error?</v>
      </c>
    </row>
    <row r="3450" spans="1:4" x14ac:dyDescent="0.2">
      <c r="A3450" s="5">
        <v>3389</v>
      </c>
      <c r="B3450" s="138">
        <f>'Tax Sched 23'!E16</f>
        <v>49043.44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83447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83447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83447</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83447</v>
      </c>
      <c r="C3568" s="2" t="s">
        <v>594</v>
      </c>
      <c r="D3568" s="2" t="str">
        <f t="shared" si="54"/>
        <v>Error?</v>
      </c>
    </row>
    <row r="3569" spans="1:4" x14ac:dyDescent="0.2">
      <c r="A3569" s="5">
        <v>3508</v>
      </c>
      <c r="B3569" s="138">
        <f>'Acct Summary 7-8'!K4</f>
        <v>29583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29583</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29583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29583</v>
      </c>
      <c r="C3588" s="2" t="s">
        <v>594</v>
      </c>
      <c r="D3588" s="2" t="str">
        <f t="shared" si="55"/>
        <v>Error?</v>
      </c>
    </row>
    <row r="3589" spans="1:4" x14ac:dyDescent="0.2">
      <c r="A3589" s="5">
        <v>3528</v>
      </c>
      <c r="B3589" s="138">
        <f>'Acct Summary 7-8'!K79</f>
        <v>53864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83447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29583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11810</v>
      </c>
      <c r="C3725" s="2" t="s">
        <v>594</v>
      </c>
      <c r="D3725" s="2" t="str">
        <f t="shared" si="57"/>
        <v>Error?</v>
      </c>
    </row>
    <row r="3726" spans="1:4" x14ac:dyDescent="0.2">
      <c r="A3726" s="5">
        <v>3665</v>
      </c>
      <c r="B3726" s="138">
        <f>'Tax Sched 23'!D13</f>
        <v>11810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14427.150000000001</v>
      </c>
      <c r="C3728" s="2" t="s">
        <v>594</v>
      </c>
      <c r="D3728" s="2" t="str">
        <f t="shared" si="57"/>
        <v>Error?</v>
      </c>
    </row>
    <row r="3729" spans="1:4" x14ac:dyDescent="0.2">
      <c r="A3729" s="5">
        <v>3668</v>
      </c>
      <c r="B3729" s="138">
        <f>'Tax Sched 23'!E13</f>
        <v>14427.150000000001</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110800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1851719</v>
      </c>
      <c r="C4122" s="2" t="s">
        <v>594</v>
      </c>
      <c r="D4122" s="2" t="str">
        <f t="shared" si="63"/>
        <v>Error?</v>
      </c>
    </row>
    <row r="4123" spans="1:4" x14ac:dyDescent="0.2">
      <c r="A4123" s="5">
        <v>4062</v>
      </c>
      <c r="B4123" s="138">
        <f>'Acct Summary 7-8'!D10</f>
        <v>139002</v>
      </c>
      <c r="C4123" s="2" t="s">
        <v>594</v>
      </c>
      <c r="D4123" s="2" t="str">
        <f t="shared" si="63"/>
        <v>Error?</v>
      </c>
    </row>
    <row r="4124" spans="1:4" x14ac:dyDescent="0.2">
      <c r="A4124" s="5">
        <v>4063</v>
      </c>
      <c r="B4124" s="138">
        <f>'Acct Summary 7-8'!E10</f>
        <v>138757</v>
      </c>
      <c r="C4124" s="2" t="s">
        <v>594</v>
      </c>
      <c r="D4124" s="2" t="str">
        <f t="shared" si="63"/>
        <v>Error?</v>
      </c>
    </row>
    <row r="4125" spans="1:4" x14ac:dyDescent="0.2">
      <c r="A4125" s="5">
        <v>4064</v>
      </c>
      <c r="B4125" s="138">
        <f>'Acct Summary 7-8'!F10</f>
        <v>115091</v>
      </c>
      <c r="C4125" s="2" t="s">
        <v>594</v>
      </c>
      <c r="D4125" s="2" t="str">
        <f t="shared" si="63"/>
        <v>Error?</v>
      </c>
    </row>
    <row r="4126" spans="1:4" x14ac:dyDescent="0.2">
      <c r="A4126" s="5">
        <v>4065</v>
      </c>
      <c r="B4126" s="138">
        <f>'Acct Summary 7-8'!G10</f>
        <v>81844</v>
      </c>
      <c r="C4126" s="2" t="s">
        <v>594</v>
      </c>
      <c r="D4126" s="2" t="str">
        <f t="shared" si="63"/>
        <v>Error?</v>
      </c>
    </row>
    <row r="4127" spans="1:4" x14ac:dyDescent="0.2">
      <c r="A4127" s="5">
        <v>4066</v>
      </c>
      <c r="B4127" s="138">
        <f>'Acct Summary 7-8'!H10</f>
        <v>102501</v>
      </c>
      <c r="C4127" s="2" t="s">
        <v>594</v>
      </c>
      <c r="D4127" s="2" t="str">
        <f t="shared" si="63"/>
        <v>Error?</v>
      </c>
    </row>
    <row r="4128" spans="1:4" x14ac:dyDescent="0.2">
      <c r="A4128" s="5">
        <v>4067</v>
      </c>
      <c r="B4128" s="138">
        <f>'Acct Summary 7-8'!I10</f>
        <v>3833</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29583</v>
      </c>
      <c r="C4130" s="2" t="s">
        <v>594</v>
      </c>
      <c r="D4130" s="2" t="str">
        <f t="shared" si="63"/>
        <v>Error?</v>
      </c>
    </row>
    <row r="4131" spans="1:4" x14ac:dyDescent="0.2">
      <c r="A4131" s="5">
        <v>4070</v>
      </c>
      <c r="B4131" s="138">
        <f>'Acct Summary 7-8'!C18</f>
        <v>110800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1752964</v>
      </c>
      <c r="C4136" s="2" t="s">
        <v>594</v>
      </c>
      <c r="D4136" s="2" t="str">
        <f t="shared" si="63"/>
        <v>Error?</v>
      </c>
    </row>
    <row r="4137" spans="1:4" x14ac:dyDescent="0.2">
      <c r="A4137" s="5">
        <v>4076</v>
      </c>
      <c r="B4137" s="138">
        <f>'Acct Summary 7-8'!D19</f>
        <v>128534</v>
      </c>
      <c r="C4137" s="2" t="s">
        <v>594</v>
      </c>
      <c r="D4137" s="2" t="str">
        <f t="shared" si="63"/>
        <v>Error?</v>
      </c>
    </row>
    <row r="4138" spans="1:4" x14ac:dyDescent="0.2">
      <c r="A4138" s="5">
        <v>4077</v>
      </c>
      <c r="B4138" s="138">
        <f>'Acct Summary 7-8'!E19</f>
        <v>142517</v>
      </c>
      <c r="C4138" s="2" t="s">
        <v>594</v>
      </c>
      <c r="D4138" s="2" t="str">
        <f t="shared" si="63"/>
        <v>Error?</v>
      </c>
    </row>
    <row r="4139" spans="1:4" x14ac:dyDescent="0.2">
      <c r="A4139" s="5">
        <v>4078</v>
      </c>
      <c r="B4139" s="138">
        <f>'Acct Summary 7-8'!F19</f>
        <v>101968</v>
      </c>
      <c r="C4139" s="2" t="s">
        <v>594</v>
      </c>
      <c r="D4139" s="2" t="str">
        <f t="shared" si="63"/>
        <v>Error?</v>
      </c>
    </row>
    <row r="4140" spans="1:4" x14ac:dyDescent="0.2">
      <c r="A4140" s="5">
        <v>4079</v>
      </c>
      <c r="B4140" s="138">
        <f>'Acct Summary 7-8'!G19</f>
        <v>64977</v>
      </c>
      <c r="C4140" s="2" t="s">
        <v>594</v>
      </c>
      <c r="D4140" s="2" t="str">
        <f t="shared" si="63"/>
        <v>Error?</v>
      </c>
    </row>
    <row r="4141" spans="1:4" x14ac:dyDescent="0.2">
      <c r="A4141" s="5">
        <v>4080</v>
      </c>
      <c r="B4141" s="138">
        <f>'Acct Summary 7-8'!H19</f>
        <v>9833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1060000</v>
      </c>
      <c r="C4171" s="2" t="s">
        <v>594</v>
      </c>
      <c r="D4171" s="2" t="str">
        <f t="shared" si="64"/>
        <v>Error?</v>
      </c>
    </row>
    <row r="4172" spans="1:4" x14ac:dyDescent="0.2">
      <c r="A4172" s="5">
        <v>4111</v>
      </c>
      <c r="B4172" s="138">
        <f>'Short-Term Long-Term Debt 24'!J49</f>
        <v>1045051</v>
      </c>
      <c r="C4172" s="2" t="s">
        <v>594</v>
      </c>
      <c r="D4172" s="2" t="str">
        <f t="shared" si="64"/>
        <v>Error?</v>
      </c>
    </row>
    <row r="4173" spans="1:4" x14ac:dyDescent="0.2">
      <c r="A4173" s="5">
        <v>4112</v>
      </c>
      <c r="B4173" s="138">
        <f>'Short-Term Long-Term Debt 24'!H49</f>
        <v>120000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1650</v>
      </c>
      <c r="C4265" s="2" t="s">
        <v>594</v>
      </c>
      <c r="D4265" s="2" t="str">
        <f t="shared" si="65"/>
        <v>Error?</v>
      </c>
      <c r="E4265" s="128"/>
    </row>
    <row r="4266" spans="1:5" x14ac:dyDescent="0.2">
      <c r="A4266" s="12">
        <v>4205</v>
      </c>
      <c r="B4266" s="138">
        <f>('FP Info 3'!F10)*100000</f>
        <v>305.75</v>
      </c>
      <c r="C4266" s="2" t="s">
        <v>594</v>
      </c>
      <c r="D4266" s="2" t="str">
        <f t="shared" si="65"/>
        <v>Error?</v>
      </c>
      <c r="E4266" s="128"/>
    </row>
    <row r="4267" spans="1:5" x14ac:dyDescent="0.2">
      <c r="A4267" s="12">
        <v>4206</v>
      </c>
      <c r="B4267" s="138">
        <f>('FP Info 3'!H10)*100000</f>
        <v>186.94</v>
      </c>
      <c r="C4267" s="2" t="s">
        <v>594</v>
      </c>
      <c r="D4267" s="2" t="str">
        <f t="shared" si="65"/>
        <v>Error?</v>
      </c>
      <c r="E4267" s="128"/>
    </row>
    <row r="4268" spans="1:5" x14ac:dyDescent="0.2">
      <c r="A4268" s="12">
        <v>4207</v>
      </c>
      <c r="B4268" s="138">
        <f>('FP Info 3'!J10)*100000</f>
        <v>2143</v>
      </c>
      <c r="C4268" s="2" t="s">
        <v>594</v>
      </c>
      <c r="D4268" s="2" t="str">
        <f t="shared" si="65"/>
        <v>Error?</v>
      </c>
    </row>
    <row r="4269" spans="1:5" x14ac:dyDescent="0.2">
      <c r="A4269" s="12">
        <v>4208</v>
      </c>
      <c r="B4269" s="138">
        <f>'FP Info 3'!J16</f>
        <v>1095198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7160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10094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5951</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11863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9.9999999999999992E-2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16132</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39</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42774800</v>
      </c>
      <c r="D4995" s="2" t="str">
        <f t="shared" si="77"/>
        <v>Error?</v>
      </c>
    </row>
    <row r="4996" spans="1:4" x14ac:dyDescent="0.2">
      <c r="A4996" s="12">
        <v>4935</v>
      </c>
      <c r="B4996" s="138">
        <f>'FP Info 3'!H31</f>
        <v>2951461.2</v>
      </c>
      <c r="D4996" s="2" t="str">
        <f t="shared" si="77"/>
        <v>Error?</v>
      </c>
    </row>
    <row r="4997" spans="1:4" x14ac:dyDescent="0.2">
      <c r="A4997" s="12">
        <v>4936</v>
      </c>
      <c r="B4997" s="138">
        <f>'FP Info 3'!H37</f>
        <v>1060000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682561</v>
      </c>
      <c r="D5061" s="2" t="str">
        <f t="shared" si="78"/>
        <v>Error?</v>
      </c>
    </row>
    <row r="5062" spans="1:4" x14ac:dyDescent="0.2">
      <c r="A5062" s="10">
        <v>5001</v>
      </c>
      <c r="D5062" s="2" t="str">
        <f t="shared" si="78"/>
        <v>OK</v>
      </c>
    </row>
    <row r="5063" spans="1:4" x14ac:dyDescent="0.2">
      <c r="A5063" s="5">
        <v>5002</v>
      </c>
      <c r="B5063" s="138">
        <f>'Revenues 9-14'!C7</f>
        <v>13487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696048</v>
      </c>
      <c r="C5066" s="2" t="s">
        <v>594</v>
      </c>
      <c r="D5066" s="2" t="str">
        <f t="shared" si="78"/>
        <v>Error?</v>
      </c>
    </row>
    <row r="5067" spans="1:4" x14ac:dyDescent="0.2">
      <c r="A5067" s="5">
        <v>5006</v>
      </c>
      <c r="B5067" s="138">
        <f>'Revenues 9-14'!C14</f>
        <v>5305</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4742</v>
      </c>
      <c r="D5069" s="2" t="str">
        <f t="shared" si="78"/>
        <v>Error?</v>
      </c>
    </row>
    <row r="5070" spans="1:4" x14ac:dyDescent="0.2">
      <c r="A5070" s="5">
        <v>5009</v>
      </c>
      <c r="B5070" s="138">
        <f>'Revenues 9-14'!C17</f>
        <v>10724</v>
      </c>
      <c r="D5070" s="2" t="str">
        <f t="shared" si="78"/>
        <v>Error?</v>
      </c>
    </row>
    <row r="5071" spans="1:4" x14ac:dyDescent="0.2">
      <c r="A5071" s="5">
        <v>5010</v>
      </c>
      <c r="B5071" s="138">
        <f>'Revenues 9-14'!C18</f>
        <v>20771</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4873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4873</v>
      </c>
      <c r="C5090" s="2" t="s">
        <v>594</v>
      </c>
      <c r="D5090" s="2" t="str">
        <f t="shared" si="78"/>
        <v>Error?</v>
      </c>
    </row>
    <row r="5091" spans="1:4" x14ac:dyDescent="0.2">
      <c r="A5091" s="5">
        <v>5030</v>
      </c>
      <c r="B5091" s="138">
        <f>'Revenues 9-14'!C70</f>
        <v>380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497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35161</v>
      </c>
      <c r="C5096" s="2" t="s">
        <v>594</v>
      </c>
      <c r="D5096" s="2" t="str">
        <f t="shared" si="78"/>
        <v>Error?</v>
      </c>
    </row>
    <row r="5097" spans="1:4" x14ac:dyDescent="0.2">
      <c r="A5097" s="5">
        <v>5036</v>
      </c>
      <c r="B5097" s="138">
        <f>'Revenues 9-14'!C77</f>
        <v>11510</v>
      </c>
      <c r="D5097" s="2" t="str">
        <f t="shared" si="78"/>
        <v>Error?</v>
      </c>
    </row>
    <row r="5098" spans="1:4" x14ac:dyDescent="0.2">
      <c r="A5098" s="5">
        <v>5037</v>
      </c>
      <c r="B5098" s="138">
        <f>'Revenues 9-14'!C78</f>
        <v>8330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19840</v>
      </c>
      <c r="C5102" s="2" t="s">
        <v>594</v>
      </c>
      <c r="D5102" s="2" t="str">
        <f t="shared" si="78"/>
        <v>Error?</v>
      </c>
    </row>
    <row r="5103" spans="1:4" x14ac:dyDescent="0.2">
      <c r="A5103" s="5">
        <v>5042</v>
      </c>
      <c r="B5103" s="138">
        <f>'Revenues 9-14'!C84</f>
        <v>6650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6650</v>
      </c>
      <c r="C5112" s="2" t="s">
        <v>594</v>
      </c>
      <c r="D5112" s="2" t="str">
        <f t="shared" si="78"/>
        <v>Error?</v>
      </c>
    </row>
    <row r="5113" spans="1:4" x14ac:dyDescent="0.2">
      <c r="A5113" s="5">
        <v>5052</v>
      </c>
      <c r="B5113" s="138">
        <f>'Revenues 9-14'!C95</f>
        <v>125</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124540</v>
      </c>
      <c r="D5118" s="2" t="str">
        <f t="shared" si="78"/>
        <v>Error?</v>
      </c>
    </row>
    <row r="5119" spans="1:4" x14ac:dyDescent="0.2">
      <c r="A5119" s="5">
        <v>5058</v>
      </c>
      <c r="B5119" s="138">
        <f>'Revenues 9-14'!C107</f>
        <v>20376</v>
      </c>
      <c r="D5119" s="2" t="str">
        <f t="shared" ref="D5119:D5182" si="79">IF(ISBLANK(B5119),"OK",IF(A5119-B5119=0,"OK","Error?"))</f>
        <v>Error?</v>
      </c>
    </row>
    <row r="5120" spans="1:4" x14ac:dyDescent="0.2">
      <c r="A5120" s="5">
        <v>5059</v>
      </c>
      <c r="B5120" s="138">
        <f>'Revenues 9-14'!C108</f>
        <v>145573</v>
      </c>
      <c r="C5120" s="2" t="s">
        <v>594</v>
      </c>
      <c r="D5120" s="2" t="str">
        <f t="shared" si="79"/>
        <v>Error?</v>
      </c>
    </row>
    <row r="5121" spans="1:4" x14ac:dyDescent="0.2">
      <c r="A5121" s="5">
        <v>5060</v>
      </c>
      <c r="B5121" s="138">
        <f>'Revenues 9-14'!C109</f>
        <v>928916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608421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608421</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14419</v>
      </c>
      <c r="D5134" s="2" t="str">
        <f t="shared" si="79"/>
        <v>Error?</v>
      </c>
    </row>
    <row r="5135" spans="1:4" x14ac:dyDescent="0.2">
      <c r="A5135" s="5">
        <v>5074</v>
      </c>
      <c r="B5135" s="138">
        <f>'Revenues 9-14'!C126</f>
        <v>19469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33888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427</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35815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644236</v>
      </c>
      <c r="C5223" s="2" t="s">
        <v>594</v>
      </c>
      <c r="D5223" s="2" t="str">
        <f t="shared" si="80"/>
        <v>Error?</v>
      </c>
    </row>
    <row r="5224" spans="1:4" x14ac:dyDescent="0.2">
      <c r="A5224" s="5">
        <v>5163</v>
      </c>
      <c r="B5224" s="138">
        <f>'Revenues 9-14'!C176</f>
        <v>14265</v>
      </c>
      <c r="D5224" s="2" t="str">
        <f t="shared" si="80"/>
        <v>Error?</v>
      </c>
    </row>
    <row r="5225" spans="1:4" x14ac:dyDescent="0.2">
      <c r="A5225" s="5">
        <v>5164</v>
      </c>
      <c r="B5225" s="138">
        <f>'Revenues 9-14'!C178</f>
        <v>14304</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28985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6190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35175</v>
      </c>
      <c r="C5246" s="2" t="s">
        <v>594</v>
      </c>
      <c r="D5246" s="2" t="str">
        <f t="shared" si="80"/>
        <v>Error?</v>
      </c>
    </row>
    <row r="5247" spans="1:4" x14ac:dyDescent="0.2">
      <c r="A5247" s="5">
        <v>5186</v>
      </c>
      <c r="B5247" s="138">
        <f>'Revenues 9-14'!C203</f>
        <v>67088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5951</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67088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153463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167767</v>
      </c>
      <c r="C5326" s="2" t="s">
        <v>594</v>
      </c>
      <c r="D5326" s="2" t="str">
        <f t="shared" si="82"/>
        <v>Error?</v>
      </c>
    </row>
    <row r="5327" spans="1:4" x14ac:dyDescent="0.2">
      <c r="A5327" s="5">
        <v>5266</v>
      </c>
      <c r="B5327" s="138">
        <f>'Revenues 9-14'!C275</f>
        <v>1740919</v>
      </c>
      <c r="C5327" s="2" t="s">
        <v>594</v>
      </c>
      <c r="D5327" s="2" t="str">
        <f t="shared" si="82"/>
        <v>Error?</v>
      </c>
    </row>
    <row r="5328" spans="1:4" x14ac:dyDescent="0.2">
      <c r="A5328" s="5">
        <v>5267</v>
      </c>
      <c r="B5328" s="138">
        <f>'Revenues 9-14'!D5</f>
        <v>124776</v>
      </c>
      <c r="D5328" s="2" t="str">
        <f t="shared" si="82"/>
        <v>Error?</v>
      </c>
    </row>
    <row r="5329" spans="1:4" x14ac:dyDescent="0.2">
      <c r="A5329" s="10">
        <v>5268</v>
      </c>
      <c r="D5329" s="2" t="str">
        <f t="shared" si="82"/>
        <v>OK</v>
      </c>
    </row>
    <row r="5330" spans="1:4" x14ac:dyDescent="0.2">
      <c r="A5330" s="5">
        <v>5269</v>
      </c>
      <c r="B5330" s="138">
        <f>'Revenues 9-14'!D6</f>
        <v>11810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136586</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1416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1416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1000</v>
      </c>
      <c r="D5354" s="2" t="str">
        <f t="shared" si="82"/>
        <v>Error?</v>
      </c>
    </row>
    <row r="5355" spans="1:4" x14ac:dyDescent="0.2">
      <c r="A5355" s="5">
        <v>5294</v>
      </c>
      <c r="B5355" s="138">
        <f>'Revenues 9-14'!D108</f>
        <v>1000</v>
      </c>
      <c r="C5355" s="2" t="s">
        <v>594</v>
      </c>
      <c r="D5355" s="2" t="str">
        <f t="shared" si="82"/>
        <v>Error?</v>
      </c>
    </row>
    <row r="5356" spans="1:4" x14ac:dyDescent="0.2">
      <c r="A5356" s="5">
        <v>5295</v>
      </c>
      <c r="B5356" s="138">
        <f>'Revenues 9-14'!D109</f>
        <v>139002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139002</v>
      </c>
      <c r="C5508" s="2" t="s">
        <v>594</v>
      </c>
      <c r="D5508" s="2" t="str">
        <f t="shared" si="85"/>
        <v>Error?</v>
      </c>
    </row>
    <row r="5509" spans="1:4" x14ac:dyDescent="0.2">
      <c r="A5509" s="5">
        <v>5448</v>
      </c>
      <c r="B5509" s="138">
        <f>'Revenues 9-14'!E5</f>
        <v>138575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138575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182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182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138757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138757</v>
      </c>
      <c r="C5552" s="2" t="s">
        <v>594</v>
      </c>
      <c r="D5552" s="2" t="str">
        <f t="shared" si="85"/>
        <v>Error?</v>
      </c>
    </row>
    <row r="5553" spans="1:4" x14ac:dyDescent="0.2">
      <c r="A5553" s="5">
        <v>5492</v>
      </c>
      <c r="B5553" s="138">
        <f>'Revenues 9-14'!F5</f>
        <v>68041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68041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540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540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1223</v>
      </c>
      <c r="D5586" s="2" t="str">
        <f t="shared" si="86"/>
        <v>Error?</v>
      </c>
    </row>
    <row r="5587" spans="1:4" x14ac:dyDescent="0.2">
      <c r="A5587" s="5">
        <v>5526</v>
      </c>
      <c r="B5587" s="138">
        <f>'Revenues 9-14'!F108</f>
        <v>1223</v>
      </c>
      <c r="C5587" s="2" t="s">
        <v>594</v>
      </c>
      <c r="D5587" s="2" t="str">
        <f t="shared" si="86"/>
        <v>Error?</v>
      </c>
    </row>
    <row r="5588" spans="1:4" x14ac:dyDescent="0.2">
      <c r="A5588" s="5">
        <v>5527</v>
      </c>
      <c r="B5588" s="138">
        <f>'Revenues 9-14'!F109</f>
        <v>69804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45287</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45287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45287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45287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115091</v>
      </c>
      <c r="C5720" s="2" t="s">
        <v>594</v>
      </c>
      <c r="D5720" s="2" t="str">
        <f t="shared" si="88"/>
        <v>Error?</v>
      </c>
    </row>
    <row r="5721" spans="1:4" x14ac:dyDescent="0.2">
      <c r="A5721" s="5">
        <v>5660</v>
      </c>
      <c r="B5721" s="138">
        <f>'Revenues 9-14'!G5</f>
        <v>33023</v>
      </c>
      <c r="D5721" s="2" t="str">
        <f t="shared" si="88"/>
        <v>Error?</v>
      </c>
    </row>
    <row r="5722" spans="1:4" x14ac:dyDescent="0.2">
      <c r="A5722" s="5">
        <v>5661</v>
      </c>
      <c r="B5722" s="138">
        <f>'Revenues 9-14'!G7</f>
        <v>0</v>
      </c>
      <c r="D5722" s="2" t="str">
        <f t="shared" si="88"/>
        <v>Error?</v>
      </c>
    </row>
    <row r="5723" spans="1:4" x14ac:dyDescent="0.2">
      <c r="A5723" s="5">
        <v>5662</v>
      </c>
      <c r="B5723" s="138">
        <f>'Revenues 9-14'!G8</f>
        <v>46813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79836</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1160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1160</v>
      </c>
      <c r="C5730" s="2" t="s">
        <v>594</v>
      </c>
      <c r="D5730" s="2" t="str">
        <f t="shared" si="88"/>
        <v>Error?</v>
      </c>
    </row>
    <row r="5731" spans="1:4" x14ac:dyDescent="0.2">
      <c r="A5731" s="5">
        <v>5670</v>
      </c>
      <c r="B5731" s="138">
        <f>'Revenues 9-14'!G65</f>
        <v>848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848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81844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322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322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102179</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102501</v>
      </c>
      <c r="C5915" s="2" t="s">
        <v>594</v>
      </c>
      <c r="D5915" s="2" t="str">
        <f t="shared" si="91"/>
        <v>Error?</v>
      </c>
    </row>
    <row r="5916" spans="1:4" x14ac:dyDescent="0.2">
      <c r="A5916" s="5">
        <v>5855</v>
      </c>
      <c r="B5916" s="138">
        <f>'Revenues 9-14'!I5</f>
        <v>3238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3238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595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595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3833</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29111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29111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472</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472</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29583</v>
      </c>
      <c r="C6023" s="2" t="s">
        <v>594</v>
      </c>
      <c r="D6023" s="2" t="str">
        <f t="shared" si="93"/>
        <v>Error?</v>
      </c>
    </row>
    <row r="6024" spans="1:5" x14ac:dyDescent="0.2">
      <c r="A6024" s="5">
        <v>5963</v>
      </c>
      <c r="B6024" s="138">
        <f>'Revenues 9-14'!G109</f>
        <v>81844</v>
      </c>
      <c r="C6024" s="2" t="s">
        <v>594</v>
      </c>
      <c r="D6024" s="2" t="str">
        <f t="shared" si="93"/>
        <v>Error?</v>
      </c>
    </row>
    <row r="6025" spans="1:5" x14ac:dyDescent="0.2">
      <c r="A6025" s="5">
        <v>5964</v>
      </c>
      <c r="B6025" s="138">
        <f>'Revenues 9-14'!H109</f>
        <v>102501</v>
      </c>
      <c r="C6025" s="2" t="s">
        <v>594</v>
      </c>
      <c r="D6025" s="2" t="str">
        <f t="shared" si="93"/>
        <v>Error?</v>
      </c>
    </row>
    <row r="6026" spans="1:5" x14ac:dyDescent="0.2">
      <c r="A6026" s="5">
        <v>5965</v>
      </c>
      <c r="B6026" s="138">
        <f>'Revenues 9-14'!I109</f>
        <v>3833</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29583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34284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6574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190.22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2600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198097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2600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198097</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198097</v>
      </c>
      <c r="D6216" s="2" t="str">
        <f t="shared" si="96"/>
        <v>Error?</v>
      </c>
      <c r="E6216" s="2" t="s">
        <v>199</v>
      </c>
    </row>
    <row r="6217" spans="1:5" x14ac:dyDescent="0.2">
      <c r="A6217">
        <v>6156</v>
      </c>
      <c r="B6217" s="138">
        <f>'Assets-Liab 5-6'!J4</f>
        <v>198097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151631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151631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151631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95605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95605</v>
      </c>
      <c r="D6229" s="2" t="str">
        <f t="shared" si="96"/>
        <v>Error?</v>
      </c>
      <c r="E6229" s="2" t="s">
        <v>199</v>
      </c>
    </row>
    <row r="6230" spans="1:5" x14ac:dyDescent="0.2">
      <c r="A6230">
        <v>6169</v>
      </c>
      <c r="B6230" s="138">
        <f>'Acct Summary 7-8'!J20</f>
        <v>56026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56026</v>
      </c>
      <c r="D6263" s="2" t="str">
        <f t="shared" si="96"/>
        <v>Error?</v>
      </c>
      <c r="E6263" s="2" t="s">
        <v>199</v>
      </c>
    </row>
    <row r="6264" spans="1:5" x14ac:dyDescent="0.2">
      <c r="A6264">
        <v>6203</v>
      </c>
      <c r="B6264" s="138">
        <f>'Acct Summary 7-8'!J79</f>
        <v>142071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198097</v>
      </c>
      <c r="D6266" s="2" t="str">
        <f t="shared" si="96"/>
        <v>Error?</v>
      </c>
      <c r="E6266" s="2" t="s">
        <v>199</v>
      </c>
    </row>
    <row r="6267" spans="1:5" x14ac:dyDescent="0.2">
      <c r="A6267">
        <v>6206</v>
      </c>
      <c r="B6267" s="138">
        <f>'Acct Summary 7-8'!C82</f>
        <v>98755</v>
      </c>
      <c r="D6267" s="2" t="str">
        <f t="shared" si="96"/>
        <v>Error?</v>
      </c>
      <c r="E6267" s="2" t="s">
        <v>199</v>
      </c>
    </row>
    <row r="6268" spans="1:5" x14ac:dyDescent="0.2">
      <c r="A6268">
        <v>6207</v>
      </c>
      <c r="B6268" s="138">
        <f>'Acct Summary 7-8'!D82</f>
        <v>10468</v>
      </c>
      <c r="D6268" s="2" t="str">
        <f t="shared" si="96"/>
        <v>Error?</v>
      </c>
      <c r="E6268" s="2" t="s">
        <v>199</v>
      </c>
    </row>
    <row r="6269" spans="1:5" x14ac:dyDescent="0.2">
      <c r="A6269">
        <v>6208</v>
      </c>
      <c r="B6269" s="138">
        <f>'Acct Summary 7-8'!E82</f>
        <v>-3760</v>
      </c>
      <c r="D6269" s="2" t="str">
        <f t="shared" si="96"/>
        <v>Error?</v>
      </c>
      <c r="E6269" s="2" t="s">
        <v>199</v>
      </c>
    </row>
    <row r="6270" spans="1:5" x14ac:dyDescent="0.2">
      <c r="A6270">
        <v>6209</v>
      </c>
      <c r="B6270" s="138">
        <f>'Acct Summary 7-8'!F82</f>
        <v>13123</v>
      </c>
      <c r="D6270" s="2" t="str">
        <f t="shared" si="96"/>
        <v>Error?</v>
      </c>
      <c r="E6270" s="2" t="s">
        <v>199</v>
      </c>
    </row>
    <row r="6271" spans="1:5" x14ac:dyDescent="0.2">
      <c r="A6271">
        <v>6210</v>
      </c>
      <c r="B6271" s="138">
        <f>'Acct Summary 7-8'!G82</f>
        <v>16867</v>
      </c>
      <c r="D6271" s="2" t="str">
        <f t="shared" ref="D6271:D6334" si="97">IF(ISBLANK(B6271),"OK",IF(A6271-B6271=0,"OK","Error?"))</f>
        <v>Error?</v>
      </c>
      <c r="E6271" s="2" t="s">
        <v>199</v>
      </c>
    </row>
    <row r="6272" spans="1:5" x14ac:dyDescent="0.2">
      <c r="A6272">
        <v>6211</v>
      </c>
      <c r="B6272" s="138">
        <f>'Acct Summary 7-8'!H82</f>
        <v>92668</v>
      </c>
      <c r="D6272" s="2" t="str">
        <f t="shared" si="97"/>
        <v>Error?</v>
      </c>
      <c r="E6272" s="2" t="s">
        <v>199</v>
      </c>
    </row>
    <row r="6273" spans="1:5" x14ac:dyDescent="0.2">
      <c r="A6273">
        <v>6212</v>
      </c>
      <c r="B6273" s="138">
        <f>'Acct Summary 7-8'!I82</f>
        <v>3833</v>
      </c>
      <c r="D6273" s="2" t="str">
        <f t="shared" si="97"/>
        <v>Error?</v>
      </c>
      <c r="E6273" s="2" t="s">
        <v>199</v>
      </c>
    </row>
    <row r="6274" spans="1:5" x14ac:dyDescent="0.2">
      <c r="A6274">
        <v>6213</v>
      </c>
      <c r="B6274" s="138">
        <f>'Acct Summary 7-8'!J82</f>
        <v>56026</v>
      </c>
      <c r="D6274" s="2" t="str">
        <f t="shared" si="97"/>
        <v>Error?</v>
      </c>
      <c r="E6274" s="2" t="s">
        <v>199</v>
      </c>
    </row>
    <row r="6275" spans="1:5" x14ac:dyDescent="0.2">
      <c r="A6275">
        <v>6214</v>
      </c>
      <c r="B6275" s="138">
        <f>'Acct Summary 7-8'!K82</f>
        <v>29583</v>
      </c>
      <c r="D6275" s="2" t="str">
        <f t="shared" si="97"/>
        <v>Error?</v>
      </c>
      <c r="E6275" s="2" t="s">
        <v>199</v>
      </c>
    </row>
    <row r="6276" spans="1:5" x14ac:dyDescent="0.2">
      <c r="A6276">
        <v>6215</v>
      </c>
      <c r="B6276" s="138">
        <f>'Acct Summary 7-8'!C83</f>
        <v>0.14023376317243122</v>
      </c>
      <c r="D6276" s="2" t="str">
        <f t="shared" si="97"/>
        <v>Error?</v>
      </c>
      <c r="E6276" s="2" t="s">
        <v>199</v>
      </c>
    </row>
    <row r="6277" spans="1:5" x14ac:dyDescent="0.2">
      <c r="A6277">
        <v>6216</v>
      </c>
      <c r="B6277" s="138">
        <f>'Acct Summary 7-8'!D83</f>
        <v>4.8787308215730504E-2</v>
      </c>
      <c r="D6277" s="2" t="str">
        <f t="shared" si="97"/>
        <v>Error?</v>
      </c>
      <c r="E6277" s="2" t="s">
        <v>199</v>
      </c>
    </row>
    <row r="6278" spans="1:5" x14ac:dyDescent="0.2">
      <c r="A6278">
        <v>6217</v>
      </c>
      <c r="B6278" s="138">
        <f>'Acct Summary 7-8'!E83</f>
        <v>-0.25152184092581442</v>
      </c>
      <c r="D6278" s="2" t="str">
        <f t="shared" si="97"/>
        <v>Error?</v>
      </c>
      <c r="E6278" s="2" t="s">
        <v>199</v>
      </c>
    </row>
    <row r="6279" spans="1:5" x14ac:dyDescent="0.2">
      <c r="A6279">
        <v>6218</v>
      </c>
      <c r="B6279" s="138">
        <f>'Acct Summary 7-8'!F83</f>
        <v>0.1682802662118667</v>
      </c>
      <c r="D6279" s="2" t="str">
        <f t="shared" si="97"/>
        <v>Error?</v>
      </c>
      <c r="E6279" s="2" t="s">
        <v>199</v>
      </c>
    </row>
    <row r="6280" spans="1:5" x14ac:dyDescent="0.2">
      <c r="A6280">
        <v>6219</v>
      </c>
      <c r="B6280" s="138">
        <f>'Acct Summary 7-8'!G83</f>
        <v>0.13027124718094474</v>
      </c>
      <c r="D6280" s="2" t="str">
        <f t="shared" si="97"/>
        <v>Error?</v>
      </c>
      <c r="E6280" s="2" t="s">
        <v>199</v>
      </c>
    </row>
    <row r="6281" spans="1:5" x14ac:dyDescent="0.2">
      <c r="A6281">
        <v>6220</v>
      </c>
      <c r="B6281" s="138">
        <f>'Acct Summary 7-8'!H83</f>
        <v>0.89162144479082472</v>
      </c>
      <c r="D6281" s="2" t="str">
        <f t="shared" si="97"/>
        <v>Error?</v>
      </c>
      <c r="E6281" s="2" t="s">
        <v>199</v>
      </c>
    </row>
    <row r="6282" spans="1:5" x14ac:dyDescent="0.2">
      <c r="A6282">
        <v>6221</v>
      </c>
      <c r="B6282" s="138">
        <f>'Acct Summary 7-8'!I83</f>
        <v>3.8939797224536235E-2</v>
      </c>
      <c r="D6282" s="2" t="str">
        <f t="shared" si="97"/>
        <v>Error?</v>
      </c>
      <c r="E6282" s="2" t="s">
        <v>199</v>
      </c>
    </row>
    <row r="6283" spans="1:5" x14ac:dyDescent="0.2">
      <c r="A6283">
        <v>6222</v>
      </c>
      <c r="B6283" s="138">
        <f>'Acct Summary 7-8'!J83</f>
        <v>0.2828210422166918</v>
      </c>
      <c r="D6283" s="2" t="str">
        <f t="shared" si="97"/>
        <v>Error?</v>
      </c>
      <c r="E6283" s="2" t="s">
        <v>199</v>
      </c>
    </row>
    <row r="6284" spans="1:5" x14ac:dyDescent="0.2">
      <c r="A6284">
        <v>6223</v>
      </c>
      <c r="B6284" s="138">
        <f>'Acct Summary 7-8'!K83</f>
        <v>0.35451244502498591</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150247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150247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1384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1384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532</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151631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91505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151631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6973</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6973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36645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36645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19786</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9849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16338</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45973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1914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1914</v>
      </c>
      <c r="D7198" s="2" t="str">
        <f t="shared" si="111"/>
        <v>Error?</v>
      </c>
    </row>
    <row r="7199" spans="1:4" x14ac:dyDescent="0.2">
      <c r="A7199">
        <v>7138</v>
      </c>
      <c r="B7199" s="138">
        <f>'Expenditures 15-22'!C330</f>
        <v>19786</v>
      </c>
      <c r="D7199" s="2" t="str">
        <f t="shared" si="111"/>
        <v>Error?</v>
      </c>
    </row>
    <row r="7200" spans="1:4" x14ac:dyDescent="0.2">
      <c r="A7200">
        <v>7139</v>
      </c>
      <c r="B7200" s="138">
        <f>'Expenditures 15-22'!D330</f>
        <v>6973</v>
      </c>
      <c r="D7200" s="2" t="str">
        <f t="shared" si="111"/>
        <v>Error?</v>
      </c>
    </row>
    <row r="7201" spans="1:4" x14ac:dyDescent="0.2">
      <c r="A7201">
        <v>7140</v>
      </c>
      <c r="B7201" s="138">
        <f>'Expenditures 15-22'!E330</f>
        <v>48408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16338</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91505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19786</v>
      </c>
      <c r="D7216" s="2" t="str">
        <f t="shared" si="111"/>
        <v>Error?</v>
      </c>
    </row>
    <row r="7217" spans="1:4" x14ac:dyDescent="0.2">
      <c r="A7217">
        <v>7156</v>
      </c>
      <c r="B7217" s="138">
        <f>'Expenditures 15-22'!D342</f>
        <v>6973</v>
      </c>
      <c r="D7217" s="2" t="str">
        <f t="shared" si="111"/>
        <v>Error?</v>
      </c>
    </row>
    <row r="7218" spans="1:4" x14ac:dyDescent="0.2">
      <c r="A7218">
        <v>7157</v>
      </c>
      <c r="B7218" s="138">
        <f>'Expenditures 15-22'!E342</f>
        <v>48408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20438</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95605</v>
      </c>
      <c r="D7224" s="2" t="str">
        <f t="shared" si="111"/>
        <v>Error?</v>
      </c>
    </row>
    <row r="7225" spans="1:4" x14ac:dyDescent="0.2">
      <c r="A7225">
        <v>7164</v>
      </c>
      <c r="B7225" s="138">
        <f>'Expenditures 15-22'!K343</f>
        <v>56026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100274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13487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102179</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4100</v>
      </c>
      <c r="D7787" s="2" t="str">
        <f t="shared" si="127"/>
        <v>Error?</v>
      </c>
      <c r="E7787" s="4" t="s">
        <v>1967</v>
      </c>
    </row>
    <row r="7788" spans="1:5" x14ac:dyDescent="0.2">
      <c r="A7788">
        <v>7727</v>
      </c>
      <c r="B7788" s="138">
        <f>'Expenditures 15-22'!K333</f>
        <v>4100</v>
      </c>
      <c r="D7788" s="2" t="str">
        <f t="shared" si="127"/>
        <v>Error?</v>
      </c>
      <c r="E7788" s="4" t="s">
        <v>1967</v>
      </c>
    </row>
    <row r="7789" spans="1:5" x14ac:dyDescent="0.2">
      <c r="A7789">
        <v>7728</v>
      </c>
      <c r="B7789" s="138">
        <f>'Expenditures 15-22'!H334</f>
        <v>4100</v>
      </c>
      <c r="D7789" s="2" t="str">
        <f t="shared" si="127"/>
        <v>Error?</v>
      </c>
      <c r="E7789" s="4" t="s">
        <v>1967</v>
      </c>
    </row>
    <row r="7790" spans="1:5" x14ac:dyDescent="0.2">
      <c r="A7790">
        <v>7729</v>
      </c>
      <c r="B7790" s="138">
        <f>'Expenditures 15-22'!K334</f>
        <v>4100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4100</v>
      </c>
      <c r="D7796" s="2" t="str">
        <f t="shared" si="127"/>
        <v>Error?</v>
      </c>
      <c r="E7796" s="4" t="s">
        <v>1967</v>
      </c>
    </row>
    <row r="7797" spans="1:5" x14ac:dyDescent="0.2">
      <c r="A7797">
        <v>7736</v>
      </c>
      <c r="B7797" s="138">
        <f>'Contracts Paid in CY 29'!D141</f>
        <v>11719</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view="pageLayout" topLeftCell="A16" zoomScaleNormal="110" workbookViewId="0">
      <selection activeCell="C55" sqref="C5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Giant City Consolidated School District #130</v>
      </c>
      <c r="B7" s="2403"/>
      <c r="C7" s="2403"/>
      <c r="D7" s="2440"/>
      <c r="E7" s="2441">
        <f>COVER!A13</f>
        <v>30039130004</v>
      </c>
      <c r="F7" s="2442"/>
      <c r="G7" s="2409">
        <f>COVER!T23</f>
        <v>65.028419999999997</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Kujawa &amp; Batteau, P.C.</v>
      </c>
      <c r="H9" s="2416"/>
      <c r="I9" s="2416"/>
      <c r="J9" s="2416"/>
      <c r="K9" s="2416"/>
      <c r="L9" s="2417"/>
    </row>
    <row r="10" spans="1:29" ht="13.5" customHeight="1" x14ac:dyDescent="0.2">
      <c r="A10" s="2399" t="str">
        <f>COVER!A38</f>
        <v>Mrs. Belinda Hill</v>
      </c>
      <c r="B10" s="2400"/>
      <c r="C10" s="2400"/>
      <c r="D10" s="2400"/>
      <c r="E10" s="2400"/>
      <c r="F10" s="2401"/>
      <c r="G10" s="2415" t="str">
        <f>COVER!T17</f>
        <v>309 S. Walnut Street</v>
      </c>
      <c r="H10" s="2428"/>
      <c r="I10" s="2428"/>
      <c r="J10" s="2428"/>
      <c r="K10" s="2428"/>
      <c r="L10" s="2429"/>
    </row>
    <row r="11" spans="1:29" ht="13.5" customHeight="1" x14ac:dyDescent="0.2">
      <c r="A11" s="1185" t="s">
        <v>1599</v>
      </c>
      <c r="B11" s="1186"/>
      <c r="C11" s="1187"/>
      <c r="D11" s="1192"/>
      <c r="E11" s="1187"/>
      <c r="F11" s="1191"/>
      <c r="G11" s="2415" t="str">
        <f>COVER!T19</f>
        <v>Pinckneyville</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kbatteau@kandb-cpa.com</v>
      </c>
      <c r="J13" s="2437"/>
      <c r="K13" s="2437"/>
      <c r="L13" s="2438"/>
    </row>
    <row r="14" spans="1:29" ht="13.5" customHeight="1" x14ac:dyDescent="0.2">
      <c r="A14" s="2415" t="str">
        <f>COVER!A19</f>
        <v>1062 Boskeydell Road</v>
      </c>
      <c r="B14" s="2428"/>
      <c r="C14" s="2428"/>
      <c r="D14" s="2428"/>
      <c r="E14" s="2428"/>
      <c r="F14" s="2429"/>
      <c r="G14" s="1196" t="s">
        <v>1247</v>
      </c>
      <c r="H14" s="1194"/>
      <c r="I14" s="1194"/>
      <c r="J14" s="1194"/>
      <c r="K14" s="1194"/>
      <c r="L14" s="1195"/>
    </row>
    <row r="15" spans="1:29" ht="13.5" customHeight="1" x14ac:dyDescent="0.2">
      <c r="A15" s="2415" t="str">
        <f>COVER!A21</f>
        <v>Carbondale</v>
      </c>
      <c r="B15" s="2428"/>
      <c r="C15" s="2428"/>
      <c r="D15" s="2428"/>
      <c r="E15" s="2428"/>
      <c r="F15" s="2429"/>
      <c r="G15" s="2425" t="str">
        <f>COVER!T15</f>
        <v>Kevin Batteau</v>
      </c>
      <c r="H15" s="2426"/>
      <c r="I15" s="2426"/>
      <c r="J15" s="2426"/>
      <c r="K15" s="2426"/>
      <c r="L15" s="2427"/>
    </row>
    <row r="16" spans="1:29" ht="12.2" customHeight="1" x14ac:dyDescent="0.2">
      <c r="A16" s="2405">
        <f>COVER!A25</f>
        <v>62902</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618-357-3000</v>
      </c>
      <c r="H18" s="2403"/>
      <c r="I18" s="2403"/>
      <c r="J18" s="2403"/>
      <c r="K18" s="2402" t="str">
        <f>COVER!X21</f>
        <v>618-357-3654</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oddFooter>&amp;L"The notes are an Integral part of these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view="pageLayout" topLeftCell="A34" zoomScaleNormal="125" workbookViewId="0">
      <selection activeCell="D83" sqref="D8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Giant City Consolidated School District #130</v>
      </c>
      <c r="B1" s="2439"/>
      <c r="C1" s="2439"/>
      <c r="D1" s="2439"/>
    </row>
    <row r="2" spans="1:11" s="1215" customFormat="1" ht="12.75" x14ac:dyDescent="0.2">
      <c r="A2" s="2444">
        <f>'Single Audit Cover'!E7</f>
        <v>30039130004</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oddFooter>&amp;L"The notes are an Integral part of these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view="pageLayout" zoomScaleNormal="110" zoomScaleSheetLayoutView="100" workbookViewId="0">
      <selection activeCell="A53" sqref="A53"/>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Giant City Consolidated School District #130</v>
      </c>
      <c r="B1" s="2447"/>
      <c r="C1" s="2447"/>
      <c r="D1" s="2447"/>
      <c r="E1" s="2447"/>
    </row>
    <row r="2" spans="1:5" x14ac:dyDescent="0.2">
      <c r="A2" s="2448">
        <f>'Single Audit Cover'!E7</f>
        <v>30039130004</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167767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6574</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-10094</v>
      </c>
    </row>
    <row r="19" spans="1:4" ht="13.5" thickBot="1" x14ac:dyDescent="0.25">
      <c r="A19" s="1265" t="s">
        <v>1297</v>
      </c>
      <c r="D19" s="1266">
        <f>SUM(D10:D17)</f>
        <v>164247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t="s">
        <v>2099</v>
      </c>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164247</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164247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&amp;L"The notes are an Integral part of these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view="pageBreakPreview" topLeftCell="A2" zoomScale="60" zoomScaleNormal="120" workbookViewId="0">
      <selection activeCell="B52" sqref="B52:D52"/>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Giant City Consolidated School District #130</v>
      </c>
      <c r="B1" s="2452"/>
      <c r="C1" s="2452"/>
      <c r="D1" s="2452"/>
      <c r="E1" s="2452"/>
      <c r="F1" s="2452"/>
    </row>
    <row r="2" spans="1:7" ht="13.5" customHeight="1" x14ac:dyDescent="0.2">
      <c r="A2" s="2453">
        <f>'Single Audit Cover'!E7</f>
        <v>30039130004</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t="s">
        <v>2099</v>
      </c>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1">
        <f>+C33+C34</f>
        <v>0</v>
      </c>
      <c r="F34" s="2462"/>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70"/>
      <c r="C50" s="1870"/>
      <c r="D50" s="1870"/>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view="pageBreakPreview" zoomScale="60" zoomScaleNormal="100" workbookViewId="0">
      <selection activeCell="K45" sqref="K4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Giant City Consolidated School District #130</v>
      </c>
      <c r="C1" s="2464"/>
      <c r="D1" s="2464"/>
      <c r="E1" s="2464"/>
      <c r="F1" s="2464"/>
      <c r="G1" s="2464"/>
      <c r="H1" s="2464"/>
      <c r="I1" s="2464"/>
      <c r="J1" s="2464"/>
      <c r="K1" s="2464"/>
      <c r="L1" s="2464"/>
      <c r="M1" s="2464"/>
    </row>
    <row r="2" spans="2:14" ht="15" x14ac:dyDescent="0.2">
      <c r="B2" s="2453">
        <f>'Single Audit Cover'!E7</f>
        <v>30039130004</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t="s">
        <v>2099</v>
      </c>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&amp;L&amp;8Page 40&amp;R&amp;8Page 40</oddHeader>
    <oddFooter>&amp;L"The notes are an Integral part of these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0" colorId="8" zoomScale="110" zoomScaleNormal="110" workbookViewId="0">
      <selection activeCell="D133" sqref="D13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35370</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2086</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evenFooter>&amp;L"The notes are an Integral part of these statements"</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view="pageBreakPreview" topLeftCell="A34" zoomScale="60" zoomScaleNormal="110" workbookViewId="0">
      <selection activeCell="H59" sqref="H58:H59"/>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Giant City Consolidated School District #130</v>
      </c>
      <c r="C1" s="2472"/>
      <c r="D1" s="2472"/>
      <c r="E1" s="2472"/>
      <c r="F1" s="2472"/>
      <c r="G1" s="2472"/>
      <c r="H1" s="2472"/>
      <c r="I1" s="2472"/>
      <c r="J1" s="1422"/>
    </row>
    <row r="2" spans="2:10" s="317" customFormat="1" ht="12.75" customHeight="1" x14ac:dyDescent="0.2">
      <c r="B2" s="2473">
        <f>'Single Audit Cover'!E7</f>
        <v>30039130004</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t="s">
        <v>2099</v>
      </c>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1952</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fitToWidth="0" orientation="portrait" useFirstPageNumber="1" r:id="rId1"/>
  <headerFooter alignWithMargins="0">
    <oddHeader>&amp;L&amp;8Page 42&amp;R&amp;8Page 42</oddHeader>
    <oddFooter>&amp;L"The notes are an Integral part of these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BreakPreview" zoomScale="60" zoomScaleNormal="110" workbookViewId="0">
      <selection activeCell="B45" sqref="B4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Giant City Consolidated School District #130</v>
      </c>
      <c r="C1" s="2471"/>
      <c r="D1" s="2471"/>
      <c r="E1" s="2471"/>
      <c r="F1" s="2471"/>
      <c r="G1" s="2471"/>
      <c r="H1" s="2471"/>
      <c r="I1" s="2471"/>
      <c r="J1" s="2471"/>
      <c r="K1" s="2471"/>
      <c r="L1" s="1374"/>
      <c r="M1" s="1374"/>
    </row>
    <row r="2" spans="1:13" ht="12" customHeight="1" x14ac:dyDescent="0.2">
      <c r="B2" s="2473">
        <f>'Single Audit Cover'!E7</f>
        <v>30039130004</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2099</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&amp;L"The notes are an Integral part of these statements"</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view="pageBreakPreview" zoomScale="60" zoomScaleNormal="110" workbookViewId="0">
      <selection activeCell="C50" sqref="C5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Giant City Consolidated School District #130</v>
      </c>
      <c r="C1" s="2498"/>
      <c r="D1" s="2498"/>
      <c r="E1" s="2498"/>
      <c r="F1" s="2498"/>
      <c r="G1" s="2498"/>
      <c r="H1" s="2498"/>
      <c r="I1" s="2498"/>
      <c r="J1" s="2498"/>
      <c r="K1" s="2498"/>
      <c r="L1" s="1465"/>
    </row>
    <row r="2" spans="1:12" ht="12.75" customHeight="1" x14ac:dyDescent="0.2">
      <c r="B2" s="2499">
        <f>'Single Audit Cover'!E7</f>
        <v>30039130004</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t="s">
        <v>2099</v>
      </c>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&amp;L"The notes are an Integral part of these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view="pageBreakPreview" zoomScale="60" zoomScaleNormal="110" workbookViewId="0">
      <selection activeCell="B52" activeCellId="1" sqref="D40 B5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Giant City Consolidated School District #130</v>
      </c>
      <c r="C1" s="2471"/>
      <c r="D1" s="2471"/>
      <c r="E1" s="1491"/>
    </row>
    <row r="2" spans="2:5" s="1282" customFormat="1" ht="12.75" customHeight="1" x14ac:dyDescent="0.2">
      <c r="B2" s="2473">
        <f>'Single Audit Cover'!E7</f>
        <v>30039130004</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t="s">
        <v>2099</v>
      </c>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&amp;L"The notes are an Integral part of these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 colorId="8" zoomScale="110" zoomScaleNormal="110" workbookViewId="0">
      <selection activeCell="D67" sqref="D66:D6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42774800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1.6500000000000001E-2</v>
      </c>
      <c r="E10" s="356" t="s">
        <v>1062</v>
      </c>
      <c r="F10" s="355">
        <v>3.0574999999999999E-3</v>
      </c>
      <c r="G10" s="356" t="s">
        <v>1062</v>
      </c>
      <c r="H10" s="355">
        <v>1.8694E-3</v>
      </c>
      <c r="I10" s="356" t="s">
        <v>1063</v>
      </c>
      <c r="J10" s="1754">
        <f>ROUND(D10+F10+H10,5)</f>
        <v>2.1430000000000001E-2</v>
      </c>
      <c r="K10" s="222"/>
      <c r="L10" s="355">
        <v>9.9999999999999995E-7</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1998845</v>
      </c>
      <c r="E16" s="356"/>
      <c r="F16" s="1755">
        <f>SUM('Acct Summary 7-8'!C17,'Acct Summary 7-8'!D17,'Acct Summary 7-8'!F17)</f>
        <v>1872666</v>
      </c>
      <c r="G16" s="356"/>
      <c r="H16" s="1755">
        <f>SUM(D16-F16)</f>
        <v>126179</v>
      </c>
      <c r="I16" s="222"/>
      <c r="J16" s="1755">
        <f>SUM('Acct Summary 7-8'!C81,'Acct Summary 7-8'!D81,'Acct Summary 7-8'!F81,'Acct Summary 7-8'!I81)</f>
        <v>1095198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2951461.2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1060000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&amp;L&amp;8"The notes are an Integral part of these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7" zoomScale="110" zoomScaleNormal="110" workbookViewId="0">
      <selection activeCell="D49" sqref="D48:D4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Giant City Consolidated School District #130</v>
      </c>
      <c r="E7" s="391"/>
      <c r="G7" s="252"/>
      <c r="H7" s="387"/>
      <c r="I7" s="387"/>
      <c r="J7" s="387"/>
      <c r="K7" s="387"/>
      <c r="L7" s="329"/>
      <c r="M7" s="329"/>
      <c r="N7" s="329"/>
      <c r="O7" s="329"/>
      <c r="P7" s="329"/>
    </row>
    <row r="8" spans="1:18" ht="12.75" x14ac:dyDescent="0.2">
      <c r="A8" s="329"/>
      <c r="B8" s="329"/>
      <c r="C8" s="389" t="s">
        <v>1187</v>
      </c>
      <c r="D8" s="392">
        <f>COVER!A13</f>
        <v>30039130004</v>
      </c>
      <c r="E8" s="393"/>
      <c r="G8" s="329"/>
      <c r="H8" s="329"/>
      <c r="I8" s="329"/>
      <c r="J8" s="329"/>
      <c r="K8" s="329"/>
      <c r="L8" s="329"/>
      <c r="M8" s="329"/>
      <c r="N8" s="329"/>
      <c r="O8" s="329"/>
      <c r="P8" s="329"/>
    </row>
    <row r="9" spans="1:18" ht="12.75" x14ac:dyDescent="0.2">
      <c r="A9" s="329"/>
      <c r="B9" s="329"/>
      <c r="C9" s="389" t="s">
        <v>737</v>
      </c>
      <c r="D9" s="394" t="str">
        <f>COVER!A15</f>
        <v>Jackson/Williamson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1095198</v>
      </c>
      <c r="I12" s="404"/>
      <c r="J12" s="404"/>
      <c r="K12" s="405">
        <f>TRUNC((H12/H13*100000),5)/100000</f>
        <v>0.54791542110000002</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1998845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1872666</v>
      </c>
      <c r="I17" s="404"/>
      <c r="J17" s="416"/>
      <c r="K17" s="405">
        <f>TRUNC((H17/H18*100000),5)/100000</f>
        <v>0.93687404469999991</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1998845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1108648</v>
      </c>
      <c r="I24" s="422"/>
      <c r="J24" s="422"/>
      <c r="K24" s="423">
        <f>TRUNC(((H24/H25*100000)/100000),2)</f>
        <v>213.12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5201.8500000000004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779164.36939999997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1060000</v>
      </c>
      <c r="I32" s="420"/>
      <c r="J32" s="420"/>
      <c r="K32" s="423">
        <f>TRUNC(100-((((H32/H33*100))*100)/100),2)</f>
        <v>64.08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2951461.2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&amp;L&amp;8"The notes are an Integral part of these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activeCell="K5" sqref="K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f>1919+715830</f>
        <v>717749</v>
      </c>
      <c r="D4" s="466">
        <f>181993+32489</f>
        <v>214482</v>
      </c>
      <c r="E4" s="466">
        <v>14949</v>
      </c>
      <c r="F4" s="466">
        <v>77983</v>
      </c>
      <c r="G4" s="466">
        <v>129476</v>
      </c>
      <c r="H4" s="466">
        <v>103932</v>
      </c>
      <c r="I4" s="466">
        <v>98434</v>
      </c>
      <c r="J4" s="467">
        <v>198097</v>
      </c>
      <c r="K4" s="466">
        <v>83447</v>
      </c>
      <c r="L4" s="466">
        <v>19632</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v>2600</v>
      </c>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717749</v>
      </c>
      <c r="D13" s="1759">
        <f t="shared" ref="D13:L13" si="0">SUM(D4:D12)</f>
        <v>214482</v>
      </c>
      <c r="E13" s="1759">
        <f t="shared" si="0"/>
        <v>14949</v>
      </c>
      <c r="F13" s="1759">
        <f t="shared" si="0"/>
        <v>80583</v>
      </c>
      <c r="G13" s="1759">
        <f t="shared" si="0"/>
        <v>129476</v>
      </c>
      <c r="H13" s="1759">
        <f t="shared" si="0"/>
        <v>103932</v>
      </c>
      <c r="I13" s="1759">
        <f t="shared" si="0"/>
        <v>98434</v>
      </c>
      <c r="J13" s="1759">
        <f t="shared" si="0"/>
        <v>198097</v>
      </c>
      <c r="K13" s="1759">
        <f t="shared" si="0"/>
        <v>83447</v>
      </c>
      <c r="L13" s="1759">
        <f t="shared" si="0"/>
        <v>19632</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331206</v>
      </c>
      <c r="N16" s="484"/>
    </row>
    <row r="17" spans="1:14" s="485" customFormat="1" ht="12.75" customHeight="1" x14ac:dyDescent="0.2">
      <c r="A17" s="482" t="s">
        <v>1470</v>
      </c>
      <c r="B17" s="483">
        <v>230</v>
      </c>
      <c r="C17" s="477"/>
      <c r="D17" s="477"/>
      <c r="E17" s="477"/>
      <c r="F17" s="477"/>
      <c r="G17" s="477"/>
      <c r="H17" s="477"/>
      <c r="I17" s="477"/>
      <c r="J17" s="477"/>
      <c r="K17" s="477"/>
      <c r="L17" s="477"/>
      <c r="M17" s="467">
        <v>2983251</v>
      </c>
      <c r="N17" s="484"/>
    </row>
    <row r="18" spans="1:14" s="485" customFormat="1" ht="12.75" customHeight="1" x14ac:dyDescent="0.2">
      <c r="A18" s="482" t="s">
        <v>1471</v>
      </c>
      <c r="B18" s="483">
        <v>240</v>
      </c>
      <c r="C18" s="477"/>
      <c r="D18" s="477"/>
      <c r="E18" s="477"/>
      <c r="F18" s="477"/>
      <c r="G18" s="477"/>
      <c r="H18" s="477"/>
      <c r="I18" s="477"/>
      <c r="J18" s="477"/>
      <c r="K18" s="477"/>
      <c r="L18" s="477"/>
      <c r="M18" s="467">
        <v>394306</v>
      </c>
      <c r="N18" s="484"/>
    </row>
    <row r="19" spans="1:14" s="485" customFormat="1" ht="12.75" customHeight="1" x14ac:dyDescent="0.2">
      <c r="A19" s="482" t="s">
        <v>1472</v>
      </c>
      <c r="B19" s="483">
        <v>250</v>
      </c>
      <c r="C19" s="477"/>
      <c r="D19" s="477"/>
      <c r="E19" s="477"/>
      <c r="F19" s="477"/>
      <c r="G19" s="477"/>
      <c r="H19" s="477"/>
      <c r="I19" s="477"/>
      <c r="J19" s="477"/>
      <c r="K19" s="477"/>
      <c r="L19" s="477"/>
      <c r="M19" s="467">
        <f>278977+80146</f>
        <v>359123</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14949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1045051</v>
      </c>
    </row>
    <row r="23" spans="1:14" ht="13.5" customHeight="1" thickBot="1" x14ac:dyDescent="0.25">
      <c r="A23" s="1758" t="s">
        <v>664</v>
      </c>
      <c r="B23" s="1763"/>
      <c r="C23" s="468"/>
      <c r="D23" s="468"/>
      <c r="E23" s="468"/>
      <c r="F23" s="468"/>
      <c r="G23" s="468"/>
      <c r="H23" s="468"/>
      <c r="I23" s="468"/>
      <c r="J23" s="468"/>
      <c r="K23" s="468"/>
      <c r="L23" s="468"/>
      <c r="M23" s="1710">
        <f>SUM(M15:M22)</f>
        <v>4067886</v>
      </c>
      <c r="N23" s="1710">
        <f>SUM(N21:N22)</f>
        <v>1060000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v>2600</v>
      </c>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f>17881-3-4346</f>
        <v>13532</v>
      </c>
      <c r="D31" s="467">
        <v>-82</v>
      </c>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19632</v>
      </c>
      <c r="M33" s="468"/>
      <c r="N33" s="469"/>
    </row>
    <row r="34" spans="1:14" ht="13.5" customHeight="1" thickBot="1" x14ac:dyDescent="0.25">
      <c r="A34" s="1760" t="s">
        <v>675</v>
      </c>
      <c r="B34" s="1761"/>
      <c r="C34" s="1762">
        <f>SUM(C25:C33)</f>
        <v>13532</v>
      </c>
      <c r="D34" s="1762">
        <f t="shared" ref="D34:K34" si="1">SUM(D25:D33)</f>
        <v>-82</v>
      </c>
      <c r="E34" s="1762">
        <f t="shared" si="1"/>
        <v>0</v>
      </c>
      <c r="F34" s="1762">
        <f t="shared" si="1"/>
        <v>2600</v>
      </c>
      <c r="G34" s="1762">
        <f t="shared" si="1"/>
        <v>0</v>
      </c>
      <c r="H34" s="1762">
        <f t="shared" si="1"/>
        <v>0</v>
      </c>
      <c r="I34" s="1762">
        <f t="shared" si="1"/>
        <v>0</v>
      </c>
      <c r="J34" s="1762">
        <f t="shared" si="1"/>
        <v>0</v>
      </c>
      <c r="K34" s="1762">
        <f t="shared" si="1"/>
        <v>0</v>
      </c>
      <c r="L34" s="1743">
        <f>SUM(L33)</f>
        <v>19632</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1060000</v>
      </c>
    </row>
    <row r="37" spans="1:14" ht="13.5" thickBot="1" x14ac:dyDescent="0.25">
      <c r="A37" s="1758" t="s">
        <v>674</v>
      </c>
      <c r="B37" s="1763"/>
      <c r="C37" s="477"/>
      <c r="D37" s="477"/>
      <c r="E37" s="477"/>
      <c r="F37" s="477"/>
      <c r="G37" s="477"/>
      <c r="H37" s="477"/>
      <c r="I37" s="477"/>
      <c r="J37" s="477"/>
      <c r="K37" s="477"/>
      <c r="L37" s="480"/>
      <c r="M37" s="468"/>
      <c r="N37" s="1710">
        <f>SUM(N36:N36)</f>
        <v>1060000</v>
      </c>
    </row>
    <row r="38" spans="1:14" s="329" customFormat="1" ht="13.5" customHeight="1" thickTop="1" x14ac:dyDescent="0.2">
      <c r="A38" s="496" t="s">
        <v>440</v>
      </c>
      <c r="B38" s="483">
        <v>714</v>
      </c>
      <c r="C38" s="466"/>
      <c r="D38" s="466"/>
      <c r="E38" s="466"/>
      <c r="F38" s="466"/>
      <c r="G38" s="466">
        <f>'Acct Summary 7-8'!G81</f>
        <v>129476</v>
      </c>
      <c r="H38" s="466">
        <f>'Acct Summary 7-8'!H81</f>
        <v>103932</v>
      </c>
      <c r="I38" s="466"/>
      <c r="J38" s="467">
        <f>'Acct Summary 7-8'!J81</f>
        <v>198097</v>
      </c>
      <c r="K38" s="466">
        <f>'Acct Summary 7-8'!K81</f>
        <v>83447</v>
      </c>
      <c r="L38" s="481"/>
      <c r="M38" s="497"/>
      <c r="N38" s="497"/>
    </row>
    <row r="39" spans="1:14" s="329" customFormat="1" ht="13.5" customHeight="1" x14ac:dyDescent="0.2">
      <c r="A39" s="496" t="s">
        <v>360</v>
      </c>
      <c r="B39" s="483">
        <v>730</v>
      </c>
      <c r="C39" s="466">
        <f>'Acct Summary 7-8'!C81</f>
        <v>704217</v>
      </c>
      <c r="D39" s="466">
        <f>'Acct Summary 7-8'!D81</f>
        <v>214564</v>
      </c>
      <c r="E39" s="466">
        <f>'Acct Summary 7-8'!E81</f>
        <v>14949</v>
      </c>
      <c r="F39" s="466">
        <f>'Acct Summary 7-8'!F81</f>
        <v>77983</v>
      </c>
      <c r="G39" s="466"/>
      <c r="H39" s="466"/>
      <c r="I39" s="466">
        <f>'Acct Summary 7-8'!I81</f>
        <v>98434</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4067886</v>
      </c>
      <c r="N40" s="497"/>
    </row>
    <row r="41" spans="1:14" ht="13.5" customHeight="1" thickBot="1" x14ac:dyDescent="0.25">
      <c r="A41" s="1758" t="s">
        <v>676</v>
      </c>
      <c r="B41" s="1728"/>
      <c r="C41" s="1710">
        <f>(SUM(C34,C37,C38,C39))</f>
        <v>717749</v>
      </c>
      <c r="D41" s="1710">
        <f t="shared" ref="D41:L41" si="2">SUM(D34,D37,D38:D39)</f>
        <v>214482</v>
      </c>
      <c r="E41" s="1710">
        <f t="shared" si="2"/>
        <v>14949</v>
      </c>
      <c r="F41" s="1710">
        <f t="shared" si="2"/>
        <v>80583</v>
      </c>
      <c r="G41" s="1710">
        <f t="shared" si="2"/>
        <v>129476</v>
      </c>
      <c r="H41" s="1710">
        <f t="shared" si="2"/>
        <v>103932</v>
      </c>
      <c r="I41" s="1710">
        <f t="shared" si="2"/>
        <v>98434</v>
      </c>
      <c r="J41" s="1710">
        <f t="shared" si="2"/>
        <v>198097</v>
      </c>
      <c r="K41" s="1710">
        <f t="shared" si="2"/>
        <v>83447</v>
      </c>
      <c r="L41" s="1710">
        <f t="shared" si="2"/>
        <v>19632</v>
      </c>
      <c r="M41" s="1710">
        <f>SUM(M40)</f>
        <v>4067886</v>
      </c>
      <c r="N41" s="1710">
        <f>SUM(N37)</f>
        <v>1060000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A26" colorId="8" zoomScale="110" zoomScaleNormal="110" zoomScaleSheetLayoutView="100" workbookViewId="0">
      <pane ySplit="870" activePane="bottomLeft"/>
      <selection activeCell="A47" sqref="A47"/>
      <selection pane="bottomLeft" activeCell="D57" sqref="D5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928916</v>
      </c>
      <c r="D4" s="1764">
        <f>'Revenues 9-14'!D109</f>
        <v>139002</v>
      </c>
      <c r="E4" s="1764">
        <f>'Revenues 9-14'!E109</f>
        <v>138757</v>
      </c>
      <c r="F4" s="1764">
        <f>'Revenues 9-14'!F109</f>
        <v>69804</v>
      </c>
      <c r="G4" s="1764">
        <f>'Revenues 9-14'!G109</f>
        <v>81844</v>
      </c>
      <c r="H4" s="1764">
        <f>'Revenues 9-14'!H109</f>
        <v>102501</v>
      </c>
      <c r="I4" s="1764">
        <f>'Revenues 9-14'!I109</f>
        <v>3833</v>
      </c>
      <c r="J4" s="1764">
        <f>'Revenues 9-14'!J109</f>
        <v>151631</v>
      </c>
      <c r="K4" s="1764">
        <f>'Revenues 9-14'!K109</f>
        <v>29583</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644236</v>
      </c>
      <c r="D6" s="1765">
        <f>'Revenues 9-14'!D173</f>
        <v>0</v>
      </c>
      <c r="E6" s="1765">
        <f>'Revenues 9-14'!E173</f>
        <v>0</v>
      </c>
      <c r="F6" s="1765">
        <f>'Revenues 9-14'!F173</f>
        <v>45287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167767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1740919</v>
      </c>
      <c r="D8" s="1710">
        <f t="shared" ref="D8:K8" si="0">SUM(D4:D7)</f>
        <v>139002</v>
      </c>
      <c r="E8" s="1710">
        <f t="shared" si="0"/>
        <v>138757</v>
      </c>
      <c r="F8" s="1710">
        <f t="shared" si="0"/>
        <v>115091</v>
      </c>
      <c r="G8" s="1710">
        <f t="shared" si="0"/>
        <v>81844</v>
      </c>
      <c r="H8" s="1710">
        <f t="shared" si="0"/>
        <v>102501</v>
      </c>
      <c r="I8" s="1710">
        <f t="shared" si="0"/>
        <v>3833</v>
      </c>
      <c r="J8" s="1710">
        <f t="shared" si="0"/>
        <v>151631</v>
      </c>
      <c r="K8" s="1710">
        <f t="shared" si="0"/>
        <v>29583</v>
      </c>
      <c r="L8" s="347"/>
    </row>
    <row r="9" spans="1:13" ht="15.75" thickTop="1" x14ac:dyDescent="0.2">
      <c r="A9" s="514" t="s">
        <v>1752</v>
      </c>
      <c r="B9" s="515">
        <v>3998</v>
      </c>
      <c r="C9" s="481">
        <v>110800</v>
      </c>
      <c r="D9" s="516"/>
      <c r="E9" s="481"/>
      <c r="F9" s="481"/>
      <c r="G9" s="517"/>
      <c r="H9" s="481"/>
      <c r="I9" s="509" t="s">
        <v>1231</v>
      </c>
      <c r="J9" s="478"/>
      <c r="K9" s="481"/>
      <c r="L9" s="347"/>
    </row>
    <row r="10" spans="1:13" s="519" customFormat="1" ht="13.5" thickBot="1" x14ac:dyDescent="0.25">
      <c r="A10" s="1758" t="s">
        <v>1235</v>
      </c>
      <c r="B10" s="1731"/>
      <c r="C10" s="1710">
        <f>SUM(C8:C9)</f>
        <v>1851719</v>
      </c>
      <c r="D10" s="1710">
        <f t="shared" ref="D10:K10" si="1">SUM(D8:D9)</f>
        <v>139002</v>
      </c>
      <c r="E10" s="1710">
        <f t="shared" si="1"/>
        <v>138757</v>
      </c>
      <c r="F10" s="1710">
        <f t="shared" si="1"/>
        <v>115091</v>
      </c>
      <c r="G10" s="1710">
        <f t="shared" si="1"/>
        <v>81844</v>
      </c>
      <c r="H10" s="1710">
        <f t="shared" si="1"/>
        <v>102501</v>
      </c>
      <c r="I10" s="1710">
        <f t="shared" si="1"/>
        <v>3833</v>
      </c>
      <c r="J10" s="1710">
        <f t="shared" si="1"/>
        <v>151631</v>
      </c>
      <c r="K10" s="1710">
        <f t="shared" si="1"/>
        <v>29583</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1138090</v>
      </c>
      <c r="D12" s="520" t="s">
        <v>1231</v>
      </c>
      <c r="E12" s="468" t="s">
        <v>1231</v>
      </c>
      <c r="F12" s="468" t="s">
        <v>1231</v>
      </c>
      <c r="G12" s="1764">
        <f>'Expenditures 15-22'!K229</f>
        <v>25055</v>
      </c>
      <c r="H12" s="521"/>
      <c r="I12" s="468" t="s">
        <v>1231</v>
      </c>
      <c r="J12" s="468" t="s">
        <v>1231</v>
      </c>
      <c r="K12" s="521" t="s">
        <v>1231</v>
      </c>
      <c r="L12" s="347"/>
    </row>
    <row r="13" spans="1:13" ht="15.75" customHeight="1" x14ac:dyDescent="0.2">
      <c r="A13" s="1598" t="s">
        <v>477</v>
      </c>
      <c r="B13" s="1600">
        <v>2000</v>
      </c>
      <c r="C13" s="1765">
        <f>'Expenditures 15-22'!K74</f>
        <v>395306</v>
      </c>
      <c r="D13" s="1765">
        <f>'Expenditures 15-22'!K129</f>
        <v>128534</v>
      </c>
      <c r="E13" s="469" t="s">
        <v>1231</v>
      </c>
      <c r="F13" s="1765">
        <f>'Expenditures 15-22'!K184</f>
        <v>101968</v>
      </c>
      <c r="G13" s="1765">
        <f>'Expenditures 15-22'!K279</f>
        <v>30153</v>
      </c>
      <c r="H13" s="1765">
        <f>'Expenditures 15-22'!K303</f>
        <v>9833</v>
      </c>
      <c r="I13" s="468" t="s">
        <v>1231</v>
      </c>
      <c r="J13" s="1765">
        <f>'Expenditures 15-22'!K330</f>
        <v>91505</v>
      </c>
      <c r="K13" s="1769">
        <f>'Expenditures 15-22'!K352</f>
        <v>0</v>
      </c>
      <c r="L13" s="347"/>
    </row>
    <row r="14" spans="1:13" ht="15.75" customHeight="1" x14ac:dyDescent="0.2">
      <c r="A14" s="1598" t="s">
        <v>469</v>
      </c>
      <c r="B14" s="1600">
        <v>3000</v>
      </c>
      <c r="C14" s="1765">
        <f>'Expenditures 15-22'!K75</f>
        <v>82568</v>
      </c>
      <c r="D14" s="1765">
        <f>'Expenditures 15-22'!K130</f>
        <v>0</v>
      </c>
      <c r="E14" s="520" t="s">
        <v>1231</v>
      </c>
      <c r="F14" s="1765">
        <f>'Expenditures 15-22'!K185</f>
        <v>0</v>
      </c>
      <c r="G14" s="1765">
        <f>'Expenditures 15-22'!K280</f>
        <v>9769</v>
      </c>
      <c r="H14" s="512"/>
      <c r="I14" s="468" t="s">
        <v>1231</v>
      </c>
      <c r="J14" s="468" t="s">
        <v>1231</v>
      </c>
      <c r="K14" s="512" t="s">
        <v>1231</v>
      </c>
      <c r="L14" s="347"/>
    </row>
    <row r="15" spans="1:13" ht="15.75" customHeight="1" x14ac:dyDescent="0.2">
      <c r="A15" s="1598" t="s">
        <v>109</v>
      </c>
      <c r="B15" s="1600">
        <v>4000</v>
      </c>
      <c r="C15" s="1765">
        <f>'Expenditures 15-22'!K102</f>
        <v>26200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4100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142517</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1642164</v>
      </c>
      <c r="D17" s="1710">
        <f t="shared" si="2"/>
        <v>128534</v>
      </c>
      <c r="E17" s="1710">
        <f t="shared" si="2"/>
        <v>142517</v>
      </c>
      <c r="F17" s="1710">
        <f t="shared" si="2"/>
        <v>101968</v>
      </c>
      <c r="G17" s="1710">
        <f t="shared" si="2"/>
        <v>64977</v>
      </c>
      <c r="H17" s="1710">
        <f t="shared" si="2"/>
        <v>9833</v>
      </c>
      <c r="I17" s="468"/>
      <c r="J17" s="1710">
        <f>SUM(J12:J16)</f>
        <v>95605</v>
      </c>
      <c r="K17" s="1710">
        <f>SUM(K12:K16)</f>
        <v>0</v>
      </c>
      <c r="L17" s="347"/>
    </row>
    <row r="18" spans="1:12" ht="15" customHeight="1" thickTop="1" x14ac:dyDescent="0.2">
      <c r="A18" s="1766" t="s">
        <v>1753</v>
      </c>
      <c r="B18" s="1767">
        <v>4180</v>
      </c>
      <c r="C18" s="1764">
        <f t="shared" ref="C18:H18" si="3">C9</f>
        <v>110800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1752964</v>
      </c>
      <c r="D19" s="1710">
        <f t="shared" si="4"/>
        <v>128534</v>
      </c>
      <c r="E19" s="1710">
        <f t="shared" si="4"/>
        <v>142517</v>
      </c>
      <c r="F19" s="1710">
        <f t="shared" si="4"/>
        <v>101968</v>
      </c>
      <c r="G19" s="1710">
        <f t="shared" si="4"/>
        <v>64977</v>
      </c>
      <c r="H19" s="1710">
        <f t="shared" si="4"/>
        <v>9833</v>
      </c>
      <c r="I19" s="468"/>
      <c r="J19" s="1710">
        <f>SUM(J17:J18)</f>
        <v>95605</v>
      </c>
      <c r="K19" s="1710">
        <f>SUM(K17:K18)</f>
        <v>0</v>
      </c>
      <c r="L19" s="347"/>
    </row>
    <row r="20" spans="1:12" ht="16.5" thickTop="1" thickBot="1" x14ac:dyDescent="0.25">
      <c r="A20" s="2144" t="s">
        <v>1754</v>
      </c>
      <c r="B20" s="2145"/>
      <c r="C20" s="1768">
        <f>C8-C17</f>
        <v>98755</v>
      </c>
      <c r="D20" s="1768">
        <f t="shared" ref="D20:K20" si="5">D8-D17</f>
        <v>10468</v>
      </c>
      <c r="E20" s="1768">
        <f t="shared" si="5"/>
        <v>-3760</v>
      </c>
      <c r="F20" s="1768">
        <f t="shared" si="5"/>
        <v>13123</v>
      </c>
      <c r="G20" s="1768">
        <f t="shared" si="5"/>
        <v>16867</v>
      </c>
      <c r="H20" s="1768">
        <f t="shared" si="5"/>
        <v>92668</v>
      </c>
      <c r="I20" s="1768">
        <f t="shared" si="5"/>
        <v>3833</v>
      </c>
      <c r="J20" s="1768">
        <f t="shared" si="5"/>
        <v>56026</v>
      </c>
      <c r="K20" s="1768">
        <f t="shared" si="5"/>
        <v>29583</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98755</v>
      </c>
      <c r="D78" s="1724">
        <f t="shared" si="9"/>
        <v>10468</v>
      </c>
      <c r="E78" s="1724">
        <f t="shared" si="9"/>
        <v>-3760</v>
      </c>
      <c r="F78" s="1724">
        <f t="shared" si="9"/>
        <v>13123</v>
      </c>
      <c r="G78" s="1724">
        <f t="shared" si="9"/>
        <v>16867</v>
      </c>
      <c r="H78" s="1724">
        <f t="shared" si="9"/>
        <v>92668</v>
      </c>
      <c r="I78" s="1724">
        <f t="shared" si="9"/>
        <v>3833</v>
      </c>
      <c r="J78" s="1724">
        <f t="shared" si="9"/>
        <v>56026</v>
      </c>
      <c r="K78" s="1724">
        <f t="shared" si="9"/>
        <v>29583</v>
      </c>
      <c r="L78" s="533"/>
    </row>
    <row r="79" spans="1:12" ht="13.5" thickTop="1" x14ac:dyDescent="0.2">
      <c r="A79" s="1516" t="s">
        <v>2073</v>
      </c>
      <c r="B79" s="534"/>
      <c r="C79" s="478">
        <v>605462</v>
      </c>
      <c r="D79" s="535">
        <v>204096</v>
      </c>
      <c r="E79" s="535">
        <v>18709</v>
      </c>
      <c r="F79" s="535">
        <v>64860</v>
      </c>
      <c r="G79" s="535">
        <v>112609</v>
      </c>
      <c r="H79" s="535">
        <v>11264</v>
      </c>
      <c r="I79" s="535">
        <v>94601</v>
      </c>
      <c r="J79" s="535">
        <v>142071</v>
      </c>
      <c r="K79" s="535">
        <v>53864</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2074</v>
      </c>
      <c r="B81" s="2139"/>
      <c r="C81" s="1710">
        <f>(SUM(C78:C80))</f>
        <v>704217</v>
      </c>
      <c r="D81" s="1710">
        <f>SUM(D78:D80)</f>
        <v>214564</v>
      </c>
      <c r="E81" s="1710">
        <f t="shared" ref="E81:K81" si="10">SUM(E78:E80)</f>
        <v>14949</v>
      </c>
      <c r="F81" s="1710">
        <f t="shared" si="10"/>
        <v>77983</v>
      </c>
      <c r="G81" s="1710">
        <f t="shared" si="10"/>
        <v>129476</v>
      </c>
      <c r="H81" s="1710">
        <f t="shared" si="10"/>
        <v>103932</v>
      </c>
      <c r="I81" s="1710">
        <f t="shared" si="10"/>
        <v>98434</v>
      </c>
      <c r="J81" s="1710">
        <f t="shared" si="10"/>
        <v>198097</v>
      </c>
      <c r="K81" s="1710">
        <f t="shared" si="10"/>
        <v>83447</v>
      </c>
      <c r="L81" s="347"/>
    </row>
    <row r="82" spans="1:12" ht="0.75" customHeight="1" thickTop="1" thickBot="1" x14ac:dyDescent="0.25">
      <c r="A82" s="536" t="s">
        <v>361</v>
      </c>
      <c r="B82" s="537"/>
      <c r="C82" s="538">
        <f>(C81-C79)</f>
        <v>98755</v>
      </c>
      <c r="D82" s="538">
        <f t="shared" ref="D82:K82" si="11">(D81-D79)</f>
        <v>10468</v>
      </c>
      <c r="E82" s="538">
        <f t="shared" si="11"/>
        <v>-3760</v>
      </c>
      <c r="F82" s="538">
        <f t="shared" si="11"/>
        <v>13123</v>
      </c>
      <c r="G82" s="538">
        <f t="shared" si="11"/>
        <v>16867</v>
      </c>
      <c r="H82" s="538">
        <f t="shared" si="11"/>
        <v>92668</v>
      </c>
      <c r="I82" s="538">
        <f t="shared" si="11"/>
        <v>3833</v>
      </c>
      <c r="J82" s="538">
        <f t="shared" si="11"/>
        <v>56026</v>
      </c>
      <c r="K82" s="538">
        <f t="shared" si="11"/>
        <v>29583</v>
      </c>
    </row>
    <row r="83" spans="1:12" ht="14.25" hidden="1" thickTop="1" thickBot="1" x14ac:dyDescent="0.25">
      <c r="A83" s="539" t="s">
        <v>362</v>
      </c>
      <c r="B83" s="464"/>
      <c r="C83" s="540">
        <f>C82/C81</f>
        <v>0.14023376317243122</v>
      </c>
      <c r="D83" s="540">
        <f t="shared" ref="D83:K83" si="12">D82/D81</f>
        <v>4.8787308215730504E-2</v>
      </c>
      <c r="E83" s="540">
        <f t="shared" si="12"/>
        <v>-0.25152184092581442</v>
      </c>
      <c r="F83" s="540">
        <f t="shared" si="12"/>
        <v>0.1682802662118667</v>
      </c>
      <c r="G83" s="540">
        <f t="shared" si="12"/>
        <v>0.13027124718094474</v>
      </c>
      <c r="H83" s="540">
        <f t="shared" si="12"/>
        <v>0.89162144479082472</v>
      </c>
      <c r="I83" s="540">
        <f t="shared" si="12"/>
        <v>3.8939797224536235E-2</v>
      </c>
      <c r="J83" s="540">
        <f t="shared" si="12"/>
        <v>0.2828210422166918</v>
      </c>
      <c r="K83" s="540">
        <f t="shared" si="12"/>
        <v>0.35451244502498591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&amp;L&amp;8"The notes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topLeftCell="A140" colorId="8" zoomScale="110" zoomScaleNormal="110" zoomScaleSheetLayoutView="75" workbookViewId="0">
      <selection activeCell="F151" sqref="F15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682561</v>
      </c>
      <c r="D5" s="481">
        <v>124776</v>
      </c>
      <c r="E5" s="466">
        <v>138575</v>
      </c>
      <c r="F5" s="548">
        <v>68041</v>
      </c>
      <c r="G5" s="466">
        <v>33023</v>
      </c>
      <c r="H5" s="466"/>
      <c r="I5" s="466">
        <v>3238</v>
      </c>
      <c r="J5" s="467">
        <v>150247</v>
      </c>
      <c r="K5" s="466">
        <v>29111</v>
      </c>
    </row>
    <row r="6" spans="1:12" ht="15" x14ac:dyDescent="0.2">
      <c r="A6" s="463" t="s">
        <v>1761</v>
      </c>
      <c r="B6" s="470">
        <v>1130</v>
      </c>
      <c r="C6" s="466"/>
      <c r="D6" s="466">
        <v>11810</v>
      </c>
      <c r="E6" s="475"/>
      <c r="F6" s="475"/>
      <c r="G6" s="468"/>
      <c r="H6" s="468"/>
      <c r="I6" s="468"/>
      <c r="J6" s="468"/>
      <c r="K6" s="468"/>
    </row>
    <row r="7" spans="1:12" x14ac:dyDescent="0.2">
      <c r="A7" s="463" t="s">
        <v>112</v>
      </c>
      <c r="B7" s="549">
        <v>1140</v>
      </c>
      <c r="C7" s="466">
        <v>13487</v>
      </c>
      <c r="D7" s="466"/>
      <c r="E7" s="468"/>
      <c r="F7" s="467"/>
      <c r="G7" s="467"/>
      <c r="H7" s="467"/>
      <c r="I7" s="468"/>
      <c r="J7" s="468"/>
      <c r="K7" s="468"/>
    </row>
    <row r="8" spans="1:12" x14ac:dyDescent="0.2">
      <c r="A8" s="463" t="s">
        <v>433</v>
      </c>
      <c r="B8" s="470">
        <v>1150</v>
      </c>
      <c r="C8" s="475"/>
      <c r="D8" s="475"/>
      <c r="E8" s="477"/>
      <c r="F8" s="477"/>
      <c r="G8" s="481">
        <v>46813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696048</v>
      </c>
      <c r="D12" s="1729">
        <f t="shared" si="0"/>
        <v>136586</v>
      </c>
      <c r="E12" s="1729">
        <f t="shared" si="0"/>
        <v>138575</v>
      </c>
      <c r="F12" s="1729">
        <f t="shared" si="0"/>
        <v>68041</v>
      </c>
      <c r="G12" s="1729">
        <f t="shared" si="0"/>
        <v>79836</v>
      </c>
      <c r="H12" s="1729">
        <f t="shared" si="0"/>
        <v>0</v>
      </c>
      <c r="I12" s="1729">
        <f t="shared" si="0"/>
        <v>3238</v>
      </c>
      <c r="J12" s="1729">
        <f t="shared" si="0"/>
        <v>150247</v>
      </c>
      <c r="K12" s="1710">
        <f t="shared" si="0"/>
        <v>29111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5305</v>
      </c>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4742</v>
      </c>
      <c r="D16" s="466"/>
      <c r="E16" s="466"/>
      <c r="F16" s="466"/>
      <c r="G16" s="466">
        <v>1160</v>
      </c>
      <c r="H16" s="466"/>
      <c r="I16" s="466"/>
      <c r="J16" s="467"/>
      <c r="K16" s="466"/>
    </row>
    <row r="17" spans="1:11" ht="12.75" customHeight="1" x14ac:dyDescent="0.2">
      <c r="A17" s="463" t="s">
        <v>840</v>
      </c>
      <c r="B17" s="470">
        <v>1290</v>
      </c>
      <c r="C17" s="551">
        <v>10724</v>
      </c>
      <c r="D17" s="466"/>
      <c r="E17" s="466"/>
      <c r="F17" s="466"/>
      <c r="G17" s="466"/>
      <c r="H17" s="466"/>
      <c r="I17" s="466"/>
      <c r="J17" s="467"/>
      <c r="K17" s="466"/>
    </row>
    <row r="18" spans="1:11" ht="12.75" customHeight="1" thickBot="1" x14ac:dyDescent="0.25">
      <c r="A18" s="1730" t="s">
        <v>558</v>
      </c>
      <c r="B18" s="1731"/>
      <c r="C18" s="1732">
        <f>SUM(C14:C17)</f>
        <v>20771</v>
      </c>
      <c r="D18" s="1732">
        <f t="shared" ref="D18:K18" si="1">SUM(D14:D17)</f>
        <v>0</v>
      </c>
      <c r="E18" s="1732">
        <f t="shared" si="1"/>
        <v>0</v>
      </c>
      <c r="F18" s="1732">
        <f t="shared" si="1"/>
        <v>0</v>
      </c>
      <c r="G18" s="1732">
        <f t="shared" si="1"/>
        <v>1160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f>4820+52+1</f>
        <v>4873</v>
      </c>
      <c r="D65" s="466">
        <f>1219+188+9</f>
        <v>1416</v>
      </c>
      <c r="E65" s="466">
        <f>171+11</f>
        <v>182</v>
      </c>
      <c r="F65" s="467">
        <f>535+5</f>
        <v>540</v>
      </c>
      <c r="G65" s="466">
        <f>842+2+4</f>
        <v>848</v>
      </c>
      <c r="H65" s="466">
        <v>322</v>
      </c>
      <c r="I65" s="466">
        <v>595</v>
      </c>
      <c r="J65" s="467">
        <f>1373+11</f>
        <v>1384</v>
      </c>
      <c r="K65" s="466">
        <f>470+2</f>
        <v>472</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4873</v>
      </c>
      <c r="D67" s="1710">
        <f t="shared" ref="D67:K67" si="2">SUM(D65:D66)</f>
        <v>1416</v>
      </c>
      <c r="E67" s="1710">
        <f t="shared" si="2"/>
        <v>182</v>
      </c>
      <c r="F67" s="1710">
        <f t="shared" si="2"/>
        <v>540</v>
      </c>
      <c r="G67" s="1710">
        <f t="shared" si="2"/>
        <v>848</v>
      </c>
      <c r="H67" s="1710">
        <f t="shared" si="2"/>
        <v>322</v>
      </c>
      <c r="I67" s="1710">
        <f t="shared" si="2"/>
        <v>595</v>
      </c>
      <c r="J67" s="1710">
        <f t="shared" si="2"/>
        <v>1384</v>
      </c>
      <c r="K67" s="1710">
        <f t="shared" si="2"/>
        <v>472</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34284</v>
      </c>
      <c r="D69" s="468"/>
      <c r="E69" s="468"/>
      <c r="F69" s="468"/>
      <c r="G69" s="468"/>
      <c r="H69" s="468"/>
      <c r="I69" s="468"/>
      <c r="J69" s="468"/>
      <c r="K69" s="468"/>
    </row>
    <row r="70" spans="1:11" ht="12.75" customHeight="1" x14ac:dyDescent="0.2">
      <c r="A70" s="463" t="s">
        <v>1054</v>
      </c>
      <c r="B70" s="470">
        <v>1612</v>
      </c>
      <c r="C70" s="551">
        <v>380</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497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35161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11510</v>
      </c>
      <c r="D77" s="466"/>
      <c r="E77" s="468"/>
      <c r="F77" s="468"/>
      <c r="G77" s="468"/>
      <c r="H77" s="468"/>
      <c r="I77" s="468"/>
      <c r="J77" s="468"/>
      <c r="K77" s="468"/>
    </row>
    <row r="78" spans="1:11" ht="12.75" customHeight="1" x14ac:dyDescent="0.2">
      <c r="A78" s="463" t="s">
        <v>78</v>
      </c>
      <c r="B78" s="470">
        <v>1719</v>
      </c>
      <c r="C78" s="551">
        <v>8330</v>
      </c>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19840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6650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6650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125</v>
      </c>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v>532</v>
      </c>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102179</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124540</v>
      </c>
      <c r="D106" s="489"/>
      <c r="E106" s="467"/>
      <c r="F106" s="467"/>
      <c r="G106" s="467"/>
      <c r="H106" s="467"/>
      <c r="I106" s="521"/>
      <c r="J106" s="467"/>
      <c r="K106" s="467"/>
    </row>
    <row r="107" spans="1:12" ht="12.75" customHeight="1" x14ac:dyDescent="0.2">
      <c r="A107" s="463" t="s">
        <v>80</v>
      </c>
      <c r="B107" s="470">
        <v>1999</v>
      </c>
      <c r="C107" s="551">
        <f>18376+2000</f>
        <v>20376</v>
      </c>
      <c r="D107" s="466">
        <v>1000</v>
      </c>
      <c r="E107" s="466"/>
      <c r="F107" s="466">
        <v>1223</v>
      </c>
      <c r="G107" s="466"/>
      <c r="H107" s="466"/>
      <c r="I107" s="466"/>
      <c r="J107" s="467"/>
      <c r="K107" s="466"/>
    </row>
    <row r="108" spans="1:12" ht="12.75" customHeight="1" thickBot="1" x14ac:dyDescent="0.25">
      <c r="A108" s="1730" t="s">
        <v>508</v>
      </c>
      <c r="B108" s="1734"/>
      <c r="C108" s="1729">
        <f>SUM(C95:C107)</f>
        <v>145573</v>
      </c>
      <c r="D108" s="1729">
        <f t="shared" ref="D108:K108" si="3">SUM(D95:D107)</f>
        <v>1000</v>
      </c>
      <c r="E108" s="1729">
        <f t="shared" si="3"/>
        <v>0</v>
      </c>
      <c r="F108" s="1729">
        <f t="shared" si="3"/>
        <v>1223</v>
      </c>
      <c r="G108" s="1729">
        <f t="shared" si="3"/>
        <v>0</v>
      </c>
      <c r="H108" s="1729">
        <f t="shared" si="3"/>
        <v>102179</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928916</v>
      </c>
      <c r="D109" s="1737">
        <f t="shared" si="4"/>
        <v>139002</v>
      </c>
      <c r="E109" s="1737">
        <f t="shared" si="4"/>
        <v>138757</v>
      </c>
      <c r="F109" s="1737">
        <f t="shared" si="4"/>
        <v>69804</v>
      </c>
      <c r="G109" s="1737">
        <f t="shared" si="4"/>
        <v>81844</v>
      </c>
      <c r="H109" s="1737">
        <f t="shared" si="4"/>
        <v>102501</v>
      </c>
      <c r="I109" s="1737">
        <f t="shared" si="4"/>
        <v>3833</v>
      </c>
      <c r="J109" s="1737">
        <f t="shared" si="4"/>
        <v>151631</v>
      </c>
      <c r="K109" s="1724">
        <f t="shared" si="4"/>
        <v>29583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608421</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608421</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14419</v>
      </c>
      <c r="D125" s="561"/>
      <c r="E125" s="468"/>
      <c r="F125" s="466"/>
      <c r="G125" s="468"/>
      <c r="H125" s="468"/>
      <c r="I125" s="468"/>
      <c r="J125" s="468"/>
      <c r="K125" s="468"/>
    </row>
    <row r="126" spans="1:11" ht="12.75" customHeight="1" x14ac:dyDescent="0.2">
      <c r="A126" s="463" t="s">
        <v>922</v>
      </c>
      <c r="B126" s="562">
        <v>3110</v>
      </c>
      <c r="C126" s="551">
        <v>19469</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33888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427</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45287</v>
      </c>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45287</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35815</v>
      </c>
      <c r="D172" s="1744">
        <f t="shared" si="6"/>
        <v>0</v>
      </c>
      <c r="E172" s="1744">
        <f t="shared" si="6"/>
        <v>0</v>
      </c>
      <c r="F172" s="1744">
        <f t="shared" si="6"/>
        <v>45287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644236</v>
      </c>
      <c r="D173" s="1737">
        <f>SUM(D121,D172)</f>
        <v>0</v>
      </c>
      <c r="E173" s="1737">
        <f>SUM(E121,E172)</f>
        <v>0</v>
      </c>
      <c r="F173" s="1737">
        <f t="shared" ref="F173:K173" si="7">SUM(F121,F172)</f>
        <v>45287</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v>14265</v>
      </c>
      <c r="D176" s="481"/>
      <c r="E176" s="467"/>
      <c r="F176" s="466"/>
      <c r="G176" s="466"/>
      <c r="H176" s="467"/>
      <c r="I176" s="467"/>
      <c r="J176" s="467"/>
      <c r="K176" s="467"/>
    </row>
    <row r="177" spans="1:11" ht="22.5" x14ac:dyDescent="0.2">
      <c r="A177" s="563" t="s">
        <v>838</v>
      </c>
      <c r="B177" s="583">
        <v>4009</v>
      </c>
      <c r="C177" s="551">
        <v>39</v>
      </c>
      <c r="D177" s="466"/>
      <c r="E177" s="467"/>
      <c r="F177" s="466"/>
      <c r="G177" s="466"/>
      <c r="H177" s="467"/>
      <c r="I177" s="467"/>
      <c r="J177" s="467"/>
      <c r="K177" s="467"/>
    </row>
    <row r="178" spans="1:11" ht="13.5" thickBot="1" x14ac:dyDescent="0.25">
      <c r="A178" s="2168" t="s">
        <v>1764</v>
      </c>
      <c r="B178" s="2169"/>
      <c r="C178" s="1729">
        <f>SUM(C176:C177)</f>
        <v>14304</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28985</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6190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35175</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67088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67088</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5951</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5951</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11863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7160</v>
      </c>
      <c r="D270" s="576"/>
      <c r="E270" s="468"/>
      <c r="F270" s="576"/>
      <c r="G270" s="576"/>
      <c r="H270" s="468"/>
      <c r="I270" s="468"/>
      <c r="J270" s="468"/>
      <c r="K270" s="468"/>
    </row>
    <row r="271" spans="1:11" ht="12.75" customHeight="1" thickTop="1" thickBot="1" x14ac:dyDescent="0.25">
      <c r="A271" s="463" t="s">
        <v>395</v>
      </c>
      <c r="B271" s="470">
        <v>4992</v>
      </c>
      <c r="C271" s="575">
        <v>10094</v>
      </c>
      <c r="D271" s="576"/>
      <c r="E271" s="468"/>
      <c r="F271" s="576"/>
      <c r="G271" s="576"/>
      <c r="H271" s="468"/>
      <c r="I271" s="468"/>
      <c r="J271" s="468"/>
      <c r="K271" s="468"/>
    </row>
    <row r="272" spans="1:11" s="594" customFormat="1" ht="12.75" customHeight="1" thickTop="1" thickBot="1" x14ac:dyDescent="0.25">
      <c r="A272" s="563" t="s">
        <v>77</v>
      </c>
      <c r="B272" s="557">
        <v>4999</v>
      </c>
      <c r="C272" s="575">
        <v>16132</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153463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167767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1740919</v>
      </c>
      <c r="D275" s="1737">
        <f t="shared" si="12"/>
        <v>139002</v>
      </c>
      <c r="E275" s="1737">
        <f t="shared" si="12"/>
        <v>138757</v>
      </c>
      <c r="F275" s="1737">
        <f t="shared" si="12"/>
        <v>115091</v>
      </c>
      <c r="G275" s="1737">
        <f t="shared" si="12"/>
        <v>81844</v>
      </c>
      <c r="H275" s="1737">
        <f t="shared" si="12"/>
        <v>102501</v>
      </c>
      <c r="I275" s="1737">
        <f t="shared" si="12"/>
        <v>3833</v>
      </c>
      <c r="J275" s="1737">
        <f t="shared" si="12"/>
        <v>151631</v>
      </c>
      <c r="K275" s="1724">
        <f t="shared" si="12"/>
        <v>29583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&amp;L&amp;8"The notes are an Integral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Layout" topLeftCell="A338" colorId="8" zoomScaleNormal="110" workbookViewId="0">
      <selection activeCell="K361" sqref="K36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598168+14494+6150+17480+8444+3</f>
        <v>644739</v>
      </c>
      <c r="D5" s="466">
        <f>63910+3067+39157+337+1473</f>
        <v>107944</v>
      </c>
      <c r="E5" s="466">
        <f>28938+432+2144+16132-23000</f>
        <v>24646</v>
      </c>
      <c r="F5" s="466">
        <f>2345+7810+447+58+219+253+259+250+250-147+248+60+250+113+268+321-75-223</f>
        <v>12706</v>
      </c>
      <c r="G5" s="466">
        <f>4219+23000</f>
        <v>27219</v>
      </c>
      <c r="H5" s="466">
        <f>3017+882</f>
        <v>3899</v>
      </c>
      <c r="I5" s="467"/>
      <c r="J5" s="467"/>
      <c r="K5" s="1693">
        <f>SUM(C5:J5)</f>
        <v>821153</v>
      </c>
      <c r="L5" s="466">
        <v>810094</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f>100608+1211+51729+18420+27989+30281</f>
        <v>230238</v>
      </c>
      <c r="D8" s="466">
        <f>10641+7101+105+22+5470+5151+8417+4600+451</f>
        <v>41958</v>
      </c>
      <c r="E8" s="466">
        <v>15724</v>
      </c>
      <c r="F8" s="466">
        <f>233+27+252</f>
        <v>512</v>
      </c>
      <c r="G8" s="466"/>
      <c r="H8" s="466">
        <v>30</v>
      </c>
      <c r="I8" s="467"/>
      <c r="J8" s="467"/>
      <c r="K8" s="1693">
        <f t="shared" si="0"/>
        <v>288462</v>
      </c>
      <c r="L8" s="466">
        <v>266442</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c r="D10" s="466"/>
      <c r="E10" s="466"/>
      <c r="F10" s="466"/>
      <c r="G10" s="466"/>
      <c r="H10" s="466"/>
      <c r="I10" s="467"/>
      <c r="J10" s="467"/>
      <c r="K10" s="1693">
        <f t="shared" si="0"/>
        <v>0</v>
      </c>
      <c r="L10" s="466">
        <v>0</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c r="D13" s="466"/>
      <c r="E13" s="466"/>
      <c r="F13" s="466"/>
      <c r="G13" s="466"/>
      <c r="H13" s="466"/>
      <c r="I13" s="467"/>
      <c r="J13" s="467"/>
      <c r="K13" s="1693">
        <f t="shared" si="0"/>
        <v>0</v>
      </c>
      <c r="L13" s="466">
        <v>0</v>
      </c>
    </row>
    <row r="14" spans="1:14" x14ac:dyDescent="0.2">
      <c r="A14" s="1526" t="s">
        <v>1020</v>
      </c>
      <c r="B14" s="615">
        <v>1500</v>
      </c>
      <c r="C14" s="466">
        <f>12850+2138</f>
        <v>14988</v>
      </c>
      <c r="D14" s="466">
        <f>209+45</f>
        <v>254</v>
      </c>
      <c r="E14" s="466">
        <f>7835+518</f>
        <v>8353</v>
      </c>
      <c r="F14" s="466">
        <v>3777</v>
      </c>
      <c r="G14" s="466"/>
      <c r="H14" s="466">
        <v>1103</v>
      </c>
      <c r="I14" s="467"/>
      <c r="J14" s="467"/>
      <c r="K14" s="1693">
        <f t="shared" si="0"/>
        <v>28475</v>
      </c>
      <c r="L14" s="466">
        <v>31054</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c r="D17" s="467"/>
      <c r="E17" s="467"/>
      <c r="F17" s="467"/>
      <c r="G17" s="467"/>
      <c r="H17" s="467"/>
      <c r="I17" s="467"/>
      <c r="J17" s="467"/>
      <c r="K17" s="1693">
        <f t="shared" si="0"/>
        <v>0</v>
      </c>
      <c r="L17" s="466">
        <v>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889965</v>
      </c>
      <c r="D33" s="1692">
        <f t="shared" ref="D33:L33" si="1">SUM(D5:D32)</f>
        <v>150156</v>
      </c>
      <c r="E33" s="1692">
        <f t="shared" si="1"/>
        <v>48723</v>
      </c>
      <c r="F33" s="1692">
        <f t="shared" si="1"/>
        <v>16995</v>
      </c>
      <c r="G33" s="1692">
        <f t="shared" si="1"/>
        <v>27219</v>
      </c>
      <c r="H33" s="1692">
        <f t="shared" si="1"/>
        <v>5032</v>
      </c>
      <c r="I33" s="1692">
        <f t="shared" si="1"/>
        <v>0</v>
      </c>
      <c r="J33" s="1692">
        <f t="shared" si="1"/>
        <v>0</v>
      </c>
      <c r="K33" s="1692">
        <f t="shared" si="1"/>
        <v>1138090</v>
      </c>
      <c r="L33" s="1692">
        <f t="shared" si="1"/>
        <v>1107590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7235</v>
      </c>
      <c r="D36" s="481"/>
      <c r="E36" s="481"/>
      <c r="F36" s="481">
        <v>118</v>
      </c>
      <c r="G36" s="481"/>
      <c r="H36" s="481"/>
      <c r="I36" s="467"/>
      <c r="J36" s="467"/>
      <c r="K36" s="1693">
        <f t="shared" ref="K36:K41" si="2">SUM(C36:J36)</f>
        <v>7353</v>
      </c>
      <c r="L36" s="466">
        <v>6317</v>
      </c>
    </row>
    <row r="37" spans="1:14" x14ac:dyDescent="0.2">
      <c r="A37" s="1526" t="s">
        <v>1151</v>
      </c>
      <c r="B37" s="615">
        <v>2120</v>
      </c>
      <c r="C37" s="466"/>
      <c r="D37" s="466"/>
      <c r="E37" s="466"/>
      <c r="F37" s="466"/>
      <c r="G37" s="466"/>
      <c r="H37" s="466"/>
      <c r="I37" s="467"/>
      <c r="J37" s="467"/>
      <c r="K37" s="1693">
        <f t="shared" si="2"/>
        <v>0</v>
      </c>
      <c r="L37" s="466">
        <v>0</v>
      </c>
    </row>
    <row r="38" spans="1:14" x14ac:dyDescent="0.2">
      <c r="A38" s="1526" t="s">
        <v>207</v>
      </c>
      <c r="B38" s="615">
        <v>2130</v>
      </c>
      <c r="C38" s="466"/>
      <c r="D38" s="466"/>
      <c r="E38" s="466"/>
      <c r="F38" s="466"/>
      <c r="G38" s="466"/>
      <c r="H38" s="466"/>
      <c r="I38" s="467"/>
      <c r="J38" s="467"/>
      <c r="K38" s="1693">
        <f t="shared" si="2"/>
        <v>0</v>
      </c>
      <c r="L38" s="466">
        <v>0</v>
      </c>
    </row>
    <row r="39" spans="1:14" x14ac:dyDescent="0.2">
      <c r="A39" s="1526" t="s">
        <v>208</v>
      </c>
      <c r="B39" s="615">
        <v>2140</v>
      </c>
      <c r="C39" s="466"/>
      <c r="D39" s="466"/>
      <c r="E39" s="466"/>
      <c r="F39" s="466"/>
      <c r="G39" s="466"/>
      <c r="H39" s="466"/>
      <c r="I39" s="467"/>
      <c r="J39" s="467"/>
      <c r="K39" s="1693">
        <f t="shared" si="2"/>
        <v>0</v>
      </c>
      <c r="L39" s="466">
        <v>0</v>
      </c>
    </row>
    <row r="40" spans="1:14" x14ac:dyDescent="0.2">
      <c r="A40" s="1526" t="s">
        <v>209</v>
      </c>
      <c r="B40" s="615">
        <v>2150</v>
      </c>
      <c r="C40" s="466"/>
      <c r="D40" s="466"/>
      <c r="E40" s="466"/>
      <c r="F40" s="466"/>
      <c r="G40" s="466"/>
      <c r="H40" s="466"/>
      <c r="I40" s="467"/>
      <c r="J40" s="467"/>
      <c r="K40" s="1693">
        <f t="shared" si="2"/>
        <v>0</v>
      </c>
      <c r="L40" s="466">
        <v>0</v>
      </c>
    </row>
    <row r="41" spans="1:14" x14ac:dyDescent="0.2">
      <c r="A41" s="1526" t="s">
        <v>1768</v>
      </c>
      <c r="B41" s="615">
        <v>2190</v>
      </c>
      <c r="C41" s="466">
        <v>15775</v>
      </c>
      <c r="D41" s="466">
        <f>226+49</f>
        <v>275</v>
      </c>
      <c r="E41" s="466"/>
      <c r="F41" s="466">
        <v>27</v>
      </c>
      <c r="G41" s="466"/>
      <c r="H41" s="466"/>
      <c r="I41" s="467"/>
      <c r="J41" s="467"/>
      <c r="K41" s="1693">
        <f t="shared" si="2"/>
        <v>16077</v>
      </c>
      <c r="L41" s="466">
        <v>13258</v>
      </c>
    </row>
    <row r="42" spans="1:14" ht="12.75" customHeight="1" thickBot="1" x14ac:dyDescent="0.25">
      <c r="A42" s="1690" t="s">
        <v>581</v>
      </c>
      <c r="B42" s="1691" t="s">
        <v>740</v>
      </c>
      <c r="C42" s="1692">
        <f>SUM(C36:C41)</f>
        <v>23010</v>
      </c>
      <c r="D42" s="1692">
        <f t="shared" ref="D42:L42" si="3">SUM(D36:D41)</f>
        <v>275</v>
      </c>
      <c r="E42" s="1692">
        <f t="shared" si="3"/>
        <v>0</v>
      </c>
      <c r="F42" s="1692">
        <f t="shared" si="3"/>
        <v>145</v>
      </c>
      <c r="G42" s="1692">
        <f t="shared" si="3"/>
        <v>0</v>
      </c>
      <c r="H42" s="1692">
        <f t="shared" si="3"/>
        <v>0</v>
      </c>
      <c r="I42" s="1692">
        <f t="shared" si="3"/>
        <v>0</v>
      </c>
      <c r="J42" s="1692">
        <f t="shared" si="3"/>
        <v>0</v>
      </c>
      <c r="K42" s="1692">
        <f t="shared" si="3"/>
        <v>23430</v>
      </c>
      <c r="L42" s="1692">
        <f t="shared" si="3"/>
        <v>19575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3450</v>
      </c>
      <c r="D44" s="481">
        <f>746+77</f>
        <v>823</v>
      </c>
      <c r="E44" s="481">
        <f>1371+4436+1351</f>
        <v>7158</v>
      </c>
      <c r="F44" s="481">
        <v>2611</v>
      </c>
      <c r="G44" s="481"/>
      <c r="H44" s="481"/>
      <c r="I44" s="467"/>
      <c r="J44" s="467"/>
      <c r="K44" s="1694">
        <f>SUM(C44:J44)</f>
        <v>14042</v>
      </c>
      <c r="L44" s="481">
        <v>8133</v>
      </c>
    </row>
    <row r="45" spans="1:14" x14ac:dyDescent="0.2">
      <c r="A45" s="1526" t="s">
        <v>869</v>
      </c>
      <c r="B45" s="615">
        <v>2220</v>
      </c>
      <c r="C45" s="466">
        <v>3048</v>
      </c>
      <c r="D45" s="466"/>
      <c r="E45" s="466">
        <v>6076</v>
      </c>
      <c r="F45" s="466">
        <f>1072-68+727</f>
        <v>1731</v>
      </c>
      <c r="G45" s="466"/>
      <c r="H45" s="466"/>
      <c r="I45" s="467"/>
      <c r="J45" s="467"/>
      <c r="K45" s="1694">
        <f>SUM(C45:J45)</f>
        <v>10855</v>
      </c>
      <c r="L45" s="466">
        <v>9142</v>
      </c>
    </row>
    <row r="46" spans="1:14" x14ac:dyDescent="0.2">
      <c r="A46" s="1526" t="s">
        <v>870</v>
      </c>
      <c r="B46" s="615">
        <v>2230</v>
      </c>
      <c r="C46" s="466"/>
      <c r="D46" s="466"/>
      <c r="E46" s="466"/>
      <c r="F46" s="466"/>
      <c r="G46" s="466"/>
      <c r="H46" s="466"/>
      <c r="I46" s="467"/>
      <c r="J46" s="467"/>
      <c r="K46" s="1694">
        <f>SUM(C46:J46)</f>
        <v>0</v>
      </c>
      <c r="L46" s="466">
        <v>4801</v>
      </c>
    </row>
    <row r="47" spans="1:14" ht="12.75" customHeight="1" thickBot="1" x14ac:dyDescent="0.25">
      <c r="A47" s="1690" t="s">
        <v>582</v>
      </c>
      <c r="B47" s="1691" t="s">
        <v>32</v>
      </c>
      <c r="C47" s="1692">
        <f>SUM(C44:C46)</f>
        <v>6498</v>
      </c>
      <c r="D47" s="1692">
        <f t="shared" ref="D47:K47" si="4">SUM(D44:D46)</f>
        <v>823</v>
      </c>
      <c r="E47" s="1692">
        <f t="shared" si="4"/>
        <v>13234</v>
      </c>
      <c r="F47" s="1692">
        <f t="shared" si="4"/>
        <v>4342</v>
      </c>
      <c r="G47" s="1692">
        <f t="shared" si="4"/>
        <v>0</v>
      </c>
      <c r="H47" s="1692">
        <f t="shared" si="4"/>
        <v>0</v>
      </c>
      <c r="I47" s="1692">
        <f t="shared" si="4"/>
        <v>0</v>
      </c>
      <c r="J47" s="1692">
        <f t="shared" si="4"/>
        <v>0</v>
      </c>
      <c r="K47" s="1692">
        <f t="shared" si="4"/>
        <v>24897</v>
      </c>
      <c r="L47" s="1692">
        <f>SUM(L44:L46)</f>
        <v>22076</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v>131</v>
      </c>
      <c r="G49" s="481"/>
      <c r="H49" s="481"/>
      <c r="I49" s="467"/>
      <c r="J49" s="467"/>
      <c r="K49" s="1694">
        <f>SUM(C49:J49)</f>
        <v>131</v>
      </c>
      <c r="L49" s="481">
        <v>225</v>
      </c>
    </row>
    <row r="50" spans="1:14" x14ac:dyDescent="0.2">
      <c r="A50" s="1526" t="s">
        <v>872</v>
      </c>
      <c r="B50" s="615">
        <v>2320</v>
      </c>
      <c r="C50" s="466">
        <v>49360</v>
      </c>
      <c r="D50" s="466">
        <f>5196+6207</f>
        <v>11403</v>
      </c>
      <c r="E50" s="466">
        <v>413</v>
      </c>
      <c r="F50" s="466">
        <v>1649</v>
      </c>
      <c r="G50" s="466"/>
      <c r="H50" s="466">
        <f>187+351</f>
        <v>538</v>
      </c>
      <c r="I50" s="467"/>
      <c r="J50" s="467"/>
      <c r="K50" s="1694">
        <f>SUM(C50:J50)</f>
        <v>63363</v>
      </c>
      <c r="L50" s="466">
        <v>62642</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49360</v>
      </c>
      <c r="D53" s="1692">
        <f t="shared" ref="D53:L53" si="5">SUM(D49:D52)</f>
        <v>11403</v>
      </c>
      <c r="E53" s="1692">
        <f t="shared" si="5"/>
        <v>413</v>
      </c>
      <c r="F53" s="1692">
        <f t="shared" si="5"/>
        <v>1780</v>
      </c>
      <c r="G53" s="1692">
        <f t="shared" si="5"/>
        <v>0</v>
      </c>
      <c r="H53" s="1692">
        <f t="shared" si="5"/>
        <v>538</v>
      </c>
      <c r="I53" s="1692">
        <f t="shared" si="5"/>
        <v>0</v>
      </c>
      <c r="J53" s="1692">
        <f t="shared" si="5"/>
        <v>0</v>
      </c>
      <c r="K53" s="1692">
        <f t="shared" si="5"/>
        <v>63494</v>
      </c>
      <c r="L53" s="1692">
        <f t="shared" si="5"/>
        <v>62867</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f>50360+1250</f>
        <v>51610</v>
      </c>
      <c r="D55" s="481">
        <f>6586+5551</f>
        <v>12137</v>
      </c>
      <c r="E55" s="481">
        <f>1000+703</f>
        <v>1703</v>
      </c>
      <c r="F55" s="481">
        <v>2414</v>
      </c>
      <c r="G55" s="481"/>
      <c r="H55" s="481">
        <v>100</v>
      </c>
      <c r="I55" s="467"/>
      <c r="J55" s="467"/>
      <c r="K55" s="1694">
        <f>SUM(C55:J55)</f>
        <v>67964</v>
      </c>
      <c r="L55" s="481">
        <v>59542</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51610</v>
      </c>
      <c r="D57" s="1696">
        <f t="shared" ref="D57:K57" si="6">SUM(D55:D56)</f>
        <v>12137</v>
      </c>
      <c r="E57" s="1696">
        <f t="shared" si="6"/>
        <v>1703</v>
      </c>
      <c r="F57" s="1696">
        <f t="shared" si="6"/>
        <v>2414</v>
      </c>
      <c r="G57" s="1696">
        <f t="shared" si="6"/>
        <v>0</v>
      </c>
      <c r="H57" s="1696">
        <f t="shared" si="6"/>
        <v>100</v>
      </c>
      <c r="I57" s="1696">
        <f t="shared" si="6"/>
        <v>0</v>
      </c>
      <c r="J57" s="1696">
        <f t="shared" si="6"/>
        <v>0</v>
      </c>
      <c r="K57" s="1696">
        <f t="shared" si="6"/>
        <v>67964</v>
      </c>
      <c r="L57" s="1692">
        <f>SUM(L55:L56)</f>
        <v>59542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f>60332+400</f>
        <v>60732</v>
      </c>
      <c r="D60" s="466">
        <v>5053</v>
      </c>
      <c r="E60" s="466"/>
      <c r="F60" s="466"/>
      <c r="G60" s="466"/>
      <c r="H60" s="466"/>
      <c r="I60" s="467"/>
      <c r="J60" s="467"/>
      <c r="K60" s="1694">
        <f t="shared" si="7"/>
        <v>65785</v>
      </c>
      <c r="L60" s="466">
        <v>69815</v>
      </c>
      <c r="M60" s="610"/>
      <c r="N60" s="610"/>
    </row>
    <row r="61" spans="1:14" s="343" customFormat="1" x14ac:dyDescent="0.2">
      <c r="A61" s="1526" t="s">
        <v>206</v>
      </c>
      <c r="B61" s="615">
        <v>2540</v>
      </c>
      <c r="C61" s="466">
        <v>38341</v>
      </c>
      <c r="D61" s="466"/>
      <c r="E61" s="466">
        <f>1060+2861+1424+908+13079</f>
        <v>19332</v>
      </c>
      <c r="F61" s="466">
        <v>9874</v>
      </c>
      <c r="G61" s="466"/>
      <c r="H61" s="466"/>
      <c r="I61" s="467"/>
      <c r="J61" s="467"/>
      <c r="K61" s="1694">
        <f t="shared" si="7"/>
        <v>67547</v>
      </c>
      <c r="L61" s="466">
        <v>73092</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f>6350+18139+3379</f>
        <v>27868</v>
      </c>
      <c r="D63" s="466">
        <f>3325+30+6</f>
        <v>3361</v>
      </c>
      <c r="E63" s="466"/>
      <c r="F63" s="466">
        <f>35489+2158</f>
        <v>37647</v>
      </c>
      <c r="G63" s="466"/>
      <c r="H63" s="466">
        <v>642</v>
      </c>
      <c r="I63" s="467"/>
      <c r="J63" s="467"/>
      <c r="K63" s="1694">
        <f t="shared" si="7"/>
        <v>69518</v>
      </c>
      <c r="L63" s="466">
        <v>75516</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126941</v>
      </c>
      <c r="D65" s="1692">
        <f t="shared" ref="D65:L65" si="8">SUM(D59:D64)</f>
        <v>8414</v>
      </c>
      <c r="E65" s="1692">
        <f t="shared" si="8"/>
        <v>19332</v>
      </c>
      <c r="F65" s="1692">
        <f t="shared" si="8"/>
        <v>47521</v>
      </c>
      <c r="G65" s="1692">
        <f t="shared" si="8"/>
        <v>0</v>
      </c>
      <c r="H65" s="1692">
        <f t="shared" si="8"/>
        <v>642</v>
      </c>
      <c r="I65" s="1692">
        <f t="shared" si="8"/>
        <v>0</v>
      </c>
      <c r="J65" s="1692">
        <f t="shared" si="8"/>
        <v>0</v>
      </c>
      <c r="K65" s="1692">
        <f t="shared" si="8"/>
        <v>202850</v>
      </c>
      <c r="L65" s="1692">
        <f t="shared" si="8"/>
        <v>218423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f>7471+4248</f>
        <v>11719</v>
      </c>
      <c r="F71" s="466"/>
      <c r="G71" s="466"/>
      <c r="H71" s="466"/>
      <c r="I71" s="467"/>
      <c r="J71" s="467"/>
      <c r="K71" s="1694">
        <f>SUM(C71:J71)</f>
        <v>11719</v>
      </c>
      <c r="L71" s="466">
        <v>25000</v>
      </c>
      <c r="M71" s="610"/>
      <c r="N71" s="610"/>
    </row>
    <row r="72" spans="1:14" s="343" customFormat="1" ht="12.75" customHeight="1" thickBot="1" x14ac:dyDescent="0.25">
      <c r="A72" s="1690" t="s">
        <v>37</v>
      </c>
      <c r="B72" s="1697" t="s">
        <v>36</v>
      </c>
      <c r="C72" s="1692">
        <f>SUM(C67:C71)</f>
        <v>0</v>
      </c>
      <c r="D72" s="1692">
        <f t="shared" ref="D72:K72" si="9">SUM(D67:D71)</f>
        <v>0</v>
      </c>
      <c r="E72" s="1692">
        <f t="shared" si="9"/>
        <v>11719</v>
      </c>
      <c r="F72" s="1692">
        <f t="shared" si="9"/>
        <v>0</v>
      </c>
      <c r="G72" s="1692">
        <f t="shared" si="9"/>
        <v>0</v>
      </c>
      <c r="H72" s="1692">
        <f t="shared" si="9"/>
        <v>0</v>
      </c>
      <c r="I72" s="1692">
        <f t="shared" si="9"/>
        <v>0</v>
      </c>
      <c r="J72" s="1692">
        <f t="shared" si="9"/>
        <v>0</v>
      </c>
      <c r="K72" s="1692">
        <f t="shared" si="9"/>
        <v>11719</v>
      </c>
      <c r="L72" s="1692">
        <f>SUM(L67:L71)</f>
        <v>25000</v>
      </c>
      <c r="M72" s="610"/>
      <c r="N72" s="610"/>
    </row>
    <row r="73" spans="1:14" s="343" customFormat="1" ht="14.25" thickTop="1" thickBot="1" x14ac:dyDescent="0.25">
      <c r="A73" s="1532" t="s">
        <v>1037</v>
      </c>
      <c r="B73" s="633" t="s">
        <v>595</v>
      </c>
      <c r="C73" s="573"/>
      <c r="D73" s="573"/>
      <c r="E73" s="573">
        <v>440</v>
      </c>
      <c r="F73" s="573">
        <v>512</v>
      </c>
      <c r="G73" s="573"/>
      <c r="H73" s="573"/>
      <c r="I73" s="531"/>
      <c r="J73" s="531"/>
      <c r="K73" s="1692">
        <f>SUM(C73:J73)</f>
        <v>952</v>
      </c>
      <c r="L73" s="576">
        <v>1834</v>
      </c>
      <c r="M73" s="610"/>
      <c r="N73" s="610"/>
    </row>
    <row r="74" spans="1:14" ht="12.75" customHeight="1" thickTop="1" thickBot="1" x14ac:dyDescent="0.25">
      <c r="A74" s="1690" t="s">
        <v>865</v>
      </c>
      <c r="B74" s="1698">
        <v>2000</v>
      </c>
      <c r="C74" s="1699">
        <f>SUM(C42,C47,C53,C57,C65,C72,C73)</f>
        <v>257419</v>
      </c>
      <c r="D74" s="1699">
        <f t="shared" ref="D74:K74" si="10">SUM(D42,D47,D53,D57,D65,D72,D73)</f>
        <v>33052</v>
      </c>
      <c r="E74" s="1699">
        <f t="shared" si="10"/>
        <v>46841</v>
      </c>
      <c r="F74" s="1699">
        <f t="shared" si="10"/>
        <v>56714</v>
      </c>
      <c r="G74" s="1699">
        <f t="shared" si="10"/>
        <v>0</v>
      </c>
      <c r="H74" s="1699">
        <f t="shared" si="10"/>
        <v>1280</v>
      </c>
      <c r="I74" s="1699">
        <f t="shared" si="10"/>
        <v>0</v>
      </c>
      <c r="J74" s="1699">
        <f t="shared" si="10"/>
        <v>0</v>
      </c>
      <c r="K74" s="1699">
        <f t="shared" si="10"/>
        <v>395306</v>
      </c>
      <c r="L74" s="1699">
        <f>SUM(L42,L47,L53,L57,L65,L72,L73)</f>
        <v>409317</v>
      </c>
    </row>
    <row r="75" spans="1:14" s="259" customFormat="1" ht="15.75" customHeight="1" thickTop="1" thickBot="1" x14ac:dyDescent="0.25">
      <c r="A75" s="1632" t="s">
        <v>49</v>
      </c>
      <c r="B75" s="1633" t="s">
        <v>596</v>
      </c>
      <c r="C75" s="573">
        <f>11415+50843+9105</f>
        <v>71363</v>
      </c>
      <c r="D75" s="573">
        <v>1989</v>
      </c>
      <c r="E75" s="573"/>
      <c r="F75" s="573">
        <f>1046+6609+1511</f>
        <v>9166</v>
      </c>
      <c r="G75" s="573"/>
      <c r="H75" s="573">
        <v>50</v>
      </c>
      <c r="I75" s="531"/>
      <c r="J75" s="531"/>
      <c r="K75" s="1692">
        <f>SUM(C75:J75)</f>
        <v>82568</v>
      </c>
      <c r="L75" s="576">
        <v>91837</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0</v>
      </c>
    </row>
    <row r="79" spans="1:14" x14ac:dyDescent="0.2">
      <c r="A79" s="1526" t="s">
        <v>322</v>
      </c>
      <c r="B79" s="615">
        <v>4120</v>
      </c>
      <c r="C79" s="617"/>
      <c r="D79" s="617"/>
      <c r="E79" s="466">
        <v>26200</v>
      </c>
      <c r="F79" s="617"/>
      <c r="G79" s="617"/>
      <c r="H79" s="466"/>
      <c r="I79" s="477"/>
      <c r="J79" s="477"/>
      <c r="K79" s="1693">
        <f t="shared" si="11"/>
        <v>26200</v>
      </c>
      <c r="L79" s="466">
        <v>28000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26200</v>
      </c>
      <c r="F84" s="617"/>
      <c r="G84" s="617"/>
      <c r="H84" s="1692">
        <f>SUM(H78:H83)</f>
        <v>0</v>
      </c>
      <c r="I84" s="477"/>
      <c r="J84" s="477"/>
      <c r="K84" s="1692">
        <f>SUM(K78:K83)</f>
        <v>26200</v>
      </c>
      <c r="L84" s="1692">
        <f>SUM(L78:L83)</f>
        <v>28000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26200</v>
      </c>
      <c r="F102" s="617"/>
      <c r="G102" s="617"/>
      <c r="H102" s="1699">
        <f>SUM(H84,H92,H100,H101)</f>
        <v>0</v>
      </c>
      <c r="I102" s="477"/>
      <c r="J102" s="477"/>
      <c r="K102" s="1699">
        <f>SUM(K84,K92,K100,K101)</f>
        <v>26200</v>
      </c>
      <c r="L102" s="1699">
        <f>SUM(L84,L92,L100,L101)</f>
        <v>28000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1218747</v>
      </c>
      <c r="D114" s="1692">
        <f t="shared" ref="D114:K114" si="13">SUM(D33,D74,D75,D102,D112,D113)</f>
        <v>185197</v>
      </c>
      <c r="E114" s="1692">
        <f t="shared" si="13"/>
        <v>121764</v>
      </c>
      <c r="F114" s="1692">
        <f t="shared" si="13"/>
        <v>82875</v>
      </c>
      <c r="G114" s="1692">
        <f t="shared" si="13"/>
        <v>27219</v>
      </c>
      <c r="H114" s="1692">
        <f>SUM(H33,H74,H75,H102,H112,H113)</f>
        <v>6362</v>
      </c>
      <c r="I114" s="1692">
        <f t="shared" si="13"/>
        <v>0</v>
      </c>
      <c r="J114" s="1692">
        <f t="shared" si="13"/>
        <v>0</v>
      </c>
      <c r="K114" s="1692">
        <f t="shared" si="13"/>
        <v>1642164</v>
      </c>
      <c r="L114" s="1692">
        <f>SUM(L33,L74,L75,L102,L112,L113)</f>
        <v>1636744</v>
      </c>
    </row>
    <row r="115" spans="1:14" ht="13.5" thickTop="1" x14ac:dyDescent="0.2">
      <c r="A115" s="2174" t="s">
        <v>1053</v>
      </c>
      <c r="B115" s="2175"/>
      <c r="C115" s="619"/>
      <c r="D115" s="619"/>
      <c r="E115" s="619"/>
      <c r="F115" s="619"/>
      <c r="G115" s="619"/>
      <c r="H115" s="619"/>
      <c r="I115" s="619"/>
      <c r="J115" s="619"/>
      <c r="K115" s="1706">
        <f>'Revenues 9-14'!C275-'Expenditures 15-22'!K114</f>
        <v>98755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3708</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f>30345-1</f>
        <v>30344</v>
      </c>
      <c r="D124" s="466">
        <v>3975</v>
      </c>
      <c r="E124" s="466">
        <f>2044+3519+131-1430+225</f>
        <v>4489</v>
      </c>
      <c r="F124" s="466">
        <f>52738+19975+4917</f>
        <v>77630</v>
      </c>
      <c r="G124" s="466">
        <v>8388</v>
      </c>
      <c r="H124" s="466"/>
      <c r="I124" s="467"/>
      <c r="J124" s="467"/>
      <c r="K124" s="1692">
        <f>SUM(C124:J124)</f>
        <v>124826</v>
      </c>
      <c r="L124" s="466">
        <v>164445</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30344</v>
      </c>
      <c r="D127" s="1692">
        <f t="shared" ref="D127:L127" si="14">SUM(D122:D126)</f>
        <v>3975</v>
      </c>
      <c r="E127" s="1692">
        <f t="shared" si="14"/>
        <v>4489</v>
      </c>
      <c r="F127" s="1692">
        <f t="shared" si="14"/>
        <v>77630</v>
      </c>
      <c r="G127" s="1692">
        <f t="shared" si="14"/>
        <v>8388</v>
      </c>
      <c r="H127" s="1692">
        <f t="shared" si="14"/>
        <v>0</v>
      </c>
      <c r="I127" s="1692">
        <f t="shared" si="14"/>
        <v>0</v>
      </c>
      <c r="J127" s="1692">
        <f t="shared" si="14"/>
        <v>0</v>
      </c>
      <c r="K127" s="1692">
        <f t="shared" si="14"/>
        <v>124826</v>
      </c>
      <c r="L127" s="1692">
        <f t="shared" si="14"/>
        <v>164445</v>
      </c>
    </row>
    <row r="128" spans="1:14" ht="12.75" customHeight="1" thickTop="1" x14ac:dyDescent="0.2">
      <c r="A128" s="1533" t="s">
        <v>1037</v>
      </c>
      <c r="B128" s="656" t="s">
        <v>595</v>
      </c>
      <c r="C128" s="657"/>
      <c r="D128" s="657"/>
      <c r="E128" s="657">
        <v>3708</v>
      </c>
      <c r="F128" s="657"/>
      <c r="G128" s="657"/>
      <c r="H128" s="657"/>
      <c r="I128" s="535"/>
      <c r="J128" s="535"/>
      <c r="K128" s="1707">
        <f>SUM(C128:J128)</f>
        <v>3708</v>
      </c>
      <c r="L128" s="657">
        <v>0</v>
      </c>
    </row>
    <row r="129" spans="1:14" ht="12.75" customHeight="1" thickBot="1" x14ac:dyDescent="0.25">
      <c r="A129" s="1708" t="s">
        <v>865</v>
      </c>
      <c r="B129" s="1709" t="s">
        <v>590</v>
      </c>
      <c r="C129" s="1699">
        <f>SUM(C120,C127,C128)</f>
        <v>30344</v>
      </c>
      <c r="D129" s="1699">
        <f t="shared" ref="D129:L129" si="15">SUM(D120,D127,D128)</f>
        <v>3975</v>
      </c>
      <c r="E129" s="1699">
        <f t="shared" si="15"/>
        <v>8197</v>
      </c>
      <c r="F129" s="1699">
        <f t="shared" si="15"/>
        <v>77630</v>
      </c>
      <c r="G129" s="1699">
        <f t="shared" si="15"/>
        <v>8388</v>
      </c>
      <c r="H129" s="1699">
        <f t="shared" si="15"/>
        <v>0</v>
      </c>
      <c r="I129" s="1699">
        <f t="shared" si="15"/>
        <v>0</v>
      </c>
      <c r="J129" s="1699">
        <f t="shared" si="15"/>
        <v>0</v>
      </c>
      <c r="K129" s="1699">
        <f t="shared" si="15"/>
        <v>128534</v>
      </c>
      <c r="L129" s="1699">
        <f t="shared" si="15"/>
        <v>168153</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1" t="s">
        <v>641</v>
      </c>
      <c r="B151" s="2171"/>
      <c r="C151" s="1692">
        <f>SUM(C129,C130,C139,C149,C150)</f>
        <v>30344</v>
      </c>
      <c r="D151" s="1692">
        <f t="shared" ref="D151:K151" si="16">SUM(D129,D130,D139,D149,D150)</f>
        <v>3975</v>
      </c>
      <c r="E151" s="1692">
        <f t="shared" si="16"/>
        <v>8197</v>
      </c>
      <c r="F151" s="1692">
        <f t="shared" si="16"/>
        <v>77630</v>
      </c>
      <c r="G151" s="1692">
        <f t="shared" si="16"/>
        <v>8388</v>
      </c>
      <c r="H151" s="1692">
        <f t="shared" si="16"/>
        <v>0</v>
      </c>
      <c r="I151" s="1692">
        <f t="shared" si="16"/>
        <v>0</v>
      </c>
      <c r="J151" s="1692">
        <f t="shared" si="16"/>
        <v>0</v>
      </c>
      <c r="K151" s="1692">
        <f t="shared" si="16"/>
        <v>128534</v>
      </c>
      <c r="L151" s="1692">
        <f>SUM(L129,L130,L139,L149,L150)</f>
        <v>168153</v>
      </c>
    </row>
    <row r="152" spans="1:14" ht="12.75" customHeight="1" thickTop="1" x14ac:dyDescent="0.2">
      <c r="A152" s="2194" t="s">
        <v>1240</v>
      </c>
      <c r="B152" s="2195"/>
      <c r="C152" s="619"/>
      <c r="D152" s="619"/>
      <c r="E152" s="619"/>
      <c r="F152" s="619"/>
      <c r="G152" s="619"/>
      <c r="H152" s="619"/>
      <c r="I152" s="619"/>
      <c r="J152" s="617"/>
      <c r="K152" s="1706">
        <f>'Revenues 9-14'!D275-'Expenditures 15-22'!K151</f>
        <v>10468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v>0</v>
      </c>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v>500</v>
      </c>
      <c r="I166" s="617"/>
      <c r="J166" s="617"/>
      <c r="K166" s="1693">
        <f>SUM(C166:J166)</f>
        <v>500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500</v>
      </c>
      <c r="I168" s="617"/>
      <c r="J168" s="617"/>
      <c r="K168" s="1692">
        <f>SUM(K163:K167)</f>
        <v>500</v>
      </c>
      <c r="L168" s="1692">
        <f>SUM(L163:L167)</f>
        <v>0</v>
      </c>
    </row>
    <row r="169" spans="1:14" ht="15.75" customHeight="1" thickTop="1" x14ac:dyDescent="0.2">
      <c r="A169" s="670" t="s">
        <v>85</v>
      </c>
      <c r="B169" s="671" t="s">
        <v>38</v>
      </c>
      <c r="C169" s="617"/>
      <c r="D169" s="617"/>
      <c r="E169" s="617"/>
      <c r="F169" s="617"/>
      <c r="G169" s="617"/>
      <c r="H169" s="657">
        <f>22145+1-129</f>
        <v>22017</v>
      </c>
      <c r="I169" s="617"/>
      <c r="J169" s="617"/>
      <c r="K169" s="1693">
        <f>SUM(C169:H169)</f>
        <v>22017</v>
      </c>
      <c r="L169" s="657">
        <v>19085</v>
      </c>
    </row>
    <row r="170" spans="1:14" ht="33.75" customHeight="1" x14ac:dyDescent="0.2">
      <c r="A170" s="670" t="s">
        <v>1769</v>
      </c>
      <c r="B170" s="672" t="s">
        <v>31</v>
      </c>
      <c r="C170" s="617"/>
      <c r="D170" s="617"/>
      <c r="E170" s="617"/>
      <c r="F170" s="617"/>
      <c r="G170" s="617"/>
      <c r="H170" s="569">
        <f>120000</f>
        <v>120000</v>
      </c>
      <c r="I170" s="617"/>
      <c r="J170" s="617"/>
      <c r="K170" s="1693">
        <f>SUM(C170:J170)</f>
        <v>120000</v>
      </c>
      <c r="L170" s="569">
        <v>145000</v>
      </c>
    </row>
    <row r="171" spans="1:14" ht="15.75" customHeight="1" x14ac:dyDescent="0.2">
      <c r="A171" s="622" t="s">
        <v>790</v>
      </c>
      <c r="B171" s="673" t="s">
        <v>86</v>
      </c>
      <c r="C171" s="617"/>
      <c r="D171" s="617"/>
      <c r="E171" s="466"/>
      <c r="F171" s="617"/>
      <c r="G171" s="617"/>
      <c r="H171" s="569"/>
      <c r="I171" s="477"/>
      <c r="J171" s="617"/>
      <c r="K171" s="1693">
        <f>SUM(C171:J171)</f>
        <v>0</v>
      </c>
      <c r="L171" s="569">
        <v>0</v>
      </c>
    </row>
    <row r="172" spans="1:14" ht="12.75" customHeight="1" thickBot="1" x14ac:dyDescent="0.25">
      <c r="A172" s="1690" t="s">
        <v>659</v>
      </c>
      <c r="B172" s="1691" t="s">
        <v>513</v>
      </c>
      <c r="C172" s="617"/>
      <c r="D172" s="617"/>
      <c r="E172" s="1699">
        <f>SUM(E168,E169,E170,E171)</f>
        <v>0</v>
      </c>
      <c r="F172" s="617"/>
      <c r="G172" s="617"/>
      <c r="H172" s="1699">
        <f>SUM(H168,H169,H170,H171)</f>
        <v>142517</v>
      </c>
      <c r="I172" s="639"/>
      <c r="J172" s="617"/>
      <c r="K172" s="1699">
        <f>SUM(K168,K169,K170,K171)</f>
        <v>142517</v>
      </c>
      <c r="L172" s="1699">
        <f>SUM(L168,L169,L170,L171)</f>
        <v>164085</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142517</v>
      </c>
      <c r="I174" s="639"/>
      <c r="J174" s="617"/>
      <c r="K174" s="1699">
        <f>SUM(K160,K172,K173)</f>
        <v>142517</v>
      </c>
      <c r="L174" s="1699">
        <f>SUM(L160,L172,L173)</f>
        <v>164085</v>
      </c>
    </row>
    <row r="175" spans="1:14" ht="13.5" thickTop="1" x14ac:dyDescent="0.2">
      <c r="A175" s="2174" t="s">
        <v>1053</v>
      </c>
      <c r="B175" s="2175"/>
      <c r="C175" s="617"/>
      <c r="D175" s="617"/>
      <c r="E175" s="617"/>
      <c r="F175" s="617"/>
      <c r="G175" s="617"/>
      <c r="H175" s="619"/>
      <c r="I175" s="617"/>
      <c r="J175" s="617"/>
      <c r="K175" s="1706">
        <f>'Revenues 9-14'!E275-'Expenditures 15-22'!K174</f>
        <v>-3760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f>510+98010+3448</f>
        <v>101968</v>
      </c>
      <c r="F182" s="466"/>
      <c r="G182" s="466"/>
      <c r="H182" s="466"/>
      <c r="I182" s="467"/>
      <c r="J182" s="467"/>
      <c r="K182" s="1693">
        <f>SUM(C182:J182)</f>
        <v>101968</v>
      </c>
      <c r="L182" s="466">
        <v>99000</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0</v>
      </c>
      <c r="D184" s="1699">
        <f t="shared" ref="D184:J184" si="17">SUM(D180,D182,D183)</f>
        <v>0</v>
      </c>
      <c r="E184" s="1699">
        <f t="shared" si="17"/>
        <v>101968</v>
      </c>
      <c r="F184" s="1699">
        <f t="shared" si="17"/>
        <v>0</v>
      </c>
      <c r="G184" s="1699">
        <f t="shared" si="17"/>
        <v>0</v>
      </c>
      <c r="H184" s="1699">
        <f t="shared" si="17"/>
        <v>0</v>
      </c>
      <c r="I184" s="1699">
        <f t="shared" si="17"/>
        <v>0</v>
      </c>
      <c r="J184" s="1699">
        <f t="shared" si="17"/>
        <v>0</v>
      </c>
      <c r="K184" s="1699">
        <f>SUM(K180,K182,K183)</f>
        <v>101968</v>
      </c>
      <c r="L184" s="1699">
        <f>SUM(L180, L182:L183)</f>
        <v>99000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0</v>
      </c>
      <c r="D210" s="1692">
        <f>SUM(D184,D185)</f>
        <v>0</v>
      </c>
      <c r="E210" s="1692">
        <f>SUM(E184,E185,E196)</f>
        <v>101968</v>
      </c>
      <c r="F210" s="1692">
        <f>SUM(F184,F185)</f>
        <v>0</v>
      </c>
      <c r="G210" s="1692">
        <f>SUM(G184,G185)</f>
        <v>0</v>
      </c>
      <c r="H210" s="1692">
        <f>SUM(H184,H185,H196,H208,H209)</f>
        <v>0</v>
      </c>
      <c r="I210" s="1692">
        <f>SUM(I184,I185)</f>
        <v>0</v>
      </c>
      <c r="J210" s="1692">
        <f>SUM(J184,J185)</f>
        <v>0</v>
      </c>
      <c r="K210" s="1693">
        <f>SUM(K184,K185,K196,K208,K209)</f>
        <v>101968</v>
      </c>
      <c r="L210" s="1692">
        <f>SUM(L184,L185,L196,L208,L209)</f>
        <v>99000</v>
      </c>
    </row>
    <row r="211" spans="1:14" ht="13.5" thickTop="1" x14ac:dyDescent="0.2">
      <c r="A211" s="2174" t="s">
        <v>1053</v>
      </c>
      <c r="B211" s="2175"/>
      <c r="C211" s="619"/>
      <c r="D211" s="619"/>
      <c r="E211" s="619"/>
      <c r="F211" s="619"/>
      <c r="G211" s="619"/>
      <c r="H211" s="619"/>
      <c r="I211" s="617"/>
      <c r="J211" s="617"/>
      <c r="K211" s="1706">
        <f>'Revenues 9-14'!F275-'Expenditures 15-22'!K210</f>
        <v>13123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9027+210+89+616+524+122-3</f>
        <v>10585</v>
      </c>
      <c r="E215" s="617"/>
      <c r="F215" s="617"/>
      <c r="G215" s="617"/>
      <c r="H215" s="617"/>
      <c r="I215" s="617"/>
      <c r="J215" s="617"/>
      <c r="K215" s="1693">
        <f>D215</f>
        <v>10585</v>
      </c>
      <c r="L215" s="466">
        <v>11110</v>
      </c>
    </row>
    <row r="216" spans="1:14" x14ac:dyDescent="0.2">
      <c r="A216" s="1526" t="s">
        <v>165</v>
      </c>
      <c r="B216" s="615" t="s">
        <v>1024</v>
      </c>
      <c r="C216" s="617"/>
      <c r="D216" s="467"/>
      <c r="E216" s="617"/>
      <c r="F216" s="617"/>
      <c r="G216" s="617"/>
      <c r="H216" s="617"/>
      <c r="I216" s="617"/>
      <c r="J216" s="617"/>
      <c r="K216" s="1693">
        <f t="shared" ref="K216:K228" si="19">D216</f>
        <v>0</v>
      </c>
      <c r="L216" s="466">
        <v>0</v>
      </c>
    </row>
    <row r="217" spans="1:14" x14ac:dyDescent="0.2">
      <c r="A217" s="1526" t="s">
        <v>166</v>
      </c>
      <c r="B217" s="615">
        <v>1200</v>
      </c>
      <c r="C217" s="617"/>
      <c r="D217" s="466">
        <f>1460+15+750+1331+2077+1142+1735+267+406+1818+1877+439</f>
        <v>13317</v>
      </c>
      <c r="E217" s="617"/>
      <c r="F217" s="617"/>
      <c r="G217" s="617"/>
      <c r="H217" s="617"/>
      <c r="I217" s="617"/>
      <c r="J217" s="617"/>
      <c r="K217" s="1693">
        <f t="shared" si="19"/>
        <v>13317</v>
      </c>
      <c r="L217" s="466">
        <v>12375</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c r="E219" s="617"/>
      <c r="F219" s="617"/>
      <c r="G219" s="617"/>
      <c r="H219" s="617"/>
      <c r="I219" s="617"/>
      <c r="J219" s="617"/>
      <c r="K219" s="1693">
        <f t="shared" si="19"/>
        <v>0</v>
      </c>
      <c r="L219" s="466">
        <v>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c r="E222" s="617"/>
      <c r="F222" s="617"/>
      <c r="G222" s="617"/>
      <c r="H222" s="617"/>
      <c r="I222" s="617"/>
      <c r="J222" s="617"/>
      <c r="K222" s="1693">
        <f t="shared" si="19"/>
        <v>0</v>
      </c>
      <c r="L222" s="466">
        <v>0</v>
      </c>
    </row>
    <row r="223" spans="1:14" x14ac:dyDescent="0.2">
      <c r="A223" s="1526" t="s">
        <v>1020</v>
      </c>
      <c r="B223" s="615">
        <v>1500</v>
      </c>
      <c r="C223" s="617"/>
      <c r="D223" s="466">
        <f>911+242</f>
        <v>1153</v>
      </c>
      <c r="E223" s="617"/>
      <c r="F223" s="617"/>
      <c r="G223" s="617"/>
      <c r="H223" s="617"/>
      <c r="I223" s="617"/>
      <c r="J223" s="617"/>
      <c r="K223" s="1693">
        <f t="shared" si="19"/>
        <v>1153</v>
      </c>
      <c r="L223" s="466">
        <v>1148</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25055</v>
      </c>
      <c r="E229" s="617"/>
      <c r="F229" s="617"/>
      <c r="G229" s="617"/>
      <c r="H229" s="617"/>
      <c r="I229" s="617"/>
      <c r="J229" s="617"/>
      <c r="K229" s="1692">
        <f>SUM(K215:K228)</f>
        <v>25055</v>
      </c>
      <c r="L229" s="1692">
        <f>SUM(L215:L228)</f>
        <v>24633</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f>532+449+105</f>
        <v>1086</v>
      </c>
      <c r="E232" s="617"/>
      <c r="F232" s="617"/>
      <c r="G232" s="617"/>
      <c r="H232" s="617"/>
      <c r="I232" s="617"/>
      <c r="J232" s="617"/>
      <c r="K232" s="1693">
        <f t="shared" ref="K232:K237" si="20">D232</f>
        <v>1086</v>
      </c>
      <c r="L232" s="466">
        <v>953</v>
      </c>
    </row>
    <row r="233" spans="1:12" x14ac:dyDescent="0.2">
      <c r="A233" s="1526" t="s">
        <v>1151</v>
      </c>
      <c r="B233" s="615">
        <v>2120</v>
      </c>
      <c r="C233" s="617"/>
      <c r="D233" s="466"/>
      <c r="E233" s="617"/>
      <c r="F233" s="617"/>
      <c r="G233" s="617"/>
      <c r="H233" s="617"/>
      <c r="I233" s="617"/>
      <c r="J233" s="617"/>
      <c r="K233" s="1693">
        <f t="shared" si="20"/>
        <v>0</v>
      </c>
      <c r="L233" s="466">
        <v>0</v>
      </c>
    </row>
    <row r="234" spans="1:12" x14ac:dyDescent="0.2">
      <c r="A234" s="1526" t="s">
        <v>207</v>
      </c>
      <c r="B234" s="615">
        <v>2130</v>
      </c>
      <c r="C234" s="617"/>
      <c r="D234" s="466"/>
      <c r="E234" s="617"/>
      <c r="F234" s="617"/>
      <c r="G234" s="617"/>
      <c r="H234" s="617"/>
      <c r="I234" s="617"/>
      <c r="J234" s="617"/>
      <c r="K234" s="1693">
        <f t="shared" si="20"/>
        <v>0</v>
      </c>
      <c r="L234" s="466">
        <v>0</v>
      </c>
    </row>
    <row r="235" spans="1:12" x14ac:dyDescent="0.2">
      <c r="A235" s="1526" t="s">
        <v>208</v>
      </c>
      <c r="B235" s="615">
        <v>2140</v>
      </c>
      <c r="C235" s="617"/>
      <c r="D235" s="466"/>
      <c r="E235" s="617"/>
      <c r="F235" s="617"/>
      <c r="G235" s="617"/>
      <c r="H235" s="617"/>
      <c r="I235" s="617"/>
      <c r="J235" s="617"/>
      <c r="K235" s="1693">
        <f t="shared" si="20"/>
        <v>0</v>
      </c>
      <c r="L235" s="466">
        <v>0</v>
      </c>
    </row>
    <row r="236" spans="1:12" x14ac:dyDescent="0.2">
      <c r="A236" s="1526" t="s">
        <v>209</v>
      </c>
      <c r="B236" s="615">
        <v>2150</v>
      </c>
      <c r="C236" s="617"/>
      <c r="D236" s="466"/>
      <c r="E236" s="617"/>
      <c r="F236" s="617"/>
      <c r="G236" s="617"/>
      <c r="H236" s="617"/>
      <c r="I236" s="617"/>
      <c r="J236" s="617"/>
      <c r="K236" s="1693">
        <f t="shared" si="20"/>
        <v>0</v>
      </c>
      <c r="L236" s="466">
        <v>0</v>
      </c>
    </row>
    <row r="237" spans="1:12" x14ac:dyDescent="0.2">
      <c r="A237" s="1526" t="s">
        <v>167</v>
      </c>
      <c r="B237" s="615">
        <v>2190</v>
      </c>
      <c r="C237" s="617"/>
      <c r="D237" s="466">
        <f>809+843+433</f>
        <v>2085</v>
      </c>
      <c r="E237" s="617"/>
      <c r="F237" s="617"/>
      <c r="G237" s="617"/>
      <c r="H237" s="617"/>
      <c r="I237" s="617"/>
      <c r="J237" s="617"/>
      <c r="K237" s="1693">
        <f t="shared" si="20"/>
        <v>2085</v>
      </c>
      <c r="L237" s="466">
        <v>1606</v>
      </c>
    </row>
    <row r="238" spans="1:12" ht="12.75" customHeight="1" thickBot="1" x14ac:dyDescent="0.25">
      <c r="A238" s="1690" t="s">
        <v>581</v>
      </c>
      <c r="B238" s="1697" t="s">
        <v>740</v>
      </c>
      <c r="C238" s="617"/>
      <c r="D238" s="1692">
        <f>SUM(D232:D237)</f>
        <v>3171</v>
      </c>
      <c r="E238" s="617"/>
      <c r="F238" s="617"/>
      <c r="G238" s="617"/>
      <c r="H238" s="617"/>
      <c r="I238" s="617"/>
      <c r="J238" s="617"/>
      <c r="K238" s="1692">
        <f>SUM(K232:K237)</f>
        <v>3171</v>
      </c>
      <c r="L238" s="1692">
        <f>SUM(L232:L237)</f>
        <v>2559</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50</v>
      </c>
      <c r="E240" s="617"/>
      <c r="F240" s="617"/>
      <c r="G240" s="617"/>
      <c r="H240" s="617"/>
      <c r="I240" s="617"/>
      <c r="J240" s="617"/>
      <c r="K240" s="1694">
        <f>D240</f>
        <v>50</v>
      </c>
      <c r="L240" s="481">
        <v>0</v>
      </c>
    </row>
    <row r="241" spans="1:12" x14ac:dyDescent="0.2">
      <c r="A241" s="1526" t="s">
        <v>869</v>
      </c>
      <c r="B241" s="615">
        <v>2220</v>
      </c>
      <c r="C241" s="617"/>
      <c r="D241" s="466">
        <f>225+189+44</f>
        <v>458</v>
      </c>
      <c r="E241" s="617"/>
      <c r="F241" s="617"/>
      <c r="G241" s="617"/>
      <c r="H241" s="617"/>
      <c r="I241" s="617"/>
      <c r="J241" s="617"/>
      <c r="K241" s="1694">
        <f>D241</f>
        <v>458</v>
      </c>
      <c r="L241" s="466">
        <v>417</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508</v>
      </c>
      <c r="E243" s="617"/>
      <c r="F243" s="617"/>
      <c r="G243" s="617"/>
      <c r="H243" s="617"/>
      <c r="I243" s="617"/>
      <c r="J243" s="617"/>
      <c r="K243" s="1692">
        <f>SUM(K240:K242)</f>
        <v>508</v>
      </c>
      <c r="L243" s="1692">
        <f>SUM(L240:L242)</f>
        <v>417</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v>0</v>
      </c>
    </row>
    <row r="246" spans="1:12" x14ac:dyDescent="0.2">
      <c r="A246" s="1526" t="s">
        <v>872</v>
      </c>
      <c r="B246" s="615">
        <v>2320</v>
      </c>
      <c r="C246" s="617"/>
      <c r="D246" s="466">
        <v>913</v>
      </c>
      <c r="E246" s="617"/>
      <c r="F246" s="617"/>
      <c r="G246" s="617"/>
      <c r="H246" s="617"/>
      <c r="I246" s="617"/>
      <c r="J246" s="617"/>
      <c r="K246" s="1694">
        <f t="shared" ref="K246:K256" si="21">D246</f>
        <v>913</v>
      </c>
      <c r="L246" s="466">
        <v>710</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1908</v>
      </c>
      <c r="B249" s="684" t="s">
        <v>300</v>
      </c>
      <c r="C249" s="617"/>
      <c r="D249" s="474"/>
      <c r="E249" s="617"/>
      <c r="F249" s="617"/>
      <c r="G249" s="617"/>
      <c r="H249" s="617"/>
      <c r="I249" s="617"/>
      <c r="J249" s="617"/>
      <c r="K249" s="1694">
        <f t="shared" si="21"/>
        <v>0</v>
      </c>
      <c r="L249" s="466">
        <v>0</v>
      </c>
    </row>
    <row r="250" spans="1:12" x14ac:dyDescent="0.2">
      <c r="A250" s="1527" t="s">
        <v>1909</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913</v>
      </c>
      <c r="E257" s="617"/>
      <c r="F257" s="617"/>
      <c r="G257" s="617"/>
      <c r="H257" s="617"/>
      <c r="I257" s="617"/>
      <c r="J257" s="617"/>
      <c r="K257" s="1692">
        <f>SUM(K245:K256)</f>
        <v>913</v>
      </c>
      <c r="L257" s="1692">
        <f>SUM(L245:L256)</f>
        <v>710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730</v>
      </c>
      <c r="E259" s="617"/>
      <c r="F259" s="617"/>
      <c r="G259" s="617"/>
      <c r="H259" s="617"/>
      <c r="I259" s="617"/>
      <c r="J259" s="617"/>
      <c r="K259" s="1694">
        <f>D259</f>
        <v>730</v>
      </c>
      <c r="L259" s="481">
        <v>753</v>
      </c>
    </row>
    <row r="260" spans="1:14" s="598" customFormat="1" x14ac:dyDescent="0.2">
      <c r="A260" s="1544" t="s">
        <v>1907</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730</v>
      </c>
      <c r="E261" s="617"/>
      <c r="F261" s="617"/>
      <c r="G261" s="617"/>
      <c r="H261" s="617"/>
      <c r="I261" s="617"/>
      <c r="J261" s="617"/>
      <c r="K261" s="1692">
        <f>SUM(K259:K260)</f>
        <v>730</v>
      </c>
      <c r="L261" s="1692">
        <f>SUM(L259:L260)</f>
        <v>753</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f>4883+4090+956</f>
        <v>9929</v>
      </c>
      <c r="E264" s="617"/>
      <c r="F264" s="617"/>
      <c r="G264" s="617"/>
      <c r="H264" s="617"/>
      <c r="I264" s="617"/>
      <c r="J264" s="617"/>
      <c r="K264" s="1694">
        <f t="shared" ref="K264:K269" si="22">D264</f>
        <v>9929</v>
      </c>
      <c r="L264" s="466">
        <v>10478</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f>5052+4591+1074</f>
        <v>10717</v>
      </c>
      <c r="E266" s="617"/>
      <c r="F266" s="617"/>
      <c r="G266" s="617"/>
      <c r="H266" s="617"/>
      <c r="I266" s="617"/>
      <c r="J266" s="617"/>
      <c r="K266" s="1694">
        <f t="shared" si="22"/>
        <v>10717</v>
      </c>
      <c r="L266" s="466">
        <v>11782</v>
      </c>
    </row>
    <row r="267" spans="1:14" x14ac:dyDescent="0.2">
      <c r="A267" s="1526" t="s">
        <v>1010</v>
      </c>
      <c r="B267" s="615">
        <v>2550</v>
      </c>
      <c r="C267" s="617"/>
      <c r="D267" s="466"/>
      <c r="E267" s="617"/>
      <c r="F267" s="617"/>
      <c r="G267" s="617"/>
      <c r="H267" s="617"/>
      <c r="I267" s="617"/>
      <c r="J267" s="617"/>
      <c r="K267" s="1694">
        <f t="shared" si="22"/>
        <v>0</v>
      </c>
      <c r="L267" s="466">
        <v>0</v>
      </c>
    </row>
    <row r="268" spans="1:14" x14ac:dyDescent="0.2">
      <c r="A268" s="1526" t="s">
        <v>102</v>
      </c>
      <c r="B268" s="615">
        <v>2560</v>
      </c>
      <c r="C268" s="617"/>
      <c r="D268" s="466">
        <f>469+419+98+1341+1125+263+229+192+49</f>
        <v>4185</v>
      </c>
      <c r="E268" s="617"/>
      <c r="F268" s="617"/>
      <c r="G268" s="617"/>
      <c r="H268" s="617"/>
      <c r="I268" s="617"/>
      <c r="J268" s="617"/>
      <c r="K268" s="1694">
        <f t="shared" si="22"/>
        <v>4185</v>
      </c>
      <c r="L268" s="466">
        <v>3543</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24831</v>
      </c>
      <c r="E270" s="617"/>
      <c r="F270" s="617"/>
      <c r="G270" s="617"/>
      <c r="H270" s="617"/>
      <c r="I270" s="617"/>
      <c r="J270" s="617"/>
      <c r="K270" s="1692">
        <f>SUM(K263:K269)</f>
        <v>24831</v>
      </c>
      <c r="L270" s="1692">
        <f>SUM(L263:L269)</f>
        <v>25803</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30153</v>
      </c>
      <c r="E279" s="617"/>
      <c r="F279" s="617"/>
      <c r="G279" s="617"/>
      <c r="H279" s="617"/>
      <c r="I279" s="617"/>
      <c r="J279" s="617"/>
      <c r="K279" s="1699">
        <f>SUM(K238,K243,K257,K261,K270,K277,K278)</f>
        <v>30153</v>
      </c>
      <c r="L279" s="1699">
        <f>SUM(L238,L243,L257,L261,L270,L277,L278)</f>
        <v>30242</v>
      </c>
    </row>
    <row r="280" spans="1:12" ht="15.75" customHeight="1" thickTop="1" thickBot="1" x14ac:dyDescent="0.25">
      <c r="A280" s="1646" t="s">
        <v>930</v>
      </c>
      <c r="B280" s="1635">
        <v>3000</v>
      </c>
      <c r="C280" s="617"/>
      <c r="D280" s="576">
        <f>125+708+166+3521+3152+737+663+565+132</f>
        <v>9769</v>
      </c>
      <c r="E280" s="617"/>
      <c r="F280" s="617"/>
      <c r="G280" s="617"/>
      <c r="H280" s="617"/>
      <c r="I280" s="617"/>
      <c r="J280" s="617"/>
      <c r="K280" s="1701">
        <f>D280</f>
        <v>9769</v>
      </c>
      <c r="L280" s="576">
        <v>10024</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3942</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3942</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2" t="s">
        <v>526</v>
      </c>
      <c r="B295" s="2193"/>
      <c r="C295" s="617"/>
      <c r="D295" s="1692">
        <f>SUM(D229,D279,D280,D285)</f>
        <v>64977</v>
      </c>
      <c r="E295" s="617"/>
      <c r="F295" s="617"/>
      <c r="G295" s="617"/>
      <c r="H295" s="1692">
        <f>H293</f>
        <v>0</v>
      </c>
      <c r="I295" s="617"/>
      <c r="J295" s="617"/>
      <c r="K295" s="1692">
        <f>SUM(K229,K279,K280,K285,K293,K294)</f>
        <v>64977</v>
      </c>
      <c r="L295" s="1692">
        <f>SUM(L229,L279,L280,L285,L293,L294)</f>
        <v>68841</v>
      </c>
    </row>
    <row r="296" spans="1:14" ht="13.5" thickTop="1" x14ac:dyDescent="0.2">
      <c r="A296" s="2174" t="s">
        <v>1053</v>
      </c>
      <c r="B296" s="2175"/>
      <c r="C296" s="617"/>
      <c r="D296" s="619"/>
      <c r="E296" s="617"/>
      <c r="F296" s="617"/>
      <c r="G296" s="617"/>
      <c r="H296" s="688"/>
      <c r="I296" s="617"/>
      <c r="J296" s="617"/>
      <c r="K296" s="1706">
        <f>'Revenues 9-14'!G275-'Expenditures 15-22'!K295</f>
        <v>16867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f>9832+1-9833</f>
        <v>0</v>
      </c>
      <c r="F301" s="466"/>
      <c r="G301" s="466">
        <v>9833</v>
      </c>
      <c r="H301" s="466"/>
      <c r="I301" s="467"/>
      <c r="J301" s="467"/>
      <c r="K301" s="1693">
        <f>SUM(C301:J301)</f>
        <v>9833</v>
      </c>
      <c r="L301" s="467">
        <v>25000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9833</v>
      </c>
      <c r="H303" s="1699">
        <f t="shared" si="23"/>
        <v>0</v>
      </c>
      <c r="I303" s="1699">
        <f t="shared" si="23"/>
        <v>0</v>
      </c>
      <c r="J303" s="1699">
        <f t="shared" si="23"/>
        <v>0</v>
      </c>
      <c r="K303" s="1699">
        <f t="shared" si="23"/>
        <v>9833</v>
      </c>
      <c r="L303" s="1699">
        <f t="shared" si="23"/>
        <v>25000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9833</v>
      </c>
      <c r="H312" s="1692">
        <f>SUM(H303,H310)</f>
        <v>0</v>
      </c>
      <c r="I312" s="1692">
        <f>SUM(I303)</f>
        <v>0</v>
      </c>
      <c r="J312" s="1692">
        <f>SUM(J303)</f>
        <v>0</v>
      </c>
      <c r="K312" s="1692">
        <f>SUM(K303,K310,K311)</f>
        <v>9833</v>
      </c>
      <c r="L312" s="1692">
        <f>SUM(L303,L310,L311)</f>
        <v>25000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92668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v>0</v>
      </c>
      <c r="M320" s="666"/>
      <c r="N320" s="666"/>
    </row>
    <row r="321" spans="1:14" s="675" customFormat="1" x14ac:dyDescent="0.2">
      <c r="A321" s="1541" t="s">
        <v>318</v>
      </c>
      <c r="B321" s="698" t="s">
        <v>301</v>
      </c>
      <c r="C321" s="467"/>
      <c r="D321" s="467">
        <v>6973</v>
      </c>
      <c r="E321" s="467"/>
      <c r="F321" s="467"/>
      <c r="G321" s="467"/>
      <c r="H321" s="467"/>
      <c r="I321" s="467"/>
      <c r="J321" s="467"/>
      <c r="K321" s="1693">
        <f t="shared" si="24"/>
        <v>6973</v>
      </c>
      <c r="L321" s="467">
        <v>20000</v>
      </c>
      <c r="M321" s="666"/>
      <c r="N321" s="666"/>
    </row>
    <row r="322" spans="1:14" s="675" customFormat="1" x14ac:dyDescent="0.2">
      <c r="A322" s="1541" t="s">
        <v>256</v>
      </c>
      <c r="B322" s="698" t="s">
        <v>302</v>
      </c>
      <c r="C322" s="467"/>
      <c r="D322" s="467"/>
      <c r="E322" s="467">
        <f>6159+30486</f>
        <v>36645</v>
      </c>
      <c r="F322" s="467"/>
      <c r="G322" s="467"/>
      <c r="H322" s="467"/>
      <c r="I322" s="467"/>
      <c r="J322" s="467"/>
      <c r="K322" s="1693">
        <f t="shared" si="24"/>
        <v>36645</v>
      </c>
      <c r="L322" s="467">
        <v>42050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f>5355+9200+5232-1</f>
        <v>19786</v>
      </c>
      <c r="D325" s="467"/>
      <c r="E325" s="467">
        <f>160+3177+1426+3320+585+1181</f>
        <v>9849</v>
      </c>
      <c r="F325" s="467"/>
      <c r="G325" s="467"/>
      <c r="H325" s="467">
        <f>2463+340+9479+4056</f>
        <v>16338</v>
      </c>
      <c r="I325" s="467"/>
      <c r="J325" s="467"/>
      <c r="K325" s="1693">
        <f t="shared" si="24"/>
        <v>45973</v>
      </c>
      <c r="L325" s="467">
        <v>52887</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v>1914</v>
      </c>
      <c r="F327" s="467"/>
      <c r="G327" s="467"/>
      <c r="H327" s="467"/>
      <c r="I327" s="467"/>
      <c r="J327" s="467"/>
      <c r="K327" s="1693">
        <f t="shared" si="24"/>
        <v>1914</v>
      </c>
      <c r="L327" s="467">
        <v>5000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19786</v>
      </c>
      <c r="D330" s="1692">
        <f t="shared" ref="D330:J330" si="25">SUM(D319:D329)</f>
        <v>6973</v>
      </c>
      <c r="E330" s="1692">
        <f t="shared" si="25"/>
        <v>48408</v>
      </c>
      <c r="F330" s="1692">
        <f t="shared" si="25"/>
        <v>0</v>
      </c>
      <c r="G330" s="1692">
        <f t="shared" si="25"/>
        <v>0</v>
      </c>
      <c r="H330" s="1692">
        <f t="shared" si="25"/>
        <v>16338</v>
      </c>
      <c r="I330" s="1692">
        <f t="shared" si="25"/>
        <v>0</v>
      </c>
      <c r="J330" s="1692">
        <f t="shared" si="25"/>
        <v>0</v>
      </c>
      <c r="K330" s="1692">
        <f>SUM(K319:K329)</f>
        <v>91505</v>
      </c>
      <c r="L330" s="1692">
        <f>SUM(L319:L329)</f>
        <v>119937</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1959</v>
      </c>
      <c r="C333" s="1856"/>
      <c r="D333" s="1856"/>
      <c r="E333" s="1856"/>
      <c r="F333" s="1856"/>
      <c r="G333" s="1856"/>
      <c r="H333" s="467">
        <v>4100</v>
      </c>
      <c r="I333" s="1856"/>
      <c r="J333" s="1856"/>
      <c r="K333" s="1693">
        <f>H333</f>
        <v>4100</v>
      </c>
      <c r="L333" s="467">
        <v>0</v>
      </c>
      <c r="M333" s="666"/>
      <c r="N333" s="666"/>
    </row>
    <row r="334" spans="1:14" s="675" customFormat="1" ht="12.75" customHeight="1" thickBot="1" x14ac:dyDescent="0.25">
      <c r="A334" s="1855" t="s">
        <v>1964</v>
      </c>
      <c r="B334" s="1850" t="s">
        <v>915</v>
      </c>
      <c r="C334" s="1856"/>
      <c r="D334" s="1856"/>
      <c r="E334" s="1856"/>
      <c r="F334" s="1856"/>
      <c r="G334" s="1856"/>
      <c r="H334" s="1692">
        <f>SUM(H332:H333)</f>
        <v>4100</v>
      </c>
      <c r="I334" s="1856"/>
      <c r="J334" s="1856"/>
      <c r="K334" s="1692">
        <f>SUM(K332:K333)</f>
        <v>4100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19786</v>
      </c>
      <c r="D342" s="1692">
        <f>SUM(D330)</f>
        <v>6973</v>
      </c>
      <c r="E342" s="1692">
        <f>SUM(E330)</f>
        <v>48408</v>
      </c>
      <c r="F342" s="1692">
        <f>SUM(F330)</f>
        <v>0</v>
      </c>
      <c r="G342" s="1692">
        <f>SUM(G330)</f>
        <v>0</v>
      </c>
      <c r="H342" s="1692">
        <f>SUM(H330,H334,H340)</f>
        <v>20438</v>
      </c>
      <c r="I342" s="1692">
        <f>SUM(I330)</f>
        <v>0</v>
      </c>
      <c r="J342" s="1692">
        <f>SUM(J330)</f>
        <v>0</v>
      </c>
      <c r="K342" s="1692">
        <f>SUM(K330,K334,K340)</f>
        <v>95605</v>
      </c>
      <c r="L342" s="1699">
        <f>SUM(L330,L340,L341)</f>
        <v>119937</v>
      </c>
    </row>
    <row r="343" spans="1:14" ht="12.75" customHeight="1" thickTop="1" x14ac:dyDescent="0.2">
      <c r="A343" s="2187" t="s">
        <v>1053</v>
      </c>
      <c r="B343" s="2188"/>
      <c r="C343" s="617"/>
      <c r="D343" s="617"/>
      <c r="E343" s="617"/>
      <c r="F343" s="617"/>
      <c r="G343" s="617"/>
      <c r="H343" s="617"/>
      <c r="I343" s="617"/>
      <c r="J343" s="617"/>
      <c r="K343" s="1706">
        <f>'Revenues 9-14'!J275-'Expenditures 15-22'!K342</f>
        <v>56026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0</v>
      </c>
    </row>
    <row r="349" spans="1:14" x14ac:dyDescent="0.2">
      <c r="A349" s="1526" t="s">
        <v>206</v>
      </c>
      <c r="B349" s="615">
        <v>2540</v>
      </c>
      <c r="C349" s="466"/>
      <c r="D349" s="466"/>
      <c r="E349" s="466"/>
      <c r="F349" s="466"/>
      <c r="G349" s="466"/>
      <c r="H349" s="466"/>
      <c r="I349" s="467"/>
      <c r="J349" s="467"/>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v>0</v>
      </c>
    </row>
    <row r="355" spans="1:14" ht="12.75" customHeight="1" x14ac:dyDescent="0.2">
      <c r="A355" s="1535" t="s">
        <v>1966</v>
      </c>
      <c r="B355" s="691" t="s">
        <v>1959</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4" t="s">
        <v>1053</v>
      </c>
      <c r="B368" s="2175"/>
      <c r="C368" s="655"/>
      <c r="D368" s="655"/>
      <c r="E368" s="627"/>
      <c r="F368" s="627"/>
      <c r="G368" s="627"/>
      <c r="H368" s="627"/>
      <c r="I368" s="627"/>
      <c r="J368" s="624"/>
      <c r="K368" s="1693">
        <f>'Revenues 9-14'!K275-'Expenditures 15-22'!K367</f>
        <v>29583</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&amp;L&amp;8"The notes are an Integral part of these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14F8B6-F742-48D8-9F13-1076A7DC5E6F}">
  <ds:schemaRefs>
    <ds:schemaRef ds:uri="http://purl.org/dc/dcmitype/"/>
    <ds:schemaRef ds:uri="http://www.w3.org/XML/1998/namespace"/>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http://schemas.microsoft.com/sharepoint/v3"/>
    <ds:schemaRef ds:uri="http://purl.org/dc/elements/1.1/"/>
    <ds:schemaRef ds:uri="4d435f69-8686-490b-bd6d-b153bf22ab50"/>
    <ds:schemaRef ds:uri="d21dc803-237d-4c68-8692-8d731fd29118"/>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9504E7-EFA3-4F46-B4F7-B83DA6BE717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2018-07-31T16:34:21Z</cp:lastPrinted>
  <dcterms:created xsi:type="dcterms:W3CDTF">2003-10-29T19:06:34Z</dcterms:created>
  <dcterms:modified xsi:type="dcterms:W3CDTF">2018-09-26T18:50:34Z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