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1600" windowHeight="9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ICR Computation 30" sheetId="108" r:id="rId15"/>
    <sheet name="Contracts Paid in CY 29" sheetId="181"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1" sheetId="179" r:id="rId28"/>
    <sheet name="SEFA-2" sheetId="183" r:id="rId29"/>
    <sheet name="SEFA-3" sheetId="184" r:id="rId30"/>
    <sheet name="SEFA-4" sheetId="185" r:id="rId31"/>
    <sheet name="SEFA NOTES" sheetId="173" r:id="rId32"/>
    <sheet name="SF&amp;QC Sec-1" sheetId="174" r:id="rId33"/>
    <sheet name="SF&amp;QC Sec-2" sheetId="175" r:id="rId34"/>
    <sheet name="SF&amp;QC Sec-3.1" sheetId="176" r:id="rId35"/>
    <sheet name="SF&amp;QC Sec-3.2" sheetId="186" r:id="rId36"/>
    <sheet name="SSPAF" sheetId="177" r:id="rId37"/>
  </sheets>
  <definedNames>
    <definedName name="_xlnm.Print_Area" localSheetId="27">' SEFA-1'!$B$1:$M$46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Sec-3.1'!$A$1:$K$52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5">'Contracts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2" i="127" l="1"/>
  <c r="F7" i="127"/>
  <c r="B4" i="186" l="1"/>
  <c r="M19" i="185"/>
  <c r="M21" i="185" s="1"/>
  <c r="K19" i="185"/>
  <c r="K21" i="185" s="1"/>
  <c r="J19" i="185"/>
  <c r="J21" i="185" s="1"/>
  <c r="I19" i="185"/>
  <c r="I21" i="185" s="1"/>
  <c r="H19" i="185"/>
  <c r="H21" i="185" s="1"/>
  <c r="G19" i="185"/>
  <c r="G21" i="185" s="1"/>
  <c r="F19" i="185"/>
  <c r="F21" i="185" s="1"/>
  <c r="E19" i="185"/>
  <c r="E21" i="185" s="1"/>
  <c r="M27" i="184"/>
  <c r="K27" i="184"/>
  <c r="J27" i="184"/>
  <c r="I27" i="184"/>
  <c r="H27" i="184"/>
  <c r="G27" i="184"/>
  <c r="F27" i="184"/>
  <c r="E27" i="184"/>
  <c r="M22" i="184"/>
  <c r="K22" i="184"/>
  <c r="J22" i="184"/>
  <c r="I22" i="184"/>
  <c r="H22" i="184"/>
  <c r="G22" i="184"/>
  <c r="F22" i="184"/>
  <c r="E22" i="184"/>
  <c r="M16" i="184"/>
  <c r="K16" i="184"/>
  <c r="J16" i="184"/>
  <c r="I16" i="184"/>
  <c r="H16" i="184"/>
  <c r="G16" i="184"/>
  <c r="F16" i="184"/>
  <c r="E16" i="184"/>
  <c r="M22" i="183"/>
  <c r="K22" i="183"/>
  <c r="J22" i="183"/>
  <c r="I22" i="183"/>
  <c r="H22" i="183"/>
  <c r="G22" i="183"/>
  <c r="F22" i="183"/>
  <c r="E22" i="183"/>
  <c r="M14" i="183"/>
  <c r="K14" i="183"/>
  <c r="J14" i="183"/>
  <c r="I14" i="183"/>
  <c r="H14" i="183"/>
  <c r="G14" i="183"/>
  <c r="F14" i="183"/>
  <c r="E14" i="183"/>
  <c r="M23" i="179"/>
  <c r="K23" i="179"/>
  <c r="K25" i="179" s="1"/>
  <c r="J23" i="179"/>
  <c r="J25" i="179" s="1"/>
  <c r="I23" i="179"/>
  <c r="H23" i="179"/>
  <c r="G23" i="179"/>
  <c r="G25" i="179" s="1"/>
  <c r="G16" i="183" s="1"/>
  <c r="F23" i="179"/>
  <c r="E23" i="179"/>
  <c r="M15" i="179"/>
  <c r="K15" i="179"/>
  <c r="J15" i="179"/>
  <c r="I15" i="179"/>
  <c r="H15" i="179"/>
  <c r="G15" i="179"/>
  <c r="F15" i="179"/>
  <c r="E15" i="179"/>
  <c r="G13" i="185" l="1"/>
  <c r="H25" i="179"/>
  <c r="H16" i="183" s="1"/>
  <c r="M25" i="179"/>
  <c r="M16" i="183" s="1"/>
  <c r="H13" i="185"/>
  <c r="E25" i="179"/>
  <c r="J16" i="183"/>
  <c r="K16" i="183"/>
  <c r="F13" i="185"/>
  <c r="J13" i="185"/>
  <c r="K13" i="185"/>
  <c r="E16" i="183"/>
  <c r="E23" i="185" s="1"/>
  <c r="M13" i="185"/>
  <c r="E13" i="185"/>
  <c r="I13" i="185"/>
  <c r="J23" i="185"/>
  <c r="G23" i="185"/>
  <c r="K23" i="185"/>
  <c r="M23" i="185"/>
  <c r="F25" i="179"/>
  <c r="F16" i="183" s="1"/>
  <c r="I25" i="179"/>
  <c r="I16" i="183"/>
  <c r="I23" i="185" s="1"/>
  <c r="L23" i="185" s="1"/>
  <c r="L22" i="185"/>
  <c r="L21" i="185"/>
  <c r="L19" i="185"/>
  <c r="L18" i="185"/>
  <c r="L17" i="185"/>
  <c r="L13" i="185"/>
  <c r="B4" i="185"/>
  <c r="L27" i="184"/>
  <c r="L26" i="184"/>
  <c r="L25" i="184"/>
  <c r="L24" i="184"/>
  <c r="L22" i="184"/>
  <c r="L21" i="184"/>
  <c r="L20" i="184"/>
  <c r="L19" i="184"/>
  <c r="L16" i="184"/>
  <c r="L15" i="184"/>
  <c r="L14" i="184"/>
  <c r="B4" i="184"/>
  <c r="L25" i="183"/>
  <c r="L22" i="183"/>
  <c r="L21" i="183"/>
  <c r="L20" i="183"/>
  <c r="L14" i="183"/>
  <c r="L13" i="183"/>
  <c r="B4" i="183"/>
  <c r="H23" i="185" l="1"/>
  <c r="F23" i="185"/>
  <c r="L16" i="183"/>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E22" i="181"/>
  <c r="F22" i="181" s="1"/>
  <c r="G22" i="181" s="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5" i="179" l="1"/>
  <c r="L23" i="179"/>
  <c r="L22" i="179"/>
  <c r="L21" i="179"/>
  <c r="L20" i="179"/>
  <c r="L19" i="179"/>
  <c r="L18"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9" l="1"/>
  <c r="B2" i="186"/>
  <c r="B2" i="184"/>
  <c r="B2" i="185"/>
  <c r="B2" i="183"/>
  <c r="B1" i="186"/>
  <c r="B1" i="183"/>
  <c r="B1" i="185"/>
  <c r="B1" i="184"/>
  <c r="A2" i="170"/>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s="1"/>
  <c r="B7729" i="106"/>
  <c r="B7734" i="106"/>
  <c r="D7734" i="106" s="1"/>
  <c r="B7726" i="106"/>
  <c r="D76" i="3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82" i="36"/>
  <c r="D78" i="36"/>
  <c r="K75" i="29"/>
  <c r="K130" i="29"/>
  <c r="K185" i="29"/>
  <c r="B2836" i="106" s="1"/>
  <c r="D2836" i="106" s="1"/>
  <c r="K122" i="29"/>
  <c r="K67" i="29"/>
  <c r="K64" i="29"/>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c r="B6322" i="106"/>
  <c r="D6322" i="106" s="1"/>
  <c r="B6323" i="106"/>
  <c r="D6323" i="106" s="1"/>
  <c r="B6324" i="106"/>
  <c r="D6324" i="106" s="1"/>
  <c r="B6325" i="106"/>
  <c r="D6325" i="106"/>
  <c r="B6326" i="106"/>
  <c r="D6326" i="106" s="1"/>
  <c r="B6327" i="106"/>
  <c r="D6327" i="106" s="1"/>
  <c r="B6328" i="106"/>
  <c r="D6328" i="106" s="1"/>
  <c r="B6329" i="106"/>
  <c r="D6329" i="106"/>
  <c r="B6330" i="106"/>
  <c r="D6330" i="106" s="1"/>
  <c r="B6331" i="106"/>
  <c r="D6331" i="106" s="1"/>
  <c r="B6332" i="106"/>
  <c r="D6332" i="106" s="1"/>
  <c r="B6333" i="106"/>
  <c r="D6333" i="106"/>
  <c r="B6334" i="106"/>
  <c r="D6334" i="106" s="1"/>
  <c r="B6335" i="106"/>
  <c r="D6335" i="106" s="1"/>
  <c r="B6336" i="106"/>
  <c r="D6336" i="106" s="1"/>
  <c r="B6337" i="106"/>
  <c r="D6337" i="106"/>
  <c r="B6338" i="106"/>
  <c r="D6338" i="106" s="1"/>
  <c r="B6339" i="106"/>
  <c r="D6339" i="106" s="1"/>
  <c r="B6340" i="106"/>
  <c r="D6340" i="106" s="1"/>
  <c r="B6341" i="106"/>
  <c r="D6341" i="106"/>
  <c r="B6342" i="106"/>
  <c r="D6342" i="106" s="1"/>
  <c r="B6343" i="106"/>
  <c r="D6343" i="106" s="1"/>
  <c r="B6344" i="106"/>
  <c r="D6344" i="106" s="1"/>
  <c r="B6345" i="106"/>
  <c r="D6345" i="106"/>
  <c r="B6346" i="106"/>
  <c r="D6346" i="106" s="1"/>
  <c r="B6347" i="106"/>
  <c r="D6347" i="106" s="1"/>
  <c r="B6348" i="106"/>
  <c r="D6348" i="106" s="1"/>
  <c r="B6349" i="106"/>
  <c r="D6349" i="106"/>
  <c r="B6350" i="106"/>
  <c r="D6350" i="106" s="1"/>
  <c r="B6353" i="106"/>
  <c r="D6353" i="106" s="1"/>
  <c r="B6354" i="106"/>
  <c r="D6354" i="106" s="1"/>
  <c r="B6355" i="106"/>
  <c r="D6355" i="106"/>
  <c r="B6356" i="106"/>
  <c r="D6356" i="106" s="1"/>
  <c r="B6358" i="106"/>
  <c r="D6358" i="106" s="1"/>
  <c r="B6359" i="106"/>
  <c r="D6359" i="106" s="1"/>
  <c r="B6360" i="106"/>
  <c r="D6360" i="106"/>
  <c r="B6361" i="106"/>
  <c r="D6361" i="106" s="1"/>
  <c r="B6362" i="106"/>
  <c r="D6362" i="106" s="1"/>
  <c r="B6363" i="106"/>
  <c r="D6363" i="106" s="1"/>
  <c r="B6364" i="106"/>
  <c r="D6364" i="106"/>
  <c r="B6365" i="106"/>
  <c r="D6365" i="106" s="1"/>
  <c r="B6366" i="106"/>
  <c r="D6366" i="106" s="1"/>
  <c r="B6367" i="106"/>
  <c r="D6367" i="106" s="1"/>
  <c r="B6368" i="106"/>
  <c r="D6368" i="106"/>
  <c r="B6369" i="106"/>
  <c r="D6369" i="106" s="1"/>
  <c r="B6370" i="106"/>
  <c r="D6370" i="106" s="1"/>
  <c r="B6371" i="106"/>
  <c r="D6371" i="106" s="1"/>
  <c r="B6372" i="106"/>
  <c r="D6372" i="106"/>
  <c r="B6373" i="106"/>
  <c r="D6373" i="106" s="1"/>
  <c r="B6374" i="106"/>
  <c r="D6374" i="106" s="1"/>
  <c r="B6375" i="106"/>
  <c r="D6375" i="106" s="1"/>
  <c r="B6376" i="106"/>
  <c r="D6376" i="106"/>
  <c r="B6377" i="106"/>
  <c r="D6377" i="106" s="1"/>
  <c r="B6378" i="106"/>
  <c r="D6378" i="106" s="1"/>
  <c r="B6379" i="106"/>
  <c r="D6379" i="106" s="1"/>
  <c r="B6380" i="106"/>
  <c r="D6380" i="106"/>
  <c r="B6381" i="106"/>
  <c r="D6381" i="106" s="1"/>
  <c r="B6382" i="106"/>
  <c r="D6382" i="106" s="1"/>
  <c r="B6383" i="106"/>
  <c r="D6383" i="106" s="1"/>
  <c r="B6384" i="106"/>
  <c r="D6384" i="106"/>
  <c r="B6385" i="106"/>
  <c r="D6385" i="106" s="1"/>
  <c r="B6386" i="106"/>
  <c r="D6386" i="106" s="1"/>
  <c r="B6387" i="106"/>
  <c r="D6387" i="106" s="1"/>
  <c r="B6388" i="106"/>
  <c r="D6388" i="106"/>
  <c r="B6389" i="106"/>
  <c r="D6389" i="106" s="1"/>
  <c r="B6390" i="106"/>
  <c r="D6390" i="106" s="1"/>
  <c r="B6391" i="106"/>
  <c r="D6391" i="106" s="1"/>
  <c r="B6392" i="106"/>
  <c r="D6392" i="106"/>
  <c r="B6393" i="106"/>
  <c r="D6393" i="106" s="1"/>
  <c r="B6394" i="106"/>
  <c r="D6394" i="106" s="1"/>
  <c r="B6395" i="106"/>
  <c r="D6395" i="106" s="1"/>
  <c r="B6398" i="106"/>
  <c r="D6398" i="106"/>
  <c r="B6399" i="106"/>
  <c r="D6399" i="106" s="1"/>
  <c r="B6401" i="106"/>
  <c r="D6401" i="106" s="1"/>
  <c r="B6402" i="106"/>
  <c r="D6402" i="106" s="1"/>
  <c r="B6403" i="106"/>
  <c r="D6403" i="106"/>
  <c r="B6404" i="106"/>
  <c r="D6404" i="106" s="1"/>
  <c r="B6405" i="106"/>
  <c r="D6405" i="106" s="1"/>
  <c r="B6406" i="106"/>
  <c r="D6406" i="106" s="1"/>
  <c r="B6407" i="106"/>
  <c r="D6407" i="106"/>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s="1"/>
  <c r="B6626" i="106"/>
  <c r="D6626" i="106" s="1"/>
  <c r="B6627" i="106"/>
  <c r="D6627" i="106" s="1"/>
  <c r="B6628" i="106"/>
  <c r="D6628" i="106" s="1"/>
  <c r="B6629" i="106"/>
  <c r="D6629" i="106"/>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s="1"/>
  <c r="B6644" i="106"/>
  <c r="D6644" i="106" s="1"/>
  <c r="B6645" i="106"/>
  <c r="D6645" i="106"/>
  <c r="B6646" i="106"/>
  <c r="D6646" i="106" s="1"/>
  <c r="B6647" i="106"/>
  <c r="D6647" i="106" s="1"/>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E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D13" i="7"/>
  <c r="B3726" i="106" s="1"/>
  <c r="D3726" i="106" s="1"/>
  <c r="B1746" i="106"/>
  <c r="D1746" i="106" s="1"/>
  <c r="D11" i="7"/>
  <c r="B1768" i="106" s="1"/>
  <c r="D1768" i="106" s="1"/>
  <c r="D15" i="7"/>
  <c r="B1772" i="106" s="1"/>
  <c r="D1772" i="106" s="1"/>
  <c r="B6289" i="106" l="1"/>
  <c r="D6289" i="106" s="1"/>
  <c r="H29" i="118"/>
  <c r="D11" i="37"/>
  <c r="E109" i="5"/>
  <c r="E4" i="4" s="1"/>
  <c r="B2630" i="106" s="1"/>
  <c r="D2630" i="106" s="1"/>
  <c r="D31" i="36"/>
  <c r="L15" i="11"/>
  <c r="B3459" i="106" s="1"/>
  <c r="D3459" i="106" s="1"/>
  <c r="E14" i="145"/>
  <c r="G14" i="145" s="1"/>
  <c r="B1124" i="106"/>
  <c r="D1124" i="106" s="1"/>
  <c r="F15" i="145"/>
  <c r="F19" i="145" s="1"/>
  <c r="B1274" i="106"/>
  <c r="D1274" i="106" s="1"/>
  <c r="H109" i="5"/>
  <c r="B6025" i="106" s="1"/>
  <c r="D6025" i="106" s="1"/>
  <c r="F131" i="34"/>
  <c r="I173" i="5"/>
  <c r="B4216" i="106" s="1"/>
  <c r="D4216" i="106" s="1"/>
  <c r="G172" i="5"/>
  <c r="G173" i="5" s="1"/>
  <c r="F36" i="34"/>
  <c r="B6238" i="106"/>
  <c r="D6238" i="106" s="1"/>
  <c r="J77" i="4"/>
  <c r="B6262" i="106" s="1"/>
  <c r="D6262" i="106" s="1"/>
  <c r="G5" i="4"/>
  <c r="B3409" i="106" s="1"/>
  <c r="D3409" i="106" s="1"/>
  <c r="F111" i="34"/>
  <c r="G26" i="108"/>
  <c r="B3565" i="106"/>
  <c r="D3565" i="106" s="1"/>
  <c r="K41" i="3"/>
  <c r="H173" i="5"/>
  <c r="B5906" i="106" s="1"/>
  <c r="D5906" i="106" s="1"/>
  <c r="D12" i="7"/>
  <c r="B1769" i="106" s="1"/>
  <c r="D1769" i="106" s="1"/>
  <c r="K274" i="5"/>
  <c r="D4" i="7"/>
  <c r="B1760" i="106" s="1"/>
  <c r="D1760" i="106" s="1"/>
  <c r="D5" i="4"/>
  <c r="B3406" i="106" s="1"/>
  <c r="D3406" i="106" s="1"/>
  <c r="F127" i="34"/>
  <c r="L367" i="29"/>
  <c r="F19" i="7"/>
  <c r="B1807" i="106" s="1"/>
  <c r="D1807" i="106" s="1"/>
  <c r="F38" i="34"/>
  <c r="B3619" i="106"/>
  <c r="D3619" i="106" s="1"/>
  <c r="C352" i="29"/>
  <c r="B3254" i="106"/>
  <c r="D3254" i="106" s="1"/>
  <c r="F77" i="4"/>
  <c r="B3255" i="106" s="1"/>
  <c r="D3255" i="106" s="1"/>
  <c r="G15" i="145"/>
  <c r="F21" i="8"/>
  <c r="L13" i="11"/>
  <c r="B2060" i="106" s="1"/>
  <c r="D2060" i="106" s="1"/>
  <c r="L5" i="11"/>
  <c r="B2056" i="106" s="1"/>
  <c r="D2056" i="106" s="1"/>
  <c r="C342" i="29"/>
  <c r="B7216" i="106" s="1"/>
  <c r="D7216" i="106" s="1"/>
  <c r="H342" i="29"/>
  <c r="B7221" i="106" s="1"/>
  <c r="D7221" i="106" s="1"/>
  <c r="D27" i="108"/>
  <c r="C109" i="5"/>
  <c r="B5121" i="106" s="1"/>
  <c r="D5121" i="106" s="1"/>
  <c r="B5096" i="106"/>
  <c r="D5096" i="106" s="1"/>
  <c r="B5770" i="106"/>
  <c r="D5770" i="106" s="1"/>
  <c r="D17" i="7"/>
  <c r="B4104" i="106" s="1"/>
  <c r="D4104" i="106" s="1"/>
  <c r="F106" i="34"/>
  <c r="B5752" i="106"/>
  <c r="D5752" i="106" s="1"/>
  <c r="F128" i="34"/>
  <c r="H33" i="118"/>
  <c r="J274" i="5"/>
  <c r="B7054" i="106" s="1"/>
  <c r="D7054" i="106" s="1"/>
  <c r="I342" i="29"/>
  <c r="B7222" i="106" s="1"/>
  <c r="D7222" i="106" s="1"/>
  <c r="B3621" i="106"/>
  <c r="D3621" i="106" s="1"/>
  <c r="C367" i="29"/>
  <c r="C129" i="29"/>
  <c r="B1225" i="106" s="1"/>
  <c r="D1225" i="106" s="1"/>
  <c r="B1223" i="106"/>
  <c r="D1223" i="106" s="1"/>
  <c r="B1053" i="106"/>
  <c r="D1053" i="106" s="1"/>
  <c r="H112" i="29"/>
  <c r="B7018" i="106" s="1"/>
  <c r="D7018" i="106" s="1"/>
  <c r="H4" i="4"/>
  <c r="B2655" i="106" s="1"/>
  <c r="D2655" i="106" s="1"/>
  <c r="D109" i="5"/>
  <c r="F130" i="34"/>
  <c r="D9" i="7"/>
  <c r="B1767" i="106" s="1"/>
  <c r="D1767" i="106" s="1"/>
  <c r="K28" i="118"/>
  <c r="O27" i="118" s="1"/>
  <c r="O29" i="118" s="1"/>
  <c r="B5232" i="106"/>
  <c r="D5232" i="106" s="1"/>
  <c r="G109" i="5"/>
  <c r="B5066" i="106"/>
  <c r="D5066" i="106" s="1"/>
  <c r="L342" i="29"/>
  <c r="F34" i="34"/>
  <c r="B7235" i="106"/>
  <c r="D7235" i="106" s="1"/>
  <c r="J41" i="3"/>
  <c r="B6216" i="106" s="1"/>
  <c r="D6216" i="106" s="1"/>
  <c r="B3669" i="106"/>
  <c r="D3669" i="106" s="1"/>
  <c r="K350" i="29"/>
  <c r="D7" i="7"/>
  <c r="B1763" i="106" s="1"/>
  <c r="D1763" i="106" s="1"/>
  <c r="C172" i="5"/>
  <c r="F136" i="34"/>
  <c r="D5" i="7"/>
  <c r="B1761" i="106" s="1"/>
  <c r="D1761" i="106" s="1"/>
  <c r="K173" i="5"/>
  <c r="K6" i="4" s="1"/>
  <c r="B3570" i="106" s="1"/>
  <c r="D3570" i="106" s="1"/>
  <c r="F172" i="5"/>
  <c r="B5644" i="106" s="1"/>
  <c r="D5644" i="106" s="1"/>
  <c r="L312" i="29"/>
  <c r="H365"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D274" i="5"/>
  <c r="B3447" i="106"/>
  <c r="D3447" i="106" s="1"/>
  <c r="B7270" i="106"/>
  <c r="J7" i="4" l="1"/>
  <c r="D7252" i="106"/>
  <c r="H6" i="4"/>
  <c r="B2656" i="106" s="1"/>
  <c r="D2656" i="106" s="1"/>
  <c r="B5778" i="106"/>
  <c r="D5778" i="106" s="1"/>
  <c r="G6" i="4"/>
  <c r="B2604" i="106" s="1"/>
  <c r="D2604" i="106" s="1"/>
  <c r="B3568" i="106"/>
  <c r="D3568" i="106" s="1"/>
  <c r="D52" i="36"/>
  <c r="B5914" i="106"/>
  <c r="D5914" i="106" s="1"/>
  <c r="H151" i="29"/>
  <c r="B1273" i="106" s="1"/>
  <c r="D1273" i="106" s="1"/>
  <c r="B1879" i="106"/>
  <c r="D1879" i="106" s="1"/>
  <c r="H22" i="37"/>
  <c r="H8" i="4"/>
  <c r="H275" i="5"/>
  <c r="D51" i="36"/>
  <c r="L114" i="29"/>
  <c r="D44" i="36"/>
  <c r="C114" i="29"/>
  <c r="B757" i="106" s="1"/>
  <c r="D757" i="106" s="1"/>
  <c r="C4" i="4"/>
  <c r="B2551" i="106" s="1"/>
  <c r="D2551" i="106" s="1"/>
  <c r="D19" i="7"/>
  <c r="B1775" i="106" s="1"/>
  <c r="D1775" i="106" s="1"/>
  <c r="I26" i="12"/>
  <c r="B7741" i="106" s="1"/>
  <c r="D7741" i="106" s="1"/>
  <c r="B1996" i="106"/>
  <c r="D1996" i="106" s="1"/>
  <c r="B5214" i="106"/>
  <c r="D5214" i="106" s="1"/>
  <c r="C173" i="5"/>
  <c r="B3628" i="106"/>
  <c r="D3628" i="106" s="1"/>
  <c r="C151" i="29"/>
  <c r="B1226" i="106" s="1"/>
  <c r="D1226" i="106" s="1"/>
  <c r="B1317" i="106"/>
  <c r="D1317" i="106" s="1"/>
  <c r="F274" i="5"/>
  <c r="F7" i="4" s="1"/>
  <c r="B2594" i="106" s="1"/>
  <c r="D2594" i="106" s="1"/>
  <c r="H367" i="29"/>
  <c r="B3660" i="106" s="1"/>
  <c r="D3660" i="106" s="1"/>
  <c r="B7242" i="106"/>
  <c r="D7242" i="106" s="1"/>
  <c r="B6024" i="106"/>
  <c r="D6024" i="106" s="1"/>
  <c r="G4" i="4"/>
  <c r="B2603" i="106" s="1"/>
  <c r="D2603" i="106" s="1"/>
  <c r="L16" i="11"/>
  <c r="B2061" i="106" s="1"/>
  <c r="D2061" i="106" s="1"/>
  <c r="K342" i="29"/>
  <c r="F13" i="34" s="1"/>
  <c r="F173" i="5"/>
  <c r="B3670" i="106"/>
  <c r="D3670" i="106" s="1"/>
  <c r="K352" i="29"/>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B2658" i="106"/>
  <c r="D2658" i="106" s="1"/>
  <c r="H10" i="4"/>
  <c r="B4127" i="106" s="1"/>
  <c r="D4127" i="106" s="1"/>
  <c r="D7" i="4"/>
  <c r="B5507" i="106"/>
  <c r="D5507" i="106" s="1"/>
  <c r="B7298" i="106"/>
  <c r="B7299" i="106"/>
  <c r="B5719" i="106" l="1"/>
  <c r="D5719" i="106" s="1"/>
  <c r="J8" i="4"/>
  <c r="B7224" i="106"/>
  <c r="D7224" i="106" s="1"/>
  <c r="J17" i="4"/>
  <c r="B6227" i="106" s="1"/>
  <c r="D6227" i="106" s="1"/>
  <c r="G41" i="108"/>
  <c r="G44" i="108" s="1"/>
  <c r="G45" i="108" s="1"/>
  <c r="E41" i="108"/>
  <c r="E44" i="108" s="1"/>
  <c r="E45" i="108" s="1"/>
  <c r="B5653" i="106"/>
  <c r="D5653" i="106" s="1"/>
  <c r="F275" i="5"/>
  <c r="B5720" i="106" s="1"/>
  <c r="D5720" i="106" s="1"/>
  <c r="F6" i="4"/>
  <c r="B5223" i="106"/>
  <c r="D5223" i="106" s="1"/>
  <c r="C6" i="4"/>
  <c r="B2553" i="106" s="1"/>
  <c r="D2553" i="106"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J20" i="4" l="1"/>
  <c r="B2593" i="106"/>
  <c r="D2593" i="106" s="1"/>
  <c r="F8" i="4"/>
  <c r="D10" i="171"/>
  <c r="D19" i="171" s="1"/>
  <c r="D32" i="171" s="1"/>
  <c r="D49" i="171" s="1"/>
  <c r="F76" i="34"/>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0" i="4" l="1"/>
  <c r="B4125" i="106" s="1"/>
  <c r="D4125" i="106" s="1"/>
  <c r="B2595" i="106"/>
  <c r="D2595" i="106" s="1"/>
  <c r="D8" i="146"/>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<sst xmlns="http://schemas.openxmlformats.org/spreadsheetml/2006/main" count="5392" uniqueCount="2227">
  <si>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</si>
  <si>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</si>
  <si>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</si>
  <si>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</si>
  <si>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</si>
  <si>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</si>
  <si>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</si>
  <si>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</si>
  <si>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</si>
  <si>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</si>
  <si>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</si>
  <si>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</si>
  <si>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</si>
  <si>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</si>
  <si>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</si>
  <si>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</si>
  <si>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</si>
  <si>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</si>
  <si>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</si>
  <si>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</si>
  <si>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</si>
  <si>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</si>
  <si>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</si>
  <si>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</si>
  <si>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</si>
  <si>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</si>
  <si>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</si>
  <si>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</si>
  <si>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</si>
  <si>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</si>
  <si>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</si>
  <si>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</si>
  <si>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</si>
  <si>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</si>
  <si>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</si>
  <si>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</si>
  <si>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</si>
  <si>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</si>
  <si>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</si>
  <si>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</si>
  <si>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</si>
  <si>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</si>
  <si>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</si>
  <si>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</si>
  <si>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</si>
  <si>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</si>
  <si>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</si>
  <si>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</si>
  <si>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</si>
  <si>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</si>
  <si>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</si>
  <si>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</si>
  <si>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</si>
  <si>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</si>
  <si>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</si>
  <si>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</si>
  <si>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</si>
  <si>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</si>
  <si>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</si>
  <si>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</si>
  <si>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</si>
  <si>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</si>
  <si>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</si>
  <si>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</si>
  <si>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</si>
  <si>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</si>
  <si>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</si>
  <si>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</si>
  <si>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</si>
  <si>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</si>
  <si>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</si>
  <si>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</si>
  <si>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</si>
  <si>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</si>
  <si>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</si>
  <si>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</si>
  <si>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</si>
  <si>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</si>
  <si>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</si>
  <si>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</si>
  <si>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</si>
  <si>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</si>
  <si>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</si>
  <si>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</si>
  <si>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</si>
  <si>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</si>
  <si>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</si>
  <si>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</si>
  <si>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</si>
  <si>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</si>
  <si>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</si>
  <si>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</si>
  <si>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</si>
  <si>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</si>
  <si>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</si>
  <si>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</si>
  <si>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</si>
  <si>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</si>
  <si>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</si>
  <si>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</si>
  <si>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</si>
  <si>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</si>
  <si>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</si>
  <si>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</si>
  <si>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</si>
  <si>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</si>
  <si>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</si>
  <si>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</si>
  <si>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</si>
  <si>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</si>
  <si>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</si>
  <si>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</si>
  <si>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</si>
  <si>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</si>
  <si>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</si>
  <si>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</si>
  <si>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</si>
  <si>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</si>
  <si>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</si>
  <si>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</si>
  <si>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</si>
  <si>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</si>
  <si>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</si>
  <si>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</si>
  <si>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</si>
  <si>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</si>
  <si>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</si>
  <si>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</si>
  <si>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</si>
  <si>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</si>
  <si>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</si>
  <si>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</si>
  <si>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</si>
  <si>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</si>
  <si>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</si>
  <si>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</si>
  <si>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</si>
  <si>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</si>
  <si>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</si>
  <si>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</si>
  <si>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</si>
  <si>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</si>
  <si>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</si>
  <si>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</si>
  <si>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</si>
  <si>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</si>
  <si>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</si>
  <si>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</si>
  <si>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</si>
  <si>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</si>
  <si>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</si>
  <si>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</si>
  <si>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</si>
  <si>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</si>
  <si>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</si>
  <si>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</si>
  <si>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</si>
  <si>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</si>
  <si>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</si>
  <si>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</si>
  <si>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</si>
  <si>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</si>
  <si>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</si>
  <si>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</si>
  <si>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</si>
  <si>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</si>
  <si>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</si>
  <si>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</si>
  <si>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</si>
  <si>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</si>
  <si>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</si>
  <si>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</si>
  <si>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</si>
  <si>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</si>
  <si>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</si>
  <si>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</si>
  <si>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</si>
  <si>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</si>
  <si>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</si>
  <si>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</si>
  <si>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</si>
  <si>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</si>
  <si>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</si>
  <si>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</si>
  <si>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</si>
  <si>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</si>
  <si>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</si>
  <si>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</si>
  <si>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</si>
  <si>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</si>
  <si>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</si>
  <si>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</si>
  <si>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</si>
  <si>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</si>
  <si>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</si>
  <si>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</si>
  <si>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</si>
  <si>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</si>
  <si>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</si>
  <si>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</si>
  <si>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</si>
  <si>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</si>
  <si>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</si>
  <si>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</si>
  <si>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</si>
  <si>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</si>
  <si>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</si>
  <si>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</si>
  <si>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</si>
  <si>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</si>
  <si>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</si>
  <si>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</si>
  <si>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</si>
  <si>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</si>
  <si>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</si>
  <si>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</si>
  <si>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</si>
  <si>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</si>
  <si>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</si>
  <si>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</si>
  <si>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</si>
  <si>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</si>
  <si>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</si>
  <si>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</si>
  <si>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</si>
  <si>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</si>
  <si>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</si>
  <si>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</si>
  <si>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</si>
  <si>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</si>
  <si>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</si>
  <si>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</si>
  <si>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</si>
  <si>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</si>
  <si>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</si>
  <si>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</si>
  <si>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</si>
  <si>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</si>
  <si>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</si>
  <si>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</si>
  <si>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</si>
  <si>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</si>
  <si>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</si>
  <si>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</si>
  <si>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</si>
  <si>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</si>
  <si>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</si>
  <si>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</si>
  <si>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</si>
  <si>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</si>
  <si>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</si>
  <si>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</si>
  <si>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</si>
  <si>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</si>
  <si>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</si>
  <si>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</si>
  <si>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</si>
  <si>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</si>
  <si>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</si>
  <si>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</si>
  <si>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</si>
  <si>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</si>
  <si>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</si>
  <si>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</si>
  <si>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</si>
  <si>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</si>
  <si>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</si>
  <si>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</si>
  <si>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</si>
  <si>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</si>
  <si>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</si>
  <si>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</si>
  <si>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</si>
  <si>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</si>
  <si>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</si>
  <si>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</si>
  <si>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</si>
  <si>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</si>
  <si>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</si>
  <si>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</si>
  <si>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</si>
  <si>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</si>
  <si>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</si>
  <si>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</si>
  <si>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</si>
  <si>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</si>
  <si>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</si>
  <si>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</si>
  <si>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</si>
  <si>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</si>
  <si>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</si>
  <si>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</si>
  <si>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</si>
  <si>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</si>
  <si>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</si>
  <si>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</si>
  <si>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</si>
  <si>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</si>
  <si>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</si>
  <si>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</si>
  <si>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</si>
  <si>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</si>
  <si>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</si>
  <si>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</si>
  <si>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</si>
  <si>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</si>
  <si>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</si>
  <si>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</si>
  <si>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</si>
  <si>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</si>
  <si>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</si>
  <si>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</si>
  <si>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</si>
  <si>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</si>
  <si>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</si>
  <si>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</si>
  <si>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</si>
  <si>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</si>
  <si>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</si>
  <si>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</si>
  <si>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</si>
  <si>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</si>
  <si>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</si>
  <si>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</si>
  <si>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</si>
  <si>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</si>
  <si>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</si>
  <si>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</si>
  <si>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</si>
  <si>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</si>
  <si>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</si>
  <si>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</si>
  <si>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</si>
  <si>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</si>
  <si>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</si>
  <si>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</si>
  <si>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</si>
  <si>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</si>
  <si>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</si>
  <si>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</si>
  <si>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</si>
  <si>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</si>
  <si>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</si>
  <si>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</si>
  <si>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</si>
  <si>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</si>
  <si>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</si>
  <si>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</si>
  <si>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</si>
  <si>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</si>
  <si>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</si>
  <si>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</si>
  <si>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</si>
  <si>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</si>
  <si>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</si>
  <si>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</si>
  <si>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</si>
  <si>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</si>
  <si>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</si>
  <si>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</si>
  <si>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</si>
  <si>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</si>
  <si>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</si>
  <si>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</si>
  <si>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</si>
  <si>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</si>
  <si>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</si>
  <si>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</si>
  <si>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</si>
  <si>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</si>
  <si>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</si>
  <si>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</si>
  <si>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</si>
  <si>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</si>
  <si>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</si>
  <si>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</si>
  <si>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</si>
  <si>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</si>
  <si>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</si>
  <si>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</si>
  <si>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</si>
  <si>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</si>
  <si>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</si>
  <si>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</si>
  <si>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</si>
  <si>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</si>
  <si>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</si>
  <si>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</si>
  <si>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</si>
  <si>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</si>
  <si>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</si>
  <si>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</si>
  <si>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</si>
  <si>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</si>
  <si>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</si>
  <si>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</si>
  <si>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</si>
  <si>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</si>
  <si>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</si>
  <si>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</si>
  <si>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</si>
  <si>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</si>
  <si>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</si>
  <si>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</si>
  <si>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</si>
  <si>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</si>
  <si>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</si>
  <si>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</si>
  <si>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</si>
  <si>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</si>
  <si>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</si>
  <si>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</si>
  <si>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</si>
  <si>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</si>
  <si>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</si>
  <si>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</si>
  <si>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</si>
  <si>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</si>
  <si>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</si>
  <si>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</si>
  <si>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</si>
  <si>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</si>
  <si>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</si>
  <si>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</si>
  <si>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</si>
  <si>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</si>
  <si>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</si>
  <si>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</si>
  <si>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</si>
  <si>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</si>
  <si>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</si>
  <si>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</si>
  <si>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</si>
  <si>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</si>
  <si>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</si>
  <si>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</si>
  <si>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</si>
  <si>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</si>
  <si>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</si>
  <si>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</si>
  <si>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</si>
  <si>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</si>
  <si>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</si>
  <si>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</si>
  <si>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</si>
  <si>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</si>
  <si>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</si>
  <si>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</si>
  <si>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</si>
  <si>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</si>
  <si>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</si>
  <si>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</si>
  <si>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</si>
  <si>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</si>
  <si>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</si>
  <si>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</si>
  <si>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</si>
  <si>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</si>
  <si>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</si>
  <si>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</si>
  <si>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</si>
  <si>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</si>
  <si>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</si>
  <si>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</si>
  <si>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</si>
  <si>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</si>
  <si>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</si>
  <si>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</si>
  <si>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</si>
  <si>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</si>
  <si>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</si>
  <si>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</si>
  <si>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</si>
  <si>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</si>
  <si>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</si>
  <si>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</si>
  <si>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</si>
  <si>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</si>
  <si>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</si>
  <si>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</si>
  <si>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</si>
  <si>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</si>
  <si>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</si>
  <si>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</si>
  <si>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</si>
  <si>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</si>
  <si>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</si>
  <si>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</si>
  <si>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</si>
  <si>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</si>
  <si>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</si>
  <si>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</si>
  <si>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</si>
  <si>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</si>
  <si>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</si>
  <si>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</si>
  <si>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</si>
  <si>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</si>
  <si>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</si>
  <si>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</si>
  <si>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</si>
  <si>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</si>
  <si>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</si>
  <si>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</si>
  <si>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</si>
  <si>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</si>
  <si>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</si>
  <si>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</si>
  <si>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</si>
  <si>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</si>
  <si>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</si>
  <si>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</si>
  <si>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</si>
  <si>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</si>
  <si>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</si>
  <si>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</si>
  <si>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</si>
  <si>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</si>
  <si>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</si>
  <si>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</si>
  <si>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</si>
  <si>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</si>
  <si>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</si>
  <si>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</si>
  <si>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</si>
  <si>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</si>
  <si>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</si>
  <si>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</si>
  <si>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</si>
  <si>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</si>
  <si>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</si>
  <si>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</si>
  <si>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</si>
  <si>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</si>
  <si>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</si>
  <si>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</si>
  <si>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</si>
  <si>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</si>
  <si>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</si>
  <si>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</si>
  <si>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</si>
  <si>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</si>
  <si>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</si>
  <si>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</si>
  <si>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</si>
  <si>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</si>
  <si>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</si>
  <si>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</si>
  <si>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</si>
  <si>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</si>
  <si>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</si>
  <si>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</si>
  <si>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</si>
  <si>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</si>
  <si>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</si>
  <si>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</si>
  <si>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</si>
  <si>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</si>
  <si>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</si>
  <si>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</si>
  <si>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</si>
  <si>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</si>
  <si>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</si>
  <si>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</si>
  <si>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</si>
  <si>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</si>
  <si>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</si>
  <si>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</si>
  <si>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</si>
  <si>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</si>
  <si>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</si>
  <si>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</si>
  <si>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</si>
  <si>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</si>
  <si>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</si>
  <si>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</si>
  <si>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</si>
  <si>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</si>
  <si>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</si>
  <si>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</si>
  <si>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</si>
  <si>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</si>
  <si>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</si>
  <si>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</si>
  <si>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</si>
  <si>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</si>
  <si>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</si>
  <si>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</si>
  <si>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</si>
  <si>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</si>
  <si>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</si>
  <si>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</si>
  <si>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</si>
  <si>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</si>
  <si>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</si>
  <si>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</si>
  <si>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</si>
  <si>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</si>
  <si>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</si>
  <si>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</si>
  <si>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</si>
  <si>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</si>
  <si>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</si>
  <si>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</si>
  <si>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</si>
  <si>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</si>
  <si>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</si>
  <si>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</si>
  <si>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</si>
  <si>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</si>
  <si>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</si>
  <si>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</si>
  <si>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</si>
  <si>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</si>
  <si>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</si>
  <si>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</si>
  <si>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</si>
  <si>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</si>
  <si>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</si>
  <si>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</si>
  <si>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</si>
  <si>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</si>
  <si>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</si>
  <si>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</si>
  <si>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</si>
  <si>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</si>
  <si>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</si>
  <si>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</si>
  <si>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</si>
  <si>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</si>
  <si>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</si>
  <si>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</si>
  <si>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</si>
  <si>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</si>
  <si>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</si>
  <si>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</si>
  <si>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</si>
  <si>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</si>
  <si>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</si>
  <si>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</si>
  <si>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</si>
  <si>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</si>
  <si>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</si>
  <si>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</si>
  <si>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</si>
  <si>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</si>
  <si>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</si>
  <si>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</si>
  <si>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</si>
  <si>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</si>
  <si>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</si>
  <si>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</si>
  <si>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</si>
  <si>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</si>
  <si>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</si>
  <si>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</si>
  <si>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</si>
  <si>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</si>
  <si>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</si>
  <si>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</si>
  <si>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</si>
  <si>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</si>
  <si>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</si>
  <si>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</si>
  <si>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</si>
  <si>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</si>
  <si>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</si>
  <si>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</si>
  <si>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</si>
  <si>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</si>
  <si>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</si>
  <si>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</si>
  <si>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</si>
  <si>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</si>
  <si>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</si>
  <si>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</si>
  <si>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</si>
  <si>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</si>
  <si>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</si>
  <si>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</si>
  <si>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</si>
  <si>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</si>
  <si>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</si>
  <si>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</si>
  <si>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</si>
  <si>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</si>
  <si>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</si>
  <si>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</si>
  <si>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</si>
  <si>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</si>
  <si>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</si>
  <si>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</si>
  <si>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</si>
  <si>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</si>
  <si>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</si>
  <si>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</si>
  <si>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</si>
  <si>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</si>
  <si>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</si>
  <si>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</si>
  <si>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</si>
  <si>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</si>
  <si>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</si>
  <si>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</si>
  <si>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</si>
  <si>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</si>
  <si>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</si>
  <si>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</si>
  <si>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</si>
  <si>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</si>
  <si>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</si>
  <si>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</si>
  <si>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</si>
  <si>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</si>
  <si>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</si>
  <si>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</si>
  <si>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</si>
  <si>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</si>
  <si>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</si>
  <si>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</si>
  <si>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</si>
  <si>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</si>
  <si>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</si>
  <si>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</si>
  <si>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</si>
  <si>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</si>
  <si>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</si>
  <si>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</si>
  <si>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</si>
  <si>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</si>
  <si>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</si>
  <si>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</si>
  <si>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</si>
  <si>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</si>
  <si>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</si>
  <si>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</si>
  <si>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</si>
  <si>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</si>
  <si>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</si>
  <si>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</si>
  <si>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</si>
  <si>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</si>
  <si>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</si>
  <si>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</si>
  <si>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</si>
  <si>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</si>
  <si>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</si>
  <si>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</si>
  <si>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</si>
  <si>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</si>
  <si>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</si>
  <si>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</si>
  <si>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</si>
  <si>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</si>
  <si>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</si>
  <si>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</si>
  <si>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</si>
  <si>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</si>
  <si>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</si>
  <si>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</si>
  <si>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</si>
  <si>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</si>
  <si>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</si>
  <si>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</si>
  <si>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</si>
  <si>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</si>
  <si>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</si>
  <si>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</si>
  <si>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</si>
  <si>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</si>
  <si>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</si>
  <si>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</si>
  <si>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</si>
  <si>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</si>
  <si>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</si>
  <si>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</si>
  <si>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</si>
  <si>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</si>
  <si>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</si>
  <si>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</si>
  <si>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</si>
  <si>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</si>
  <si>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</si>
  <si>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</si>
  <si>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</si>
  <si>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</si>
  <si>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</si>
  <si>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</si>
  <si>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</si>
  <si>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</si>
  <si>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</si>
  <si>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</si>
  <si>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</si>
  <si>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</si>
  <si>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</si>
  <si>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</si>
  <si>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</si>
  <si>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</si>
  <si>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</si>
  <si>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</si>
  <si>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</si>
  <si>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</si>
  <si>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</si>
  <si>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</si>
  <si>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</si>
  <si>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</si>
  <si>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</si>
  <si>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</si>
  <si>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</si>
  <si>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</si>
  <si>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</si>
  <si>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</si>
  <si>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</si>
  <si>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</si>
  <si>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</si>
  <si>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</si>
  <si>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</si>
  <si>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</si>
  <si>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</si>
  <si>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</si>
  <si>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</si>
  <si>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</si>
  <si>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</si>
  <si>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</si>
  <si>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</si>
  <si>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</si>
  <si>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</si>
  <si>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</si>
  <si>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</si>
  <si>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</si>
  <si>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</si>
  <si>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</si>
  <si>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</si>
  <si>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</si>
  <si>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</si>
  <si>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</si>
  <si>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</si>
  <si>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</si>
  <si>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</si>
  <si>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</si>
  <si>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</si>
  <si>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</si>
  <si>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</si>
  <si>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</si>
  <si>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</si>
  <si>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</si>
  <si>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</si>
  <si>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</si>
  <si>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</si>
  <si>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</si>
  <si>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</si>
  <si>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</si>
  <si>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</si>
  <si>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</si>
  <si>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</si>
  <si>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</si>
  <si>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</si>
  <si>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</si>
  <si>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</si>
  <si>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</si>
  <si>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</si>
  <si>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</si>
  <si>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</si>
  <si>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</si>
  <si>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</si>
  <si>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</si>
  <si>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</si>
  <si>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</si>
  <si>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</si>
  <si>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</si>
  <si>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</si>
  <si>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</si>
  <si>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</si>
  <si>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</si>
  <si>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</si>
  <si>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</si>
  <si>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</si>
  <si>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</si>
  <si>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</si>
  <si>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</si>
  <si>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</si>
  <si>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</si>
  <si>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</si>
  <si>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</si>
  <si>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</si>
  <si>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</si>
  <si>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</si>
  <si>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</si>
  <si>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</si>
  <si>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</si>
  <si>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</si>
  <si>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</si>
  <si>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</si>
  <si>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</si>
  <si>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</si>
  <si>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</si>
  <si>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</si>
  <si>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</si>
  <si>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</si>
  <si>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</si>
  <si>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</si>
  <si>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</si>
  <si>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</si>
  <si>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</si>
  <si>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</si>
  <si>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</si>
  <si>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</si>
  <si>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</si>
  <si>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</si>
  <si>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</si>
  <si>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</si>
  <si>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</si>
  <si>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</si>
  <si>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</si>
  <si>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</si>
  <si>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</si>
  <si>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</si>
  <si>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</si>
  <si>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</si>
  <si>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</si>
  <si>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</si>
  <si>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</si>
  <si>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</si>
  <si>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</si>
  <si>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</si>
  <si>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</si>
  <si>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</si>
  <si>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</si>
  <si>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</si>
  <si>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</si>
  <si>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</si>
  <si>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</si>
  <si>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</si>
  <si>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</si>
  <si>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</si>
  <si>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</si>
  <si>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</si>
  <si>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</si>
  <si>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</si>
  <si>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</si>
  <si>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</si>
  <si>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</si>
  <si>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</si>
  <si>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</si>
  <si>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</si>
  <si>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</si>
  <si>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</si>
  <si>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</si>
  <si>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</si>
  <si>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</si>
  <si>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</si>
  <si>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</si>
  <si>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</si>
  <si>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</si>
  <si>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</si>
  <si>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</si>
  <si>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</si>
  <si>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</si>
  <si>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</si>
  <si>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</si>
  <si>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</si>
  <si>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</si>
  <si>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</si>
  <si>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</si>
  <si>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</si>
  <si>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</si>
  <si>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</si>
  <si>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</si>
  <si>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</si>
  <si>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</si>
  <si>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</si>
  <si>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</si>
  <si>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</si>
  <si>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</si>
  <si>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</si>
  <si>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</si>
  <si>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</si>
  <si>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</si>
  <si>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</si>
  <si>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</si>
  <si>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</si>
  <si>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</si>
  <si>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</si>
  <si>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</si>
  <si>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</si>
  <si>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</si>
  <si>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</si>
  <si>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</si>
  <si>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</si>
  <si>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</si>
  <si>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</si>
  <si>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</si>
  <si>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</si>
  <si>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</si>
  <si>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</si>
  <si>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</si>
  <si>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</si>
  <si>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</si>
  <si>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</si>
  <si>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</si>
  <si>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</si>
  <si>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</si>
  <si>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</si>
  <si>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</si>
  <si>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</si>
  <si>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</si>
  <si>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</si>
  <si>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</si>
  <si>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</si>
  <si>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</si>
  <si>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</si>
  <si>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</si>
  <si>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</si>
  <si>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</si>
  <si>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</si>
  <si>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</si>
  <si>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</si>
  <si>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</si>
  <si>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</si>
  <si>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</si>
  <si>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</si>
  <si>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</si>
  <si>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</si>
  <si>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</si>
  <si>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</si>
  <si>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</si>
  <si>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</si>
  <si>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</si>
  <si>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</si>
  <si>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</si>
  <si>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</si>
  <si>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</si>
  <si>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</si>
  <si>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</si>
  <si>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</si>
  <si>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</si>
  <si>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</si>
  <si>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</si>
  <si>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</si>
  <si>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</si>
  <si>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</si>
  <si>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</si>
  <si>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</si>
  <si>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</si>
  <si>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</si>
  <si>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</si>
  <si>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</si>
  <si>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</si>
  <si>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</si>
  <si>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</si>
  <si>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</si>
  <si>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</si>
  <si>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</si>
  <si>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</si>
  <si>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</si>
  <si>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</si>
  <si>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</si>
  <si>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</si>
  <si>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</si>
  <si>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</si>
  <si>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</si>
  <si>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</si>
  <si>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</si>
  <si>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</si>
  <si>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</si>
  <si>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</si>
  <si>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</si>
  <si>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</si>
  <si>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</si>
  <si>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</si>
  <si>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</si>
  <si>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</si>
  <si>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</si>
  <si>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</si>
  <si>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</si>
  <si>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</si>
  <si>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</si>
  <si>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</si>
  <si>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</si>
  <si>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</si>
  <si>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</si>
  <si>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</si>
  <si>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</si>
  <si>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</si>
  <si>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</si>
  <si>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</si>
  <si>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</si>
  <si>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</si>
  <si>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</si>
  <si>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</si>
  <si>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</si>
  <si>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</si>
  <si>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</si>
  <si>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</si>
  <si>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</si>
  <si>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</si>
  <si>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</si>
  <si>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</si>
  <si>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</si>
  <si>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</si>
  <si>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</si>
  <si>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</si>
  <si>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</si>
  <si>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</si>
  <si>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</si>
  <si>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</si>
  <si>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</si>
  <si>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</si>
  <si>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</si>
  <si>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</si>
  <si>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</si>
  <si>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</si>
  <si>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</si>
  <si>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</si>
  <si>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</si>
  <si>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</si>
  <si>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</si>
  <si>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</si>
  <si>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</si>
  <si>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</si>
  <si>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</si>
  <si>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</si>
  <si>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</si>
  <si>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</si>
  <si>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</si>
  <si>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</si>
  <si>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</si>
  <si>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</si>
  <si>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</si>
  <si>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</si>
  <si>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</si>
  <si>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</si>
  <si>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</si>
  <si>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</si>
  <si>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</si>
  <si>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</si>
  <si>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</si>
  <si>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</si>
  <si>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</si>
  <si>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</si>
  <si>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</si>
  <si>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</si>
  <si>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</si>
  <si>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</si>
  <si>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</si>
  <si>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</si>
  <si>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</si>
  <si>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</si>
  <si>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</si>
  <si>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</si>
  <si>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</si>
  <si>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</si>
  <si>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</si>
  <si>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</si>
  <si>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</si>
  <si>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</si>
  <si>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</si>
  <si>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</si>
  <si>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</si>
  <si>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</si>
  <si>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</si>
  <si>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</si>
  <si>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</si>
  <si>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</si>
  <si>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</si>
  <si>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</si>
  <si>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</si>
  <si>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</si>
  <si>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</si>
  <si>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</si>
  <si>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</si>
  <si>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</si>
  <si>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</si>
  <si>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</si>
  <si>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</si>
  <si>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</si>
  <si>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</si>
  <si>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</si>
  <si>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</si>
  <si>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</si>
  <si>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</si>
  <si>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</si>
  <si>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</si>
  <si>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</si>
  <si>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</si>
  <si>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</si>
  <si>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</si>
  <si>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</si>
  <si>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</si>
  <si>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</si>
  <si>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</si>
  <si>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</si>
  <si>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</si>
  <si>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</si>
  <si>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</si>
  <si>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</si>
  <si>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</si>
  <si>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</si>
  <si>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</si>
  <si>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</si>
  <si>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</si>
  <si>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</si>
  <si>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</si>
  <si>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</si>
  <si>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</si>
  <si>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</si>
  <si>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</si>
  <si>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</si>
  <si>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</si>
  <si>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</si>
  <si>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</si>
  <si>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</si>
  <si>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</si>
  <si>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</si>
  <si>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</si>
  <si>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</si>
  <si>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</si>
  <si>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</si>
  <si>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</si>
  <si>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</si>
  <si>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</si>
  <si>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</si>
  <si>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</si>
  <si>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</si>
  <si>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</si>
  <si>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</si>
  <si>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</si>
  <si>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</si>
  <si>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</si>
  <si>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</si>
  <si>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</si>
  <si>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</si>
  <si>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</si>
  <si>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</si>
  <si>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</si>
  <si>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</si>
  <si>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</si>
  <si>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</si>
  <si>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</si>
  <si>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</si>
  <si>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</si>
  <si>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</si>
  <si>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</si>
  <si>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</si>
  <si>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</si>
  <si>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</si>
  <si>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</si>
  <si>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</si>
  <si>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</si>
  <si>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</si>
  <si>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</si>
  <si>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</si>
  <si>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</si>
  <si>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</si>
  <si>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</si>
  <si>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</si>
  <si>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</si>
  <si>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</si>
  <si>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</si>
  <si>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</si>
  <si>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</si>
  <si>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</si>
  <si>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</si>
  <si>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</si>
  <si>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</si>
  <si>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</si>
  <si>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</si>
  <si>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</si>
  <si>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</si>
  <si>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</si>
  <si>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</si>
  <si>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</si>
  <si>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</si>
  <si>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</si>
  <si>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</si>
  <si>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</si>
  <si>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</si>
  <si>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</si>
  <si>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</si>
  <si>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</si>
  <si>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</si>
  <si>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</si>
  <si>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</si>
  <si>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</si>
  <si>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</si>
  <si>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</si>
  <si>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</si>
  <si>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</si>
  <si>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</si>
  <si>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</si>
  <si>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</si>
  <si>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</si>
  <si>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</si>
  <si>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</si>
  <si>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</si>
  <si>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</si>
  <si>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</si>
  <si>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</si>
  <si>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</si>
  <si>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</si>
  <si>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</si>
  <si>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</si>
  <si>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</si>
  <si>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</si>
  <si>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</si>
  <si>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</si>
  <si>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</si>
  <si>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</si>
  <si>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</si>
  <si>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</si>
  <si>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</si>
  <si>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</si>
  <si>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</si>
  <si>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</si>
  <si>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</si>
  <si>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</si>
  <si>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</si>
  <si>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</si>
  <si>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</si>
  <si>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</si>
  <si>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</si>
  <si>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</si>
  <si>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</si>
  <si>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</si>
  <si>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</si>
  <si>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</si>
  <si>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</si>
  <si>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</si>
  <si>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</si>
  <si>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</si>
  <si>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</si>
  <si>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</si>
  <si>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</si>
  <si>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</si>
  <si>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</si>
  <si>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</si>
  <si>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</si>
  <si>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</si>
  <si>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</si>
  <si>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</si>
  <si>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</si>
  <si>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</si>
  <si>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</si>
  <si>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</si>
  <si>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</si>
  <si>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</si>
  <si>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</si>
  <si>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</si>
  <si>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</si>
  <si>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</si>
  <si>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</si>
  <si>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</si>
  <si>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</si>
  <si>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</si>
  <si>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</si>
  <si>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</si>
  <si>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</si>
  <si>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</si>
  <si>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</si>
  <si>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</si>
  <si>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</si>
  <si>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</si>
  <si>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</si>
  <si>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</si>
  <si>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</si>
  <si>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</si>
  <si>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</si>
  <si>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</si>
  <si>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</si>
  <si>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</si>
  <si>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</si>
  <si>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</si>
  <si>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</si>
  <si>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</si>
  <si>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</si>
  <si>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</si>
  <si>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</si>
  <si>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</si>
  <si>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</si>
  <si>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</si>
  <si>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</si>
  <si>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</si>
  <si>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</si>
  <si>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</si>
  <si>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</si>
  <si>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</si>
  <si>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</si>
  <si>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</si>
  <si>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</si>
  <si>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</si>
  <si>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</si>
  <si>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</si>
  <si>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</si>
  <si>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</si>
  <si>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</si>
  <si>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</si>
  <si>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</si>
  <si>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</si>
  <si>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</si>
  <si>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</si>
  <si>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</si>
  <si>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</si>
  <si>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</si>
  <si>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</si>
  <si>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</si>
  <si>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</si>
  <si>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</si>
  <si>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</si>
  <si>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</si>
  <si>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</si>
  <si>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</si>
  <si>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</si>
  <si>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</si>
  <si>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</si>
  <si>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</si>
  <si>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</si>
  <si>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</si>
  <si>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</si>
  <si>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</si>
  <si>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</si>
  <si>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</si>
  <si>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</si>
  <si>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</si>
  <si>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</si>
  <si>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</si>
  <si>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</si>
  <si>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</si>
  <si>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</si>
  <si>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</si>
  <si>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</si>
  <si>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</si>
  <si>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</si>
  <si>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</si>
  <si>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</si>
  <si>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</si>
  <si>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</si>
  <si>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</si>
  <si>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</si>
  <si>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</si>
  <si>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</si>
  <si>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</si>
  <si>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</si>
  <si>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</si>
  <si>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</si>
  <si>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</si>
  <si>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</si>
  <si>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</si>
  <si>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</si>
  <si>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</si>
  <si>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</si>
  <si>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</si>
  <si>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</si>
  <si>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</si>
  <si>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</si>
  <si>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</si>
  <si>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</si>
  <si>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</si>
  <si>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</si>
  <si>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</si>
  <si>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</si>
  <si>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</si>
  <si>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</si>
  <si>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</si>
  <si>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</si>
  <si>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</si>
  <si>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</si>
  <si>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</si>
  <si>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</si>
  <si>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</si>
  <si>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</si>
  <si>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</si>
  <si>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</si>
  <si>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</si>
  <si>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</si>
  <si>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</si>
  <si>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</si>
  <si>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</si>
  <si>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</si>
  <si>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</si>
  <si>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</si>
  <si>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</si>
  <si>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</si>
  <si>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</si>
  <si>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</si>
  <si>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</si>
  <si>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</si>
  <si>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</si>
  <si>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</si>
  <si>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</si>
  <si>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</si>
  <si>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</si>
  <si>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</si>
  <si>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</si>
  <si>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</si>
  <si>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</si>
  <si>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</si>
  <si>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</si>
  <si>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</si>
  <si>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</si>
  <si>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</si>
  <si>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</si>
  <si>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</si>
  <si>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</si>
  <si>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</si>
  <si>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</si>
  <si>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</si>
  <si>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</si>
  <si>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</si>
  <si>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</si>
  <si>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</si>
  <si>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</si>
  <si>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</si>
  <si>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</si>
  <si>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</si>
  <si>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</si>
  <si>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</si>
  <si>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</si>
  <si>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</si>
  <si>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</si>
  <si>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</si>
  <si>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</si>
  <si>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</si>
  <si>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</si>
  <si>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</si>
  <si>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</si>
  <si>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</si>
  <si>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</si>
  <si>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</si>
  <si>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</si>
  <si>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</si>
  <si>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</si>
  <si>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</si>
  <si>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</si>
  <si>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</si>
  <si>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</si>
  <si>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</si>
  <si>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</si>
  <si>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</si>
  <si>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</si>
  <si>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</si>
  <si>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</si>
  <si>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</si>
  <si>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</si>
  <si>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</si>
  <si>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</si>
  <si>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</si>
  <si>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</si>
  <si>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</si>
  <si>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</si>
  <si>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</si>
  <si>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</si>
  <si>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</si>
  <si>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</si>
  <si>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</si>
  <si>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</si>
  <si>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</si>
  <si>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</si>
  <si>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</si>
  <si>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</si>
  <si>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</si>
  <si>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</si>
  <si>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</si>
  <si>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</si>
  <si>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</si>
  <si>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</si>
  <si>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</si>
  <si>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</si>
  <si>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</si>
  <si>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</si>
  <si>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</si>
  <si>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</si>
  <si>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</si>
  <si>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</si>
  <si>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</si>
  <si>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</si>
  <si>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</si>
  <si>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</si>
  <si>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</si>
  <si>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</si>
  <si>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</si>
  <si>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</si>
  <si>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</si>
  <si>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</si>
  <si>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</si>
  <si>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</si>
  <si>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</si>
  <si>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</si>
  <si>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</si>
  <si>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</si>
  <si>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</si>
  <si>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</si>
  <si>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</si>
  <si>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</si>
  <si>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</si>
  <si>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</si>
  <si>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</si>
  <si>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</si>
  <si>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</si>
  <si>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</si>
  <si>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</si>
  <si>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</si>
  <si>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</si>
  <si>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</si>
  <si>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</si>
  <si>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</si>
  <si>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</si>
  <si>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</si>
  <si>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</si>
  <si>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</si>
  <si>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</si>
  <si>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</si>
  <si>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</si>
  <si>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</si>
  <si>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</si>
  <si>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</si>
  <si>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</si>
  <si>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</si>
  <si>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</si>
  <si>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</si>
  <si>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</si>
  <si>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</si>
  <si>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</si>
  <si>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</si>
  <si>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</si>
  <si>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</si>
  <si>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</si>
  <si>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</si>
  <si>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</si>
  <si>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</si>
  <si>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</si>
  <si>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</si>
  <si>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</si>
  <si>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</si>
  <si>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</si>
  <si>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</si>
  <si>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</si>
  <si>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</si>
  <si>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</si>
  <si>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</si>
  <si>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</si>
  <si>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</si>
  <si>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</si>
  <si>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</si>
  <si>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</si>
  <si>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</si>
  <si>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</si>
  <si>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</si>
  <si>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</si>
  <si>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</si>
  <si>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</si>
  <si>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</si>
  <si>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</si>
  <si>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</si>
  <si>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</si>
  <si>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</si>
  <si>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</si>
  <si>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</si>
  <si>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</si>
  <si>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</si>
  <si>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</si>
  <si>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</si>
  <si>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</si>
  <si>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</si>
  <si>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</si>
  <si>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</si>
  <si>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</si>
  <si>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</si>
  <si>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</si>
  <si>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</si>
  <si>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</si>
  <si>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</si>
  <si>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</si>
  <si>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</si>
  <si>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</si>
  <si>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</si>
  <si>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</si>
  <si>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</si>
  <si>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</si>
  <si>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</si>
  <si>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</si>
  <si>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</si>
  <si>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</si>
  <si>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</si>
  <si>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</si>
  <si>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</si>
  <si>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</si>
  <si>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</si>
  <si>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</si>
  <si>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</si>
  <si>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</si>
  <si>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</si>
  <si>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</si>
  <si>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</si>
  <si>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</si>
  <si>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</si>
  <si>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</si>
  <si>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</si>
  <si>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</si>
  <si>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</si>
  <si>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</si>
  <si>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</si>
  <si>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</si>
  <si>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</si>
  <si>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</si>
  <si>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</si>
  <si>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</si>
  <si>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</si>
  <si>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</si>
  <si>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</si>
  <si>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</si>
  <si>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</si>
  <si>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</si>
  <si>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</si>
  <si>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</si>
  <si>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</si>
  <si>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</si>
  <si>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</si>
  <si>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</si>
  <si>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</si>
  <si>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</si>
  <si>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</si>
  <si>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</si>
  <si>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</si>
  <si>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</si>
  <si>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</si>
  <si>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</si>
  <si>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</si>
  <si>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</si>
  <si>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</si>
  <si>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</si>
  <si>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</si>
  <si>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</si>
  <si>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</si>
  <si>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</si>
  <si>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</si>
  <si>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</si>
  <si>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</si>
  <si>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</si>
  <si>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</si>
  <si>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</si>
  <si>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</si>
  <si>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</si>
  <si>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</si>
  <si>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</si>
  <si>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</si>
  <si>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</si>
  <si>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</si>
  <si>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</si>
  <si>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</si>
  <si>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</si>
  <si>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</si>
  <si>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</si>
  <si>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</si>
  <si>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</si>
  <si>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</si>
  <si>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</si>
  <si>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</si>
  <si>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</si>
  <si>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</si>
  <si>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</si>
  <si>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</si>
  <si>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</si>
  <si>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</si>
  <si>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</si>
  <si>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</si>
  <si>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</si>
  <si>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</si>
  <si>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</si>
  <si>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</si>
  <si>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</si>
  <si>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</si>
  <si>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</si>
  <si>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</si>
  <si>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</si>
  <si>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</si>
  <si>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</si>
  <si>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</si>
  <si>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</si>
  <si>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</si>
  <si>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</si>
  <si>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</si>
  <si>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</si>
  <si>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</si>
  <si>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</si>
  <si>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</si>
  <si>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</si>
  <si>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</si>
  <si>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</si>
  <si>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</si>
  <si>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</si>
  <si>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</si>
  <si>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</si>
  <si>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</si>
  <si>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</si>
  <si>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</si>
  <si>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</si>
  <si>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</si>
  <si>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</si>
  <si>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</si>
  <si>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</si>
  <si>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</si>
  <si>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</si>
  <si>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</si>
  <si>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</si>
  <si>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</si>
  <si>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</si>
  <si>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</si>
  <si>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</si>
  <si>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</si>
  <si>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</si>
  <si>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</si>
  <si>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</si>
  <si>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</si>
  <si>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</si>
  <si>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</si>
  <si>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</si>
  <si>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</si>
  <si>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</si>
  <si>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</si>
  <si>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</si>
  <si>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</si>
  <si>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</si>
  <si>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</si>
  <si>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</si>
  <si>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</si>
  <si>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</si>
  <si>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</si>
  <si>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</si>
  <si>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</si>
  <si>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</si>
  <si>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</si>
  <si>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</si>
  <si>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</si>
  <si>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</si>
  <si>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</si>
  <si>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</si>
  <si>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</si>
  <si>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</si>
  <si>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</si>
  <si>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</si>
  <si>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</si>
  <si>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</si>
  <si>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</si>
  <si>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</si>
  <si>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</si>
  <si>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</si>
  <si>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</si>
  <si>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</si>
  <si>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</si>
  <si>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</si>
  <si>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</si>
  <si>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</si>
  <si>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</si>
  <si>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</si>
  <si>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</si>
  <si>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</si>
  <si>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</si>
  <si>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</si>
  <si>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</si>
  <si>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</si>
  <si>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</si>
  <si>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</si>
  <si>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</si>
  <si>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</si>
  <si>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</si>
  <si>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</si>
  <si>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</si>
  <si>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</si>
  <si>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</si>
  <si>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</si>
  <si>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</si>
  <si>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</si>
  <si>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</si>
  <si>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</si>
  <si>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</si>
  <si>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</si>
  <si>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</si>
  <si>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</si>
  <si>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</si>
  <si>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</si>
  <si>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</si>
  <si>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</si>
  <si>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</si>
  <si>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</si>
  <si>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</si>
  <si>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</si>
  <si>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</si>
  <si>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</si>
  <si>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</si>
  <si>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</si>
  <si>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</si>
  <si>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</si>
  <si>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</si>
  <si>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</si>
  <si>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</si>
  <si>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</si>
  <si>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</si>
  <si>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</si>
  <si>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</si>
  <si>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</si>
  <si>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</si>
  <si>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</si>
  <si>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</si>
  <si>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</si>
  <si>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</si>
  <si>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</si>
  <si>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</si>
  <si>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</si>
  <si>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</si>
  <si>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</si>
  <si>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</si>
  <si>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</si>
  <si>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</si>
  <si>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</si>
  <si>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</si>
  <si>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</si>
  <si>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</si>
  <si>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</si>
  <si>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</si>
  <si>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</si>
  <si>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</si>
  <si>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</si>
  <si>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</si>
  <si>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</si>
  <si>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</si>
  <si>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</si>
  <si>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</si>
  <si>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</si>
  <si>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</si>
  <si>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</si>
  <si>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</si>
  <si>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</si>
  <si>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</si>
  <si>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</si>
  <si>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</si>
  <si>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</si>
  <si>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</si>
  <si>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</si>
  <si>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</si>
  <si>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</si>
  <si>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</si>
  <si>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</si>
  <si>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</si>
  <si>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</si>
  <si>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</si>
  <si>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</si>
  <si>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</si>
  <si>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</si>
  <si>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</si>
  <si>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</si>
  <si>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</si>
  <si>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</si>
  <si>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</si>
  <si>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</si>
  <si>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</si>
  <si>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</si>
  <si>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</si>
  <si>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</si>
  <si>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</si>
  <si>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</si>
  <si>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</si>
  <si>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</si>
  <si>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</si>
  <si>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</si>
  <si>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</si>
  <si>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</si>
  <si>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</si>
  <si>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</si>
  <si>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</si>
  <si>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</si>
  <si>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</si>
  <si>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</si>
  <si>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</si>
  <si>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</si>
  <si>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</si>
  <si>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</si>
  <si>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</si>
  <si>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</si>
  <si>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</si>
  <si>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</si>
  <si>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</si>
  <si>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</si>
  <si>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</si>
  <si>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</si>
  <si>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</si>
  <si>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</si>
  <si>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</si>
  <si>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</si>
  <si>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</si>
  <si>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</si>
  <si>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</si>
  <si>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</si>
  <si>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</si>
  <si>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</si>
  <si>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</si>
  <si>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</si>
  <si>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</si>
  <si>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</si>
  <si>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</si>
  <si>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</si>
  <si>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</si>
  <si>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</si>
  <si>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</si>
  <si>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</si>
  <si>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</si>
  <si>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</si>
  <si>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</si>
  <si>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</si>
  <si>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</si>
  <si>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</si>
  <si>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</si>
  <si>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</si>
  <si>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</si>
  <si>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</si>
  <si>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</si>
  <si>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</si>
  <si>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</si>
  <si>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</si>
  <si>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</si>
  <si>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</si>
  <si>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</si>
  <si>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</si>
  <si>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</si>
  <si>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</si>
  <si>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</si>
  <si>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</si>
  <si>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</si>
  <si>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</si>
  <si>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</si>
  <si>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</si>
  <si>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</si>
  <si>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</si>
  <si>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</si>
  <si>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</si>
  <si>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</si>
  <si>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</si>
  <si>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</si>
  <si>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</si>
  <si>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</si>
  <si>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</si>
  <si>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</si>
  <si>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</si>
  <si>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</si>
  <si>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</si>
  <si>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</si>
  <si>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</si>
  <si>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</si>
  <si>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</si>
  <si>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</si>
  <si>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</si>
  <si>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</si>
  <si>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</si>
  <si>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</si>
  <si>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</si>
  <si>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</si>
  <si>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</si>
  <si>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</si>
  <si>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</si>
  <si>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</si>
  <si>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</si>
  <si>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</si>
  <si>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</si>
  <si>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</si>
  <si>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</si>
  <si>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</si>
  <si>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</si>
  <si>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</si>
  <si>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</si>
  <si>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</si>
  <si>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</si>
  <si>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</si>
  <si>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</si>
  <si>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</si>
  <si>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</si>
  <si>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Jackson</t>
  </si>
  <si>
    <t>925 S. Giant City Road</t>
  </si>
  <si>
    <t xml:space="preserve">Carbondale  </t>
  </si>
  <si>
    <t>jmiller@ces95.org</t>
  </si>
  <si>
    <t>X</t>
  </si>
  <si>
    <t>Justin Miller, Assistant Superintendent</t>
  </si>
  <si>
    <t>618-457-3591</t>
  </si>
  <si>
    <t>618-457-3043</t>
  </si>
  <si>
    <t>Beussink, Hey, Roe &amp; Stroder, L.L.C.</t>
  </si>
  <si>
    <t>Jeffrey C. Stroder, CPA</t>
  </si>
  <si>
    <t>16 S. Silver Springs Road</t>
  </si>
  <si>
    <t>Cape Girardeau</t>
  </si>
  <si>
    <t>MO</t>
  </si>
  <si>
    <t>573-334-7971</t>
  </si>
  <si>
    <t>573-334-8875</t>
  </si>
  <si>
    <t>066-003889</t>
  </si>
  <si>
    <t>jstroder@bhrcpas.com</t>
  </si>
  <si>
    <t>The financial statements are prepared in a format that complies with regulatory provisions prescribed by the Illinois State Board of Educvation, which practices differ from accounting principles generally accepted in the United States of America.</t>
  </si>
  <si>
    <t>G.O. School Refunding Bonds, Series 2006</t>
  </si>
  <si>
    <t>School Facilities Lease-Purchase Agreement</t>
  </si>
  <si>
    <t>G.O. School Bonds, Series 2013A</t>
  </si>
  <si>
    <t>G.O. School Bonds, Series 2013B</t>
  </si>
  <si>
    <t>Phone System Lease-Purchase Agreement</t>
  </si>
  <si>
    <t>Lease-Purchase Agreement</t>
  </si>
  <si>
    <t>ED-Food Service-Purchaed Services</t>
  </si>
  <si>
    <t>10-2560-300</t>
  </si>
  <si>
    <t>ABBCO Service Corporation</t>
  </si>
  <si>
    <t>40-2550-300</t>
  </si>
  <si>
    <t>Durham School Services</t>
  </si>
  <si>
    <t>ED-Instruction-Purchased Services</t>
  </si>
  <si>
    <t>10-1000-300</t>
  </si>
  <si>
    <t>GreatAmerica Financial Services</t>
  </si>
  <si>
    <t>ED-Operation &amp; Maint. Of Plant Service-Purchased Serv.</t>
  </si>
  <si>
    <t>10-2540-300</t>
  </si>
  <si>
    <t>HSG Mechanical Contractors, Inc.</t>
  </si>
  <si>
    <t>Mayer Networks</t>
  </si>
  <si>
    <t>Modern Office Connections, Inc.</t>
  </si>
  <si>
    <t>10-2560-400</t>
  </si>
  <si>
    <t>ED-Food Service-Supplies</t>
  </si>
  <si>
    <t>Prairie Farms Dairy, Inc.</t>
  </si>
  <si>
    <t>Southern Illinois Univ. Carbondale</t>
  </si>
  <si>
    <t>US Foods, Inc.</t>
  </si>
  <si>
    <t>TR-Pupil Transportation-Purchased Services</t>
  </si>
  <si>
    <t>ED-Instruction-Supplies</t>
  </si>
  <si>
    <t>10-1000-400</t>
  </si>
  <si>
    <t>Southern Il Health and Wellness Insurance Trust</t>
  </si>
  <si>
    <t>Tri-County Special Education</t>
  </si>
  <si>
    <t>COPE, WARD</t>
  </si>
  <si>
    <t>Jackson/Perry Regional Delivery System</t>
  </si>
  <si>
    <t>Account Number</t>
  </si>
  <si>
    <t>Object Code</t>
  </si>
  <si>
    <t>U.S. DEPARTMENT OF AGRICULTURE</t>
  </si>
  <si>
    <t>Passed Through the Illinois State Board of Education</t>
  </si>
  <si>
    <t xml:space="preserve">  School Breakfast Program (M)</t>
  </si>
  <si>
    <t>17-4220</t>
  </si>
  <si>
    <t>18-4220</t>
  </si>
  <si>
    <t xml:space="preserve">    Total for CFDA #10.553</t>
  </si>
  <si>
    <t xml:space="preserve">  National School Lunch Program (M)</t>
  </si>
  <si>
    <t xml:space="preserve">  Dept of Defense Fresh Fruits &amp; Vegetables (Non-Cash) (M)</t>
  </si>
  <si>
    <t xml:space="preserve">  Commodities (Non-Cash) (M)</t>
  </si>
  <si>
    <t>17-4210</t>
  </si>
  <si>
    <t>18-4210</t>
  </si>
  <si>
    <t>N/A - 2017</t>
  </si>
  <si>
    <t>N/A - 2018</t>
  </si>
  <si>
    <t xml:space="preserve">    Total for CFDA #10.555</t>
  </si>
  <si>
    <t>Total Child Nutrition Cluster (CFDA Numbers 10.553 and 10.555)</t>
  </si>
  <si>
    <t xml:space="preserve">  Fresh Fruits &amp; Vegetables</t>
  </si>
  <si>
    <t>18-4240</t>
  </si>
  <si>
    <t xml:space="preserve">    Total for CFDA #10.582</t>
  </si>
  <si>
    <t>TOTAL U.S. DEPARTMENT OF AGRICULTURE</t>
  </si>
  <si>
    <t>U.S. DEPARTMENT OF EDUCATION</t>
  </si>
  <si>
    <t xml:space="preserve">  Title I:  Grants to Local Education Agencies (M)</t>
  </si>
  <si>
    <t>17-4300</t>
  </si>
  <si>
    <t>18-4300</t>
  </si>
  <si>
    <t xml:space="preserve">    Total for CFDA #84.010</t>
  </si>
  <si>
    <t xml:space="preserve">  Special Education - IDEA - Room &amp; Board</t>
  </si>
  <si>
    <t>Passed Through Tri-County Special Education</t>
  </si>
  <si>
    <t xml:space="preserve"> Special Education - IDEA</t>
  </si>
  <si>
    <t>17-4625</t>
  </si>
  <si>
    <t>17-2200</t>
  </si>
  <si>
    <t>18-2200</t>
  </si>
  <si>
    <t xml:space="preserve">    Total for CFDA #84.027</t>
  </si>
  <si>
    <t xml:space="preserve">  Title III - Lang Inst Prog - Limited Eng LIPLEP</t>
  </si>
  <si>
    <t xml:space="preserve">  Title III - Immigrant Education Program</t>
  </si>
  <si>
    <t>17-4909</t>
  </si>
  <si>
    <t>18-4909</t>
  </si>
  <si>
    <t>17-4905</t>
  </si>
  <si>
    <t xml:space="preserve">    Total for CFDA #84.365</t>
  </si>
  <si>
    <t xml:space="preserve">  Title II - Teacher Quality</t>
  </si>
  <si>
    <t xml:space="preserve">    Total for CFDA #84.367</t>
  </si>
  <si>
    <t>17-4932</t>
  </si>
  <si>
    <t>18-4932</t>
  </si>
  <si>
    <t>TOTAL U.S. DEPARTMENT OF EDUCATION</t>
  </si>
  <si>
    <t>U.S. DEPARTMENT OF HEALTH &amp; HUMAN SERVICES</t>
  </si>
  <si>
    <t>Passed Through the Illinois Department of Healthcare and Family Services</t>
  </si>
  <si>
    <t xml:space="preserve">  Medical Assistance Program</t>
  </si>
  <si>
    <t>17-4991</t>
  </si>
  <si>
    <t>18-4991</t>
  </si>
  <si>
    <t xml:space="preserve">    Total for CFDA #93.778</t>
  </si>
  <si>
    <t>TOTAL U.S. DEPARTMENT OF HEALTH &amp; HUMAN SERVICES</t>
  </si>
  <si>
    <t>TOTAL FEDERAL AWARDS</t>
  </si>
  <si>
    <r>
      <t xml:space="preserve">The accompanying Schedule of Expenditures of Federal Awards includes the federal grant activity of </t>
    </r>
    <r>
      <rPr>
        <b/>
        <sz val="9"/>
        <rFont val="Calibri"/>
        <family val="2"/>
        <scheme val="minor"/>
      </rPr>
      <t>Carbondale Elementary School District No. 95</t>
    </r>
    <r>
      <rPr>
        <sz val="9"/>
        <rFont val="Calibri"/>
        <family val="2"/>
        <scheme val="minor"/>
      </rPr>
      <t xml:space="preserve"> and is presented on the </t>
    </r>
    <r>
      <rPr>
        <b/>
        <sz val="9"/>
        <rFont val="Calibri"/>
        <family val="2"/>
        <scheme val="minor"/>
      </rPr>
      <t>Modified Caash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</si>
  <si>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Carbondale Elementary School District no. 95</t>
    </r>
    <r>
      <rPr>
        <sz val="9"/>
        <rFont val="Calibri"/>
        <family val="2"/>
        <scheme val="minor"/>
      </rPr>
      <t xml:space="preserve"> provided federal awards to subrecipients as follows:</t>
    </r>
  </si>
  <si>
    <t>N/A</t>
  </si>
  <si>
    <r>
      <t xml:space="preserve">The following amounts were expended in the form of non-cash assistance by </t>
    </r>
    <r>
      <rPr>
        <b/>
        <sz val="9"/>
        <rFont val="Calibri"/>
        <family val="2"/>
        <scheme val="minor"/>
      </rPr>
      <t>Carbondale Elementary School District No. 95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</si>
  <si>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</si>
  <si>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and 10.555</t>
  </si>
  <si>
    <t>Child Nutrition Cluster</t>
  </si>
  <si>
    <t>Title I - Grants to Local Education Agencies</t>
  </si>
  <si>
    <t>2017-001</t>
  </si>
  <si>
    <t>The District had a transaction with one vendor in</t>
  </si>
  <si>
    <t xml:space="preserve">excess of $25,000 that was not checked for </t>
  </si>
  <si>
    <t>suspension and debarment.</t>
  </si>
  <si>
    <t>2017-002</t>
  </si>
  <si>
    <t>The District doesn't have written policies and</t>
  </si>
  <si>
    <t>procedures over the components of grant</t>
  </si>
  <si>
    <t>administration.</t>
  </si>
  <si>
    <t>Implemented.</t>
  </si>
  <si>
    <t>Child Nutrition Cluster 2018</t>
  </si>
  <si>
    <t>18-4210 and 18-4220</t>
  </si>
  <si>
    <t>Illinois State Board of Education</t>
  </si>
  <si>
    <t>United States Department of Agriculture</t>
  </si>
  <si>
    <t>According to 2 CFR Section 180.300, when a non-federal entity enters into a covered transaction with an entity at a lower tier, the non-federal entity must verify that the enity is not suspended, debarred, or otherwise excluded.</t>
  </si>
  <si>
    <t>None</t>
  </si>
  <si>
    <t>Qualified payments with the vendors totaled $693,271</t>
  </si>
  <si>
    <t>The District was at risk of making material payments to vendors who aren't allowed to do business with the federal government.  There wasn't any noncompliance, but there were was no documentation that the District followed its internal controls over compliance.</t>
  </si>
  <si>
    <t>We recommend the District retain all documentation of internal control procedures performed for all covered trasactions for all federal grants.</t>
  </si>
  <si>
    <t>The District didn't realize it needed to keep documentation for the internal control procedure performed.</t>
  </si>
  <si>
    <t>U.S. Department of Agriculture</t>
  </si>
  <si>
    <t>Prepaid Payroll Expenditures</t>
  </si>
  <si>
    <t>Prepaid Expenditures</t>
  </si>
  <si>
    <t>Refunds</t>
  </si>
  <si>
    <t>Solar Reimbursement Enery Credits</t>
  </si>
  <si>
    <t>Miscellaneous Receipts</t>
  </si>
  <si>
    <t>State Library Grant</t>
  </si>
  <si>
    <t>Reimbursements to ISBE</t>
  </si>
  <si>
    <t>Parrish School After School Salaries</t>
  </si>
  <si>
    <t>Parrish School Afer School Benefits</t>
  </si>
  <si>
    <t>Parrish School After School Food Supplies</t>
  </si>
  <si>
    <t>Bond Fees</t>
  </si>
  <si>
    <t>Parrish School After School Benefits</t>
  </si>
  <si>
    <t>Not Implemented.  See Finding 2018-001.</t>
  </si>
  <si>
    <t>The District should have internal controls to ensure the accuracy of reporting the daily meal counts submitted to the Illinois State Board of Education.</t>
  </si>
  <si>
    <t>Students who go through the lunch line are counted by an employee with a counter.  Another employee counts the number of trays returned after the meal and they reconcile each of their counts every day before the number is written down and sent to the individual preparing the reports.  There is no documentation of this reconciliation process.</t>
  </si>
  <si>
    <t>Expenditures from the child nutrition cluster grant totaled $840,698 during the fiscal year ended June 30, 2018 and are based on the number of meals served.</t>
  </si>
  <si>
    <t>Increases the risk that inaccurate counts could be submitted to the Illinois State Board of Education, leading to inaccurate benefits received.  In this case, the reconciliation reduces that risk, but documentation is necessary to prove the control took place.</t>
  </si>
  <si>
    <t>The District did not document that the internal control of checking daily meal counts took place.  They believed the fact that it did take place was sufficient to reduce the risk of noncompliance.</t>
  </si>
  <si>
    <t>We recommend that when the number of meals served is written down, both the counter of students and the counter of trays should initial the report to document they have agreed their counts.</t>
  </si>
  <si>
    <t>The District had three transactions with vendors in excess of $25,000 that they claimed they checked for suspension or debarment.  However, there was no documentation that the District peformed the internal control procedure.</t>
  </si>
  <si>
    <t>The District is now aware of the expectation for qualifying payments to vendors over the $25,000 threshold and will implement the necessary safeguards for future implementation.</t>
  </si>
  <si>
    <t xml:space="preserve">The District will document that meal counts agree each day.  </t>
  </si>
  <si>
    <t>x</t>
  </si>
  <si>
    <t>Carbondale ESD 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</si>
</sst>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55" fillId="0" borderId="78" xfId="0" applyFont="1" applyBorder="1" applyAlignment="1">
      <alignment horizontal="center"/>
    </xf>
    <xf numFmtId="0" fontId="55" fillId="0" borderId="0" xfId="0" applyFont="1" applyAlignment="1">
      <alignment horizontal="center"/>
    </xf>
    <xf numFmtId="42" fontId="55" fillId="0" borderId="0" xfId="0" applyNumberFormat="1" applyFont="1"/>
    <xf numFmtId="42" fontId="136" fillId="0" borderId="0" xfId="0" applyNumberFormat="1" applyFont="1"/>
    <xf numFmtId="41" fontId="73" fillId="0" borderId="0" xfId="0" applyNumberFormat="1" applyFont="1"/>
    <xf numFmtId="41" fontId="55" fillId="0" borderId="0" xfId="0"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2545773</xdr:colOff>
          <xdr:row>2</xdr:row>
          <xdr:rowOff>77933</xdr:rowOff>
        </xdr:from>
        <xdr:to>
          <xdr:col>1</xdr:col>
          <xdr:colOff>3457575</xdr:colOff>
          <xdr:row>6</xdr:row>
          <xdr:rowOff>116033</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6C5F502D-C5C4-4340-82DF-34A54FB64AB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2" name="Text 1">
          <a:extLst>
            <a:ext uri="{FF2B5EF4-FFF2-40B4-BE49-F238E27FC236}">
              <a16:creationId xmlns:a16="http://schemas.microsoft.com/office/drawing/2014/main" id="{3E9AAB4A-E633-441B-9EED-9B347652009E}"/>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11C60F6F-C326-4905-9F46-E36A824B21AD}"/>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5" t="s">
        <v>425</v>
      </c>
      <c r="J1" s="2006"/>
      <c r="K1" s="2006"/>
      <c r="L1" s="2006"/>
      <c r="M1" s="2006"/>
      <c r="N1" s="2006"/>
      <c r="O1" s="2006"/>
      <c r="P1" s="2006"/>
      <c r="Q1" s="2006"/>
      <c r="R1" s="2006"/>
      <c r="S1" s="2006"/>
    </row>
    <row r="2" spans="1:28" ht="12" customHeight="1" x14ac:dyDescent="0.2">
      <c r="A2" s="47" t="s">
        <v>1684</v>
      </c>
      <c r="D2" s="48"/>
      <c r="I2" s="2007" t="s">
        <v>1036</v>
      </c>
      <c r="J2" s="2006"/>
      <c r="K2" s="2006"/>
      <c r="L2" s="2006"/>
      <c r="M2" s="2006"/>
      <c r="N2" s="2006"/>
      <c r="O2" s="2006"/>
      <c r="P2" s="2006"/>
      <c r="Q2" s="2006"/>
      <c r="R2" s="2006"/>
      <c r="S2" s="2006"/>
    </row>
    <row r="3" spans="1:28" ht="12" customHeight="1" x14ac:dyDescent="0.2">
      <c r="A3" s="155" t="s">
        <v>1685</v>
      </c>
      <c r="B3" s="156"/>
      <c r="C3" s="156"/>
      <c r="D3" s="157"/>
      <c r="I3" s="2007" t="s">
        <v>54</v>
      </c>
      <c r="J3" s="2006"/>
      <c r="K3" s="2006"/>
      <c r="L3" s="2006"/>
      <c r="M3" s="2006"/>
      <c r="N3" s="2006"/>
      <c r="O3" s="2006"/>
      <c r="P3" s="2006"/>
      <c r="Q3" s="2006"/>
      <c r="R3" s="2006"/>
      <c r="S3" s="2006"/>
    </row>
    <row r="4" spans="1:28" ht="12" customHeight="1" x14ac:dyDescent="0.2">
      <c r="A4" s="37"/>
      <c r="I4" s="2007" t="s">
        <v>545</v>
      </c>
      <c r="J4" s="2006"/>
      <c r="K4" s="2006"/>
      <c r="L4" s="2006"/>
      <c r="M4" s="2006"/>
      <c r="N4" s="2006"/>
      <c r="O4" s="2006"/>
      <c r="P4" s="2006"/>
      <c r="Q4" s="2006"/>
      <c r="R4" s="2006"/>
      <c r="S4" s="2006"/>
    </row>
    <row r="5" spans="1:28" ht="14.1" customHeight="1" x14ac:dyDescent="0.2">
      <c r="B5" s="104" t="s">
        <v>2225</v>
      </c>
      <c r="C5" s="26" t="s">
        <v>966</v>
      </c>
      <c r="D5" s="84"/>
      <c r="E5" s="84"/>
      <c r="H5" s="38"/>
      <c r="I5" s="2015" t="s">
        <v>701</v>
      </c>
      <c r="J5" s="2014"/>
      <c r="K5" s="2014"/>
      <c r="L5" s="2014"/>
      <c r="M5" s="2014"/>
      <c r="N5" s="2014"/>
      <c r="O5" s="2014"/>
      <c r="P5" s="2014"/>
      <c r="Q5" s="2014"/>
      <c r="R5" s="2014"/>
      <c r="S5" s="2014"/>
    </row>
    <row r="6" spans="1:28" ht="14.1" customHeight="1" x14ac:dyDescent="0.2">
      <c r="B6" s="104"/>
      <c r="C6" s="26" t="s">
        <v>967</v>
      </c>
      <c r="D6" s="84"/>
      <c r="E6" s="84"/>
      <c r="I6" s="2013" t="s">
        <v>938</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695</v>
      </c>
      <c r="J9" s="2011"/>
      <c r="K9" s="2011"/>
      <c r="L9" s="2011"/>
      <c r="M9" s="2011"/>
      <c r="N9" s="2011"/>
      <c r="O9" s="2011"/>
      <c r="P9" s="2011"/>
      <c r="Q9" s="2011"/>
      <c r="R9" s="2011"/>
      <c r="S9" s="2012"/>
      <c r="T9" s="2026" t="s">
        <v>554</v>
      </c>
      <c r="U9" s="2027"/>
      <c r="V9" s="2027"/>
      <c r="W9" s="2027"/>
      <c r="X9" s="2027"/>
      <c r="Y9" s="2027"/>
      <c r="Z9" s="2027"/>
      <c r="AA9" s="2028"/>
    </row>
    <row r="10" spans="1:28" ht="13.5" customHeight="1" x14ac:dyDescent="0.2">
      <c r="A10" s="2033" t="s">
        <v>696</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1012</v>
      </c>
      <c r="B11" s="2037"/>
      <c r="C11" s="2037"/>
      <c r="D11" s="2037"/>
      <c r="E11" s="2037"/>
      <c r="F11" s="2037"/>
      <c r="G11" s="2037"/>
      <c r="H11" s="2038"/>
      <c r="I11" s="27"/>
      <c r="J11" s="74"/>
      <c r="K11" s="27"/>
      <c r="O11" s="148" t="s">
        <v>2078</v>
      </c>
      <c r="P11" s="100" t="s">
        <v>210</v>
      </c>
      <c r="Q11" s="30"/>
      <c r="R11" s="28"/>
      <c r="S11" s="27"/>
      <c r="T11" s="2030"/>
      <c r="U11" s="2031"/>
      <c r="V11" s="2031"/>
      <c r="W11" s="2031"/>
      <c r="X11" s="2031"/>
      <c r="Y11" s="2031"/>
      <c r="Z11" s="2031"/>
      <c r="AA11" s="203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0">
        <v>30039095002</v>
      </c>
      <c r="B13" s="2041"/>
      <c r="C13" s="2041"/>
      <c r="D13" s="2041"/>
      <c r="E13" s="2041"/>
      <c r="F13" s="2041"/>
      <c r="G13" s="2041"/>
      <c r="H13" s="2042"/>
      <c r="I13" s="31"/>
      <c r="J13" s="30"/>
      <c r="K13" s="28"/>
      <c r="L13" s="30"/>
      <c r="M13" s="30"/>
      <c r="N13" s="30"/>
      <c r="O13" s="30"/>
      <c r="P13" s="30"/>
      <c r="Q13" s="30"/>
      <c r="R13" s="30"/>
      <c r="S13" s="30"/>
      <c r="T13" s="2045" t="s">
        <v>2082</v>
      </c>
      <c r="U13" s="2046"/>
      <c r="V13" s="2046"/>
      <c r="W13" s="2046"/>
      <c r="X13" s="2046"/>
      <c r="Y13" s="2047"/>
      <c r="Z13" s="2047"/>
      <c r="AA13" s="204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9" t="s">
        <v>2074</v>
      </c>
      <c r="B15" s="2043"/>
      <c r="C15" s="2043"/>
      <c r="D15" s="2043"/>
      <c r="E15" s="2043"/>
      <c r="F15" s="2043"/>
      <c r="G15" s="2043"/>
      <c r="H15" s="2044"/>
      <c r="T15" s="2049" t="s">
        <v>2083</v>
      </c>
      <c r="U15" s="1993"/>
      <c r="V15" s="1993"/>
      <c r="W15" s="1993"/>
      <c r="X15" s="1993"/>
      <c r="Y15" s="2050"/>
      <c r="Z15" s="2050"/>
      <c r="AA15" s="20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9" t="s">
        <v>2226</v>
      </c>
      <c r="B17" s="2000"/>
      <c r="C17" s="2000"/>
      <c r="D17" s="2000"/>
      <c r="E17" s="2000"/>
      <c r="F17" s="2000"/>
      <c r="G17" s="2000"/>
      <c r="H17" s="2025"/>
      <c r="T17" s="2056" t="s">
        <v>2084</v>
      </c>
      <c r="U17" s="2057"/>
      <c r="V17" s="2057"/>
      <c r="W17" s="2057"/>
      <c r="X17" s="2057"/>
      <c r="Y17" s="2057"/>
      <c r="Z17" s="2057"/>
      <c r="AA17" s="2058"/>
    </row>
    <row r="18" spans="1:27" ht="13.5" customHeight="1" x14ac:dyDescent="0.2">
      <c r="A18" s="85" t="s">
        <v>551</v>
      </c>
      <c r="B18" s="76"/>
      <c r="C18" s="72"/>
      <c r="D18" s="76"/>
      <c r="E18" s="76"/>
      <c r="F18" s="76"/>
      <c r="G18" s="76"/>
      <c r="H18" s="56"/>
      <c r="I18" s="2024" t="s">
        <v>697</v>
      </c>
      <c r="J18" s="1975"/>
      <c r="K18" s="1975"/>
      <c r="L18" s="1975"/>
      <c r="M18" s="1975"/>
      <c r="N18" s="1975"/>
      <c r="O18" s="1975"/>
      <c r="P18" s="1975"/>
      <c r="Q18" s="1975"/>
      <c r="R18" s="1975"/>
      <c r="S18" s="1976"/>
      <c r="T18" s="85" t="s">
        <v>735</v>
      </c>
      <c r="U18" s="51"/>
      <c r="V18" s="72"/>
      <c r="W18" s="50"/>
      <c r="X18" s="85" t="s">
        <v>284</v>
      </c>
      <c r="Y18" s="81"/>
      <c r="Z18" s="159" t="s">
        <v>698</v>
      </c>
      <c r="AA18" s="46"/>
    </row>
    <row r="19" spans="1:27" ht="13.5" customHeight="1" x14ac:dyDescent="0.2">
      <c r="A19" s="2039" t="s">
        <v>2075</v>
      </c>
      <c r="B19" s="1985"/>
      <c r="C19" s="1985"/>
      <c r="D19" s="1985"/>
      <c r="E19" s="1985"/>
      <c r="F19" s="1985"/>
      <c r="G19" s="1985"/>
      <c r="H19" s="1965"/>
      <c r="I19" s="30"/>
      <c r="J19" s="99"/>
      <c r="K19" s="40"/>
      <c r="L19" s="38"/>
      <c r="M19" s="112" t="s">
        <v>333</v>
      </c>
      <c r="P19" s="27"/>
      <c r="Q19" s="27"/>
      <c r="R19" s="27"/>
      <c r="S19" s="31"/>
      <c r="T19" s="2039" t="s">
        <v>2085</v>
      </c>
      <c r="U19" s="1964"/>
      <c r="V19" s="1964"/>
      <c r="W19" s="1965"/>
      <c r="X19" s="2054" t="s">
        <v>2086</v>
      </c>
      <c r="Y19" s="2055"/>
      <c r="Z19" s="2052">
        <v>63703</v>
      </c>
      <c r="AA19" s="20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2076</v>
      </c>
      <c r="B21" s="1964"/>
      <c r="C21" s="1964"/>
      <c r="D21" s="1964"/>
      <c r="E21" s="1964"/>
      <c r="F21" s="1964"/>
      <c r="G21" s="1964"/>
      <c r="H21" s="1965"/>
      <c r="I21" s="2019" t="s">
        <v>699</v>
      </c>
      <c r="J21" s="2014"/>
      <c r="K21" s="2014"/>
      <c r="L21" s="2014"/>
      <c r="M21" s="2014"/>
      <c r="N21" s="2014"/>
      <c r="O21" s="2014"/>
      <c r="P21" s="2014"/>
      <c r="Q21" s="2014"/>
      <c r="R21" s="2014"/>
      <c r="S21" s="2020"/>
      <c r="T21" s="2063" t="s">
        <v>2087</v>
      </c>
      <c r="U21" s="2064"/>
      <c r="V21" s="2064"/>
      <c r="W21" s="2064"/>
      <c r="X21" s="2069" t="s">
        <v>2088</v>
      </c>
      <c r="Y21" s="2070"/>
      <c r="Z21" s="2070"/>
      <c r="AA21" s="2071"/>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6" t="s">
        <v>2077</v>
      </c>
      <c r="B23" s="2017"/>
      <c r="C23" s="2017"/>
      <c r="D23" s="2017"/>
      <c r="E23" s="2017"/>
      <c r="F23" s="2017"/>
      <c r="G23" s="2017"/>
      <c r="H23" s="2018"/>
      <c r="T23" s="1999" t="s">
        <v>2089</v>
      </c>
      <c r="U23" s="2062"/>
      <c r="V23" s="2062"/>
      <c r="W23" s="2062"/>
      <c r="X23" s="2066">
        <v>44530</v>
      </c>
      <c r="Y23" s="2067"/>
      <c r="Z23" s="2067"/>
      <c r="AA23" s="2068"/>
    </row>
    <row r="24" spans="1:27" ht="14.1" customHeight="1" x14ac:dyDescent="0.2">
      <c r="A24" s="88" t="s">
        <v>698</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552</v>
      </c>
      <c r="U24" s="106"/>
      <c r="V24" s="106"/>
      <c r="W24" s="106"/>
      <c r="X24" s="107"/>
      <c r="Y24" s="107"/>
      <c r="Z24" s="107"/>
      <c r="AA24" s="108"/>
    </row>
    <row r="25" spans="1:27" ht="14.1" customHeight="1" x14ac:dyDescent="0.2">
      <c r="A25" s="1963"/>
      <c r="B25" s="1964"/>
      <c r="C25" s="1964"/>
      <c r="D25" s="1964"/>
      <c r="E25" s="1964"/>
      <c r="F25" s="1964"/>
      <c r="G25" s="1964"/>
      <c r="H25" s="1965"/>
      <c r="I25" s="113"/>
      <c r="J25" s="1988"/>
      <c r="K25" s="1988"/>
      <c r="L25" s="1988"/>
      <c r="M25" s="1988"/>
      <c r="N25" s="1988"/>
      <c r="O25" s="1988"/>
      <c r="P25" s="1988"/>
      <c r="Q25" s="1988"/>
      <c r="R25" s="1988"/>
      <c r="S25" s="1989"/>
      <c r="T25" s="2059" t="s">
        <v>2090</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4" t="s">
        <v>1591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2078</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2078</v>
      </c>
      <c r="C30" s="124" t="s">
        <v>1226</v>
      </c>
      <c r="D30" s="28"/>
      <c r="E30" s="28"/>
      <c r="F30" s="140"/>
      <c r="G30" s="114"/>
      <c r="H30" s="114"/>
      <c r="I30" s="54"/>
      <c r="J30" s="148" t="s">
        <v>2078</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2078</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9" t="s">
        <v>2079</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552</v>
      </c>
      <c r="B39" s="1970"/>
      <c r="C39" s="72"/>
      <c r="D39" s="69"/>
      <c r="E39" s="69"/>
      <c r="F39" s="79"/>
      <c r="G39" s="69"/>
      <c r="H39" s="56"/>
      <c r="I39" s="1969" t="s">
        <v>552</v>
      </c>
      <c r="J39" s="1970"/>
      <c r="K39" s="1970"/>
      <c r="L39" s="1970"/>
      <c r="M39" s="1970"/>
      <c r="N39" s="67"/>
      <c r="O39" s="72"/>
      <c r="P39" s="72"/>
      <c r="Q39" s="78"/>
      <c r="R39" s="72"/>
      <c r="S39" s="56"/>
      <c r="T39" s="72" t="s">
        <v>552</v>
      </c>
      <c r="U39" s="51"/>
      <c r="V39" s="72"/>
      <c r="W39" s="50"/>
      <c r="X39" s="78"/>
      <c r="Y39" s="45"/>
      <c r="Z39" s="45"/>
      <c r="AA39" s="46"/>
    </row>
    <row r="40" spans="1:27" ht="13.5" customHeight="1" x14ac:dyDescent="0.2">
      <c r="A40" s="1977" t="s">
        <v>2077</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1" t="s">
        <v>2080</v>
      </c>
      <c r="B42" s="1983"/>
      <c r="C42" s="1984"/>
      <c r="D42" s="1982" t="s">
        <v>2081</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57" sqref="B57:J6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7" t="s">
        <v>1902</v>
      </c>
      <c r="B2" s="1550" t="s">
        <v>2034</v>
      </c>
      <c r="C2" s="715" t="s">
        <v>1907</v>
      </c>
      <c r="D2" s="715" t="s">
        <v>1908</v>
      </c>
      <c r="E2" s="715" t="s">
        <v>1909</v>
      </c>
      <c r="F2" s="715" t="s">
        <v>1910</v>
      </c>
    </row>
    <row r="3" spans="1:6" ht="12" customHeight="1" x14ac:dyDescent="0.2">
      <c r="A3" s="2208"/>
      <c r="B3" s="1547"/>
      <c r="C3" s="1548"/>
      <c r="D3" s="1549" t="s">
        <v>274</v>
      </c>
      <c r="E3" s="1548"/>
      <c r="F3" s="1549" t="s">
        <v>275</v>
      </c>
    </row>
    <row r="4" spans="1:6" ht="13.7" customHeight="1" x14ac:dyDescent="0.2">
      <c r="A4" s="716" t="s">
        <v>1217</v>
      </c>
      <c r="B4" s="1771">
        <f>'Revenues 9-14'!C5</f>
        <v>9478975</v>
      </c>
      <c r="C4" s="1546"/>
      <c r="D4" s="1774">
        <f>B4-C4</f>
        <v>9478975</v>
      </c>
      <c r="E4" s="1546">
        <v>9849538</v>
      </c>
      <c r="F4" s="1774">
        <f>E4-C4</f>
        <v>9849538</v>
      </c>
    </row>
    <row r="5" spans="1:6" ht="13.7" customHeight="1" x14ac:dyDescent="0.2">
      <c r="A5" s="716" t="s">
        <v>925</v>
      </c>
      <c r="B5" s="1772">
        <f>'Revenues 9-14'!D5</f>
        <v>976876</v>
      </c>
      <c r="C5" s="585"/>
      <c r="D5" s="1775">
        <f t="shared" ref="D5:D18" si="0">B5-C5</f>
        <v>976876</v>
      </c>
      <c r="E5" s="585">
        <v>1085692</v>
      </c>
      <c r="F5" s="1775">
        <f>E5-C5</f>
        <v>1085692</v>
      </c>
    </row>
    <row r="6" spans="1:6" ht="13.7" customHeight="1" x14ac:dyDescent="0.2">
      <c r="A6" s="716" t="s">
        <v>431</v>
      </c>
      <c r="B6" s="1772">
        <f>'Revenues 9-14'!E5</f>
        <v>1280687</v>
      </c>
      <c r="C6" s="585"/>
      <c r="D6" s="1775">
        <f t="shared" si="0"/>
        <v>1280687</v>
      </c>
      <c r="E6" s="585">
        <v>1296897</v>
      </c>
      <c r="F6" s="1775">
        <f t="shared" ref="F6:F18" si="1">E6-C6</f>
        <v>1296897</v>
      </c>
    </row>
    <row r="7" spans="1:6" ht="13.7" customHeight="1" x14ac:dyDescent="0.2">
      <c r="A7" s="716" t="s">
        <v>157</v>
      </c>
      <c r="B7" s="1772">
        <f>'Revenues 9-14'!F5</f>
        <v>586101</v>
      </c>
      <c r="C7" s="585"/>
      <c r="D7" s="1775">
        <f t="shared" si="0"/>
        <v>586101</v>
      </c>
      <c r="E7" s="585">
        <v>592227</v>
      </c>
      <c r="F7" s="1775">
        <f t="shared" si="1"/>
        <v>592227</v>
      </c>
    </row>
    <row r="8" spans="1:6" ht="13.7" customHeight="1" x14ac:dyDescent="0.2">
      <c r="A8" s="716" t="s">
        <v>1241</v>
      </c>
      <c r="B8" s="1772">
        <f>'Revenues 9-14'!G5</f>
        <v>268663</v>
      </c>
      <c r="C8" s="585"/>
      <c r="D8" s="1775">
        <f t="shared" si="0"/>
        <v>268663</v>
      </c>
      <c r="E8" s="585">
        <v>276382</v>
      </c>
      <c r="F8" s="1775">
        <f t="shared" si="1"/>
        <v>276382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309</v>
      </c>
      <c r="C10" s="585"/>
      <c r="D10" s="1775">
        <f t="shared" si="0"/>
        <v>309</v>
      </c>
      <c r="E10" s="585">
        <v>3678</v>
      </c>
      <c r="F10" s="1775">
        <f t="shared" si="1"/>
        <v>3678</v>
      </c>
    </row>
    <row r="11" spans="1:6" x14ac:dyDescent="0.2">
      <c r="A11" s="716" t="s">
        <v>429</v>
      </c>
      <c r="B11" s="1772">
        <f>'Revenues 9-14'!J5</f>
        <v>293051</v>
      </c>
      <c r="C11" s="585"/>
      <c r="D11" s="1775">
        <f t="shared" si="0"/>
        <v>293051</v>
      </c>
      <c r="E11" s="585">
        <v>296148</v>
      </c>
      <c r="F11" s="1775">
        <f t="shared" si="1"/>
        <v>296148</v>
      </c>
    </row>
    <row r="12" spans="1:6" ht="13.7" customHeight="1" x14ac:dyDescent="0.2">
      <c r="A12" s="716" t="s">
        <v>159</v>
      </c>
      <c r="B12" s="1772">
        <f>'Revenues 9-14'!K5</f>
        <v>170966</v>
      </c>
      <c r="C12" s="585"/>
      <c r="D12" s="1775">
        <f t="shared" si="0"/>
        <v>170966</v>
      </c>
      <c r="E12" s="585">
        <v>172739</v>
      </c>
      <c r="F12" s="1775">
        <f t="shared" si="1"/>
        <v>172739</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175863</v>
      </c>
      <c r="C14" s="585"/>
      <c r="D14" s="1775">
        <f t="shared" si="0"/>
        <v>175863</v>
      </c>
      <c r="E14" s="585">
        <v>177689</v>
      </c>
      <c r="F14" s="1775">
        <f t="shared" si="1"/>
        <v>177689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219835</v>
      </c>
      <c r="C16" s="585"/>
      <c r="D16" s="1775">
        <f t="shared" si="0"/>
        <v>219835</v>
      </c>
      <c r="E16" s="585">
        <v>222102</v>
      </c>
      <c r="F16" s="1775">
        <f t="shared" si="1"/>
        <v>222102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13451326</v>
      </c>
      <c r="C19" s="1773">
        <f>SUM(C4:C18)</f>
        <v>0</v>
      </c>
      <c r="D19" s="1773">
        <f>SUM(D4:D18)</f>
        <v>13451326</v>
      </c>
      <c r="E19" s="1773">
        <f>SUM(E4:E18)</f>
        <v>13973092</v>
      </c>
      <c r="F19" s="1773">
        <f>SUM(F4:F18)</f>
        <v>13973092</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verticalCentered="1" gridLinesSet="0"/>
  <pageMargins left="1" right="1" top="1" bottom="1" header="0.44" footer="1"/>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8" colorId="8" zoomScale="110" zoomScaleNormal="110" workbookViewId="0">
      <selection activeCell="B57" sqref="B57:J6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650</v>
      </c>
      <c r="B1" s="2227"/>
      <c r="C1" s="722"/>
    </row>
    <row r="2" spans="1:7" ht="33.75" x14ac:dyDescent="0.2">
      <c r="A2" s="2234" t="s">
        <v>1902</v>
      </c>
      <c r="B2" s="2235"/>
      <c r="C2" s="1908" t="s">
        <v>2035</v>
      </c>
      <c r="D2" s="724" t="s">
        <v>2042</v>
      </c>
      <c r="E2" s="724" t="s">
        <v>2043</v>
      </c>
      <c r="F2" s="1908" t="s">
        <v>2036</v>
      </c>
    </row>
    <row r="3" spans="1:7" ht="15.75" customHeight="1" x14ac:dyDescent="0.2">
      <c r="A3" s="2236" t="s">
        <v>1176</v>
      </c>
      <c r="B3" s="2237"/>
      <c r="C3" s="2230"/>
      <c r="D3" s="2231"/>
      <c r="E3" s="2231"/>
      <c r="F3" s="2232"/>
    </row>
    <row r="4" spans="1:7" ht="12.75" customHeight="1" thickBot="1" x14ac:dyDescent="0.25">
      <c r="A4" s="2224" t="s">
        <v>651</v>
      </c>
      <c r="B4" s="2225"/>
      <c r="C4" s="581"/>
      <c r="D4" s="581"/>
      <c r="E4" s="581"/>
      <c r="F4" s="1777">
        <f>SUM(C4+D4)-E4</f>
        <v>0</v>
      </c>
    </row>
    <row r="5" spans="1:7" ht="15.75" customHeight="1" thickTop="1" x14ac:dyDescent="0.2">
      <c r="A5" s="2228" t="s">
        <v>1172</v>
      </c>
      <c r="B5" s="2223"/>
      <c r="C5" s="2217"/>
      <c r="D5" s="2218"/>
      <c r="E5" s="2218"/>
      <c r="F5" s="221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0" t="s">
        <v>652</v>
      </c>
      <c r="B15" s="2221"/>
      <c r="C15" s="1777">
        <f>SUM(C6:C14)</f>
        <v>0</v>
      </c>
      <c r="D15" s="1777">
        <f>SUM(D6:D14)</f>
        <v>0</v>
      </c>
      <c r="E15" s="1777">
        <f>SUM(E6:E14)</f>
        <v>0</v>
      </c>
      <c r="F15" s="1777">
        <f>SUM(F6:F14)</f>
        <v>0</v>
      </c>
      <c r="G15" s="552"/>
    </row>
    <row r="16" spans="1:7" s="202" customFormat="1" ht="15.75" customHeight="1" thickTop="1" x14ac:dyDescent="0.2">
      <c r="A16" s="2233" t="s">
        <v>1173</v>
      </c>
      <c r="B16" s="2223"/>
      <c r="C16" s="2217"/>
      <c r="D16" s="2218"/>
      <c r="E16" s="2218"/>
      <c r="F16" s="2219"/>
    </row>
    <row r="17" spans="1:11" ht="12.75" customHeight="1" thickBot="1" x14ac:dyDescent="0.25">
      <c r="A17" s="2215" t="s">
        <v>66</v>
      </c>
      <c r="B17" s="2216"/>
      <c r="C17" s="727"/>
      <c r="D17" s="585"/>
      <c r="E17" s="727"/>
      <c r="F17" s="1777">
        <f>SUM(C17+D17)-E17</f>
        <v>0</v>
      </c>
    </row>
    <row r="18" spans="1:11" ht="12.75" customHeight="1" thickTop="1" thickBot="1" x14ac:dyDescent="0.25">
      <c r="A18" s="2215" t="s">
        <v>6</v>
      </c>
      <c r="B18" s="2216"/>
      <c r="C18" s="727"/>
      <c r="D18" s="585"/>
      <c r="E18" s="727"/>
      <c r="F18" s="1777">
        <f>SUM(C18+D18)-E18</f>
        <v>0</v>
      </c>
    </row>
    <row r="19" spans="1:11" ht="12.75" customHeight="1" thickTop="1" thickBot="1" x14ac:dyDescent="0.25">
      <c r="A19" s="2215" t="s">
        <v>406</v>
      </c>
      <c r="B19" s="2216"/>
      <c r="C19" s="727"/>
      <c r="D19" s="585"/>
      <c r="E19" s="727"/>
      <c r="F19" s="1777">
        <f>SUM(C19+D19)-E19</f>
        <v>0</v>
      </c>
    </row>
    <row r="20" spans="1:11" ht="12.75" customHeight="1" thickTop="1" thickBot="1" x14ac:dyDescent="0.25">
      <c r="A20" s="2215" t="s">
        <v>468</v>
      </c>
      <c r="B20" s="2216"/>
      <c r="C20" s="727"/>
      <c r="D20" s="585"/>
      <c r="E20" s="727"/>
      <c r="F20" s="1777">
        <f>SUM(C20+D20)-E20</f>
        <v>0</v>
      </c>
    </row>
    <row r="21" spans="1:11" ht="14.25" thickTop="1" thickBot="1" x14ac:dyDescent="0.25">
      <c r="A21" s="2220" t="s">
        <v>653</v>
      </c>
      <c r="B21" s="2221"/>
      <c r="C21" s="1777">
        <f>SUM(C17:C20)</f>
        <v>0</v>
      </c>
      <c r="D21" s="1777">
        <f>SUM(D17:D20)</f>
        <v>0</v>
      </c>
      <c r="E21" s="1777">
        <f>SUM(E17:E20)</f>
        <v>0</v>
      </c>
      <c r="F21" s="1777">
        <f>SUM(F17:F20)</f>
        <v>0</v>
      </c>
      <c r="G21" s="552"/>
    </row>
    <row r="22" spans="1:11" ht="15.75" customHeight="1" thickTop="1" x14ac:dyDescent="0.2">
      <c r="A22" s="2222" t="s">
        <v>1174</v>
      </c>
      <c r="B22" s="2223"/>
      <c r="C22" s="2217"/>
      <c r="D22" s="2218"/>
      <c r="E22" s="2218"/>
      <c r="F22" s="2219"/>
    </row>
    <row r="23" spans="1:11" ht="13.5" thickBot="1" x14ac:dyDescent="0.25">
      <c r="A23" s="2224" t="s">
        <v>654</v>
      </c>
      <c r="B23" s="2225"/>
      <c r="C23" s="581"/>
      <c r="D23" s="581"/>
      <c r="E23" s="581"/>
      <c r="F23" s="1777">
        <f>SUM(C23+D23)-E23</f>
        <v>0</v>
      </c>
      <c r="G23" s="552"/>
    </row>
    <row r="24" spans="1:11" ht="15.75" customHeight="1" thickTop="1" x14ac:dyDescent="0.2">
      <c r="A24" s="2222" t="s">
        <v>1175</v>
      </c>
      <c r="B24" s="2223"/>
      <c r="C24" s="2217"/>
      <c r="D24" s="2218"/>
      <c r="E24" s="2218"/>
      <c r="F24" s="2219"/>
    </row>
    <row r="25" spans="1:11" ht="13.5" thickBot="1" x14ac:dyDescent="0.25">
      <c r="A25" s="2224" t="s">
        <v>655</v>
      </c>
      <c r="B25" s="2225"/>
      <c r="C25" s="581"/>
      <c r="D25" s="581"/>
      <c r="E25" s="581"/>
      <c r="F25" s="1777">
        <f>SUM(C25+D25)-E25</f>
        <v>0</v>
      </c>
      <c r="G25" s="552"/>
    </row>
    <row r="26" spans="1:11" ht="15.75" customHeight="1" thickTop="1" x14ac:dyDescent="0.2">
      <c r="A26" s="2228" t="s">
        <v>678</v>
      </c>
      <c r="B26" s="2223"/>
      <c r="C26" s="728"/>
      <c r="D26" s="728"/>
      <c r="E26" s="728"/>
      <c r="F26" s="729"/>
    </row>
    <row r="27" spans="1:11" ht="13.5" thickBot="1" x14ac:dyDescent="0.25">
      <c r="A27" s="2220" t="s">
        <v>1130</v>
      </c>
      <c r="B27" s="2221"/>
      <c r="C27" s="585"/>
      <c r="D27" s="585"/>
      <c r="E27" s="585"/>
      <c r="F27" s="1777">
        <f>SUM(C27+D27)-E27</f>
        <v>0</v>
      </c>
      <c r="G27" s="552"/>
    </row>
    <row r="28" spans="1:11" ht="7.5" customHeight="1" thickTop="1" x14ac:dyDescent="0.2">
      <c r="A28" s="594"/>
    </row>
    <row r="29" spans="1:11" ht="23.25" customHeight="1" x14ac:dyDescent="0.2">
      <c r="A29" s="2226" t="s">
        <v>603</v>
      </c>
      <c r="B29" s="2227"/>
      <c r="C29" s="730"/>
      <c r="D29" s="730"/>
      <c r="E29" s="730"/>
      <c r="F29" s="730"/>
      <c r="G29" s="730"/>
      <c r="H29" s="730"/>
      <c r="I29" s="730"/>
      <c r="J29" s="730"/>
    </row>
    <row r="30" spans="1:11" ht="33.75" x14ac:dyDescent="0.2">
      <c r="A30" s="1551"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t="s">
        <v>2092</v>
      </c>
      <c r="B31" s="734">
        <v>38763</v>
      </c>
      <c r="C31" s="735">
        <v>7620000</v>
      </c>
      <c r="D31" s="736">
        <v>3</v>
      </c>
      <c r="E31" s="735">
        <v>55000</v>
      </c>
      <c r="F31" s="735"/>
      <c r="G31" s="735"/>
      <c r="H31" s="735">
        <v>55000</v>
      </c>
      <c r="I31" s="1778">
        <f>((E31+F31)-H31)+G31</f>
        <v>0</v>
      </c>
      <c r="J31" s="735"/>
      <c r="K31" s="737"/>
    </row>
    <row r="32" spans="1:11" ht="12" customHeight="1" x14ac:dyDescent="0.2">
      <c r="A32" s="733" t="s">
        <v>2093</v>
      </c>
      <c r="B32" s="734">
        <v>39710</v>
      </c>
      <c r="C32" s="735">
        <v>1800000</v>
      </c>
      <c r="D32" s="736">
        <v>7</v>
      </c>
      <c r="E32" s="735">
        <v>566683</v>
      </c>
      <c r="F32" s="735"/>
      <c r="G32" s="735"/>
      <c r="H32" s="735">
        <v>183323</v>
      </c>
      <c r="I32" s="1778">
        <f>((E32+F32)-H32)+G32</f>
        <v>383360</v>
      </c>
      <c r="J32" s="735">
        <v>322478</v>
      </c>
      <c r="K32" s="737"/>
    </row>
    <row r="33" spans="1:11" ht="12" customHeight="1" x14ac:dyDescent="0.2">
      <c r="A33" s="733" t="s">
        <v>2094</v>
      </c>
      <c r="B33" s="734">
        <v>41401</v>
      </c>
      <c r="C33" s="735">
        <v>4200000</v>
      </c>
      <c r="D33" s="736">
        <v>1</v>
      </c>
      <c r="E33" s="735">
        <v>1655000</v>
      </c>
      <c r="F33" s="735"/>
      <c r="G33" s="735"/>
      <c r="H33" s="735">
        <v>805000</v>
      </c>
      <c r="I33" s="1778">
        <f t="shared" ref="I33:I48" si="1">((E33+F33)-H33)+G33</f>
        <v>850000</v>
      </c>
      <c r="J33" s="735">
        <v>850000</v>
      </c>
      <c r="K33" s="737"/>
    </row>
    <row r="34" spans="1:11" ht="12" customHeight="1" x14ac:dyDescent="0.2">
      <c r="A34" s="733" t="s">
        <v>2095</v>
      </c>
      <c r="B34" s="734">
        <v>41401</v>
      </c>
      <c r="C34" s="735">
        <v>4145000</v>
      </c>
      <c r="D34" s="736">
        <v>3</v>
      </c>
      <c r="E34" s="735">
        <v>4145000</v>
      </c>
      <c r="F34" s="735"/>
      <c r="G34" s="735"/>
      <c r="H34" s="735"/>
      <c r="I34" s="1778">
        <f t="shared" si="1"/>
        <v>4145000</v>
      </c>
      <c r="J34" s="735">
        <v>4145000</v>
      </c>
      <c r="K34" s="738"/>
    </row>
    <row r="35" spans="1:11" ht="12" customHeight="1" x14ac:dyDescent="0.2">
      <c r="A35" s="733" t="s">
        <v>2096</v>
      </c>
      <c r="B35" s="734">
        <v>41244</v>
      </c>
      <c r="C35" s="739">
        <v>258000</v>
      </c>
      <c r="D35" s="736">
        <v>7</v>
      </c>
      <c r="E35" s="739">
        <v>75502</v>
      </c>
      <c r="F35" s="739"/>
      <c r="G35" s="739"/>
      <c r="H35" s="739">
        <v>37458</v>
      </c>
      <c r="I35" s="1778">
        <f t="shared" si="1"/>
        <v>38044</v>
      </c>
      <c r="J35" s="739">
        <v>38044</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18023000</v>
      </c>
      <c r="D49" s="746"/>
      <c r="E49" s="1778">
        <f t="shared" ref="E49:J49" si="2">SUM(E31:E48)</f>
        <v>6497185</v>
      </c>
      <c r="F49" s="1778">
        <f t="shared" si="2"/>
        <v>0</v>
      </c>
      <c r="G49" s="1778">
        <f t="shared" si="2"/>
        <v>0</v>
      </c>
      <c r="H49" s="1778">
        <f t="shared" si="2"/>
        <v>1080781</v>
      </c>
      <c r="I49" s="1778">
        <f t="shared" si="2"/>
        <v>5416404</v>
      </c>
      <c r="J49" s="1778">
        <f t="shared" si="2"/>
        <v>5355522</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9" t="s">
        <v>605</v>
      </c>
      <c r="C52" s="2210"/>
      <c r="D52" s="2210"/>
      <c r="E52" s="750" t="s">
        <v>900</v>
      </c>
      <c r="F52" s="2211" t="s">
        <v>2097</v>
      </c>
      <c r="G52" s="2212"/>
      <c r="H52" s="737"/>
      <c r="I52" s="737"/>
      <c r="J52" s="747"/>
    </row>
    <row r="53" spans="1:11" ht="11.25" customHeight="1" x14ac:dyDescent="0.2">
      <c r="A53" s="751" t="s">
        <v>969</v>
      </c>
      <c r="B53" s="752" t="s">
        <v>1008</v>
      </c>
      <c r="C53" s="747"/>
      <c r="D53" s="738"/>
      <c r="E53" s="750" t="s">
        <v>518</v>
      </c>
      <c r="F53" s="2213"/>
      <c r="G53" s="2214"/>
      <c r="H53" s="737"/>
      <c r="I53" s="737"/>
      <c r="J53" s="747"/>
    </row>
    <row r="54" spans="1:11" ht="11.25" customHeight="1" x14ac:dyDescent="0.2">
      <c r="A54" s="753" t="s">
        <v>970</v>
      </c>
      <c r="B54" s="748" t="s">
        <v>1009</v>
      </c>
      <c r="C54" s="747"/>
      <c r="D54" s="738"/>
      <c r="E54" s="750" t="s">
        <v>519</v>
      </c>
      <c r="F54" s="2213"/>
      <c r="G54" s="221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verticalCentered="1" gridLinesSet="0"/>
  <pageMargins left="1" right="1" top="1" bottom="1" header="0.4" footer="0.5"/>
  <pageSetup scale="63"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57" sqref="B57:J6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911</v>
      </c>
      <c r="B1" s="2239"/>
      <c r="C1" s="2239"/>
      <c r="D1" s="2239"/>
      <c r="E1" s="2239"/>
      <c r="F1" s="2239"/>
      <c r="G1" s="2240"/>
      <c r="H1" s="1552"/>
      <c r="I1" s="761"/>
      <c r="J1" s="433"/>
    </row>
    <row r="2" spans="1:11" ht="26.25" x14ac:dyDescent="0.2">
      <c r="A2" s="2257" t="s">
        <v>1776</v>
      </c>
      <c r="B2" s="2258"/>
      <c r="C2" s="2258"/>
      <c r="D2" s="2258"/>
      <c r="E2" s="2259"/>
      <c r="F2" s="762" t="s">
        <v>960</v>
      </c>
      <c r="G2" s="763" t="s">
        <v>1773</v>
      </c>
      <c r="H2" s="763" t="s">
        <v>430</v>
      </c>
      <c r="I2" s="763" t="s">
        <v>1220</v>
      </c>
      <c r="J2" s="763" t="s">
        <v>1916</v>
      </c>
      <c r="K2" s="763" t="s">
        <v>140</v>
      </c>
    </row>
    <row r="3" spans="1:11" x14ac:dyDescent="0.2">
      <c r="A3" s="2260" t="s">
        <v>1698</v>
      </c>
      <c r="B3" s="2261"/>
      <c r="C3" s="2261"/>
      <c r="D3" s="2261"/>
      <c r="E3" s="2262"/>
      <c r="F3" s="764"/>
      <c r="G3" s="765"/>
      <c r="H3" s="765"/>
      <c r="I3" s="765"/>
      <c r="J3" s="766"/>
      <c r="K3" s="766"/>
    </row>
    <row r="4" spans="1:11" x14ac:dyDescent="0.2">
      <c r="A4" s="2263" t="s">
        <v>387</v>
      </c>
      <c r="B4" s="2264"/>
      <c r="C4" s="2264"/>
      <c r="D4" s="2264"/>
      <c r="E4" s="2210"/>
      <c r="F4" s="767"/>
      <c r="G4" s="768"/>
      <c r="H4" s="769"/>
      <c r="I4" s="768"/>
      <c r="J4" s="770"/>
      <c r="K4" s="770"/>
    </row>
    <row r="5" spans="1:11" x14ac:dyDescent="0.2">
      <c r="A5" s="2241" t="s">
        <v>1129</v>
      </c>
      <c r="B5" s="2242"/>
      <c r="C5" s="2242"/>
      <c r="D5" s="2242"/>
      <c r="E5" s="2243"/>
      <c r="F5" s="771" t="s">
        <v>903</v>
      </c>
      <c r="G5" s="772"/>
      <c r="H5" s="765">
        <v>175863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1" t="s">
        <v>1917</v>
      </c>
      <c r="B10" s="2242"/>
      <c r="C10" s="2242"/>
      <c r="D10" s="2242"/>
      <c r="E10" s="2244"/>
      <c r="F10" s="784" t="s">
        <v>917</v>
      </c>
      <c r="G10" s="783"/>
      <c r="H10" s="785"/>
      <c r="I10" s="765"/>
      <c r="J10" s="766"/>
      <c r="K10" s="766"/>
    </row>
    <row r="11" spans="1:11" x14ac:dyDescent="0.2">
      <c r="A11" s="2241" t="s">
        <v>162</v>
      </c>
      <c r="B11" s="2242"/>
      <c r="C11" s="2242"/>
      <c r="D11" s="2242"/>
      <c r="E11" s="2243"/>
      <c r="F11" s="771" t="s">
        <v>907</v>
      </c>
      <c r="G11" s="772"/>
      <c r="H11" s="765"/>
      <c r="I11" s="765"/>
      <c r="J11" s="766"/>
      <c r="K11" s="774"/>
    </row>
    <row r="12" spans="1:11" ht="13.5" thickBot="1" x14ac:dyDescent="0.25">
      <c r="A12" s="2268" t="s">
        <v>961</v>
      </c>
      <c r="B12" s="2269"/>
      <c r="C12" s="2269"/>
      <c r="D12" s="2269"/>
      <c r="E12" s="2270"/>
      <c r="F12" s="1779"/>
      <c r="G12" s="1780">
        <f>SUM(G5:G11)</f>
        <v>0</v>
      </c>
      <c r="H12" s="1780">
        <f>SUM(H5:H11)</f>
        <v>175863</v>
      </c>
      <c r="I12" s="1780">
        <f>SUM(I5:I11)</f>
        <v>0</v>
      </c>
      <c r="J12" s="1780">
        <f>SUM(J5:J11)</f>
        <v>0</v>
      </c>
      <c r="K12" s="1780">
        <f>SUM(K5:K11)</f>
        <v>0</v>
      </c>
    </row>
    <row r="13" spans="1:11" ht="13.5" thickTop="1" x14ac:dyDescent="0.2">
      <c r="A13" s="2265" t="s">
        <v>388</v>
      </c>
      <c r="B13" s="2266"/>
      <c r="C13" s="2266"/>
      <c r="D13" s="2266"/>
      <c r="E13" s="2267"/>
      <c r="F13" s="786"/>
      <c r="G13" s="787"/>
      <c r="H13" s="788"/>
      <c r="I13" s="789"/>
      <c r="J13" s="789"/>
      <c r="K13" s="789"/>
    </row>
    <row r="14" spans="1:11" x14ac:dyDescent="0.2">
      <c r="A14" s="2248" t="s">
        <v>476</v>
      </c>
      <c r="B14" s="2248"/>
      <c r="C14" s="2248"/>
      <c r="D14" s="2248"/>
      <c r="E14" s="2249"/>
      <c r="F14" s="790" t="s">
        <v>909</v>
      </c>
      <c r="G14" s="783"/>
      <c r="H14" s="765">
        <v>175863</v>
      </c>
      <c r="I14" s="772"/>
      <c r="J14" s="774"/>
      <c r="K14" s="766"/>
    </row>
    <row r="15" spans="1:11" x14ac:dyDescent="0.2">
      <c r="A15" s="2242" t="s">
        <v>4</v>
      </c>
      <c r="B15" s="2242"/>
      <c r="C15" s="2242"/>
      <c r="D15" s="2242"/>
      <c r="E15" s="2243"/>
      <c r="F15" s="790" t="s">
        <v>910</v>
      </c>
      <c r="G15" s="772"/>
      <c r="H15" s="765"/>
      <c r="I15" s="765"/>
      <c r="J15" s="766"/>
      <c r="K15" s="766"/>
    </row>
    <row r="16" spans="1:11" x14ac:dyDescent="0.2">
      <c r="A16" s="2242" t="s">
        <v>316</v>
      </c>
      <c r="B16" s="2242"/>
      <c r="C16" s="2242"/>
      <c r="D16" s="2242"/>
      <c r="E16" s="2243"/>
      <c r="F16" s="790" t="s">
        <v>980</v>
      </c>
      <c r="G16" s="773"/>
      <c r="H16" s="768"/>
      <c r="I16" s="768"/>
      <c r="J16" s="770"/>
      <c r="K16" s="770"/>
    </row>
    <row r="17" spans="1:11" x14ac:dyDescent="0.2">
      <c r="A17" s="2273" t="s">
        <v>992</v>
      </c>
      <c r="B17" s="2273"/>
      <c r="C17" s="2273"/>
      <c r="D17" s="2273"/>
      <c r="E17" s="2274"/>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50" t="s">
        <v>1913</v>
      </c>
      <c r="B19" s="2250"/>
      <c r="C19" s="2250"/>
      <c r="D19" s="2250"/>
      <c r="E19" s="2251"/>
      <c r="F19" s="790" t="s">
        <v>990</v>
      </c>
      <c r="G19" s="783"/>
      <c r="H19" s="783"/>
      <c r="I19" s="783"/>
      <c r="J19" s="766"/>
      <c r="K19" s="796"/>
    </row>
    <row r="20" spans="1:11" x14ac:dyDescent="0.2">
      <c r="A20" s="2252" t="s">
        <v>1918</v>
      </c>
      <c r="B20" s="2253"/>
      <c r="C20" s="2253"/>
      <c r="D20" s="2253"/>
      <c r="E20" s="2254"/>
      <c r="F20" s="790" t="s">
        <v>991</v>
      </c>
      <c r="G20" s="783"/>
      <c r="H20" s="783"/>
      <c r="I20" s="783"/>
      <c r="J20" s="766"/>
      <c r="K20" s="796"/>
    </row>
    <row r="21" spans="1:11" ht="13.5" thickBot="1" x14ac:dyDescent="0.25">
      <c r="A21" s="2271" t="s">
        <v>659</v>
      </c>
      <c r="B21" s="2271"/>
      <c r="C21" s="2271"/>
      <c r="D21" s="2271"/>
      <c r="E21" s="2271"/>
      <c r="F21" s="1781"/>
      <c r="G21" s="793"/>
      <c r="H21" s="797"/>
      <c r="I21" s="797"/>
      <c r="J21" s="1782">
        <f>SUM(J18:J20)</f>
        <v>0</v>
      </c>
      <c r="K21" s="794"/>
    </row>
    <row r="22" spans="1:11" ht="13.5" thickTop="1" x14ac:dyDescent="0.2">
      <c r="A22" s="2242" t="s">
        <v>1919</v>
      </c>
      <c r="B22" s="2242"/>
      <c r="C22" s="2242"/>
      <c r="D22" s="2242"/>
      <c r="E22" s="2243"/>
      <c r="F22" s="790" t="s">
        <v>917</v>
      </c>
      <c r="G22" s="783"/>
      <c r="H22" s="765"/>
      <c r="I22" s="765"/>
      <c r="J22" s="798"/>
      <c r="K22" s="766"/>
    </row>
    <row r="23" spans="1:11" ht="13.5" thickBot="1" x14ac:dyDescent="0.25">
      <c r="A23" s="2272" t="s">
        <v>962</v>
      </c>
      <c r="B23" s="2271"/>
      <c r="C23" s="2271"/>
      <c r="D23" s="2271"/>
      <c r="E23" s="2271"/>
      <c r="F23" s="1783"/>
      <c r="G23" s="1780">
        <f>SUM(G14:G16,G21,G22)</f>
        <v>0</v>
      </c>
      <c r="H23" s="1780">
        <f>SUM(H14:H16,H21,H22)</f>
        <v>175863</v>
      </c>
      <c r="I23" s="1780">
        <f>SUM(I14:I16,I21,I22)</f>
        <v>0</v>
      </c>
      <c r="J23" s="1780">
        <f>SUM(J14:J16,J21,J22)</f>
        <v>0</v>
      </c>
      <c r="K23" s="1780">
        <f>SUM(K14:K16,K21,K22)</f>
        <v>0</v>
      </c>
    </row>
    <row r="24" spans="1:11" ht="14.25" thickTop="1" thickBot="1" x14ac:dyDescent="0.25">
      <c r="A24" s="2272" t="s">
        <v>2023</v>
      </c>
      <c r="B24" s="2271"/>
      <c r="C24" s="2271"/>
      <c r="D24" s="2271"/>
      <c r="E24" s="227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5"/>
      <c r="I31" s="2246"/>
      <c r="J31" s="2246"/>
      <c r="K31" s="2246"/>
    </row>
    <row r="32" spans="1:11" x14ac:dyDescent="0.2">
      <c r="A32" s="810"/>
      <c r="B32" s="237"/>
      <c r="C32" s="237"/>
      <c r="D32" s="237"/>
      <c r="E32" s="806"/>
      <c r="F32" s="812" t="s">
        <v>561</v>
      </c>
      <c r="G32" s="765"/>
      <c r="H32" s="2247"/>
      <c r="I32" s="2246"/>
      <c r="J32" s="2246"/>
      <c r="K32" s="2246"/>
    </row>
    <row r="33" spans="1:11" ht="1.5" customHeight="1" x14ac:dyDescent="0.2">
      <c r="A33" s="813" t="s">
        <v>1231</v>
      </c>
      <c r="B33" s="364"/>
      <c r="C33" s="364"/>
      <c r="D33" s="364"/>
      <c r="E33" s="364"/>
      <c r="F33" s="364"/>
      <c r="G33" s="814"/>
      <c r="H33" s="2247"/>
      <c r="I33" s="2246"/>
      <c r="J33" s="2246"/>
      <c r="K33" s="2246"/>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2" t="s">
        <v>562</v>
      </c>
      <c r="B41" s="2255"/>
      <c r="C41" s="2255"/>
      <c r="D41" s="2255"/>
      <c r="E41" s="2255"/>
      <c r="F41" s="225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verticalCentered="1" gridLines="1"/>
  <pageMargins left="1" right="1" top="1" bottom="1" header="0.4" footer="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B57" sqref="B57:J6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2032</v>
      </c>
      <c r="B1" s="2278"/>
      <c r="C1" s="2279"/>
      <c r="D1" s="827"/>
      <c r="E1" s="828"/>
      <c r="F1" s="828"/>
      <c r="G1" s="829"/>
      <c r="H1" s="830"/>
      <c r="I1" s="831"/>
      <c r="J1" s="2275"/>
      <c r="K1" s="2276"/>
      <c r="L1" s="2276"/>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341423</v>
      </c>
      <c r="D5" s="842"/>
      <c r="E5" s="842"/>
      <c r="F5" s="1782">
        <f>(C5+D5)-E5</f>
        <v>341423</v>
      </c>
      <c r="G5" s="838"/>
      <c r="H5" s="843"/>
      <c r="I5" s="843"/>
      <c r="J5" s="843"/>
      <c r="K5" s="794"/>
      <c r="L5" s="1791">
        <f>F5-K5</f>
        <v>341423</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33476565</v>
      </c>
      <c r="D8" s="845">
        <v>7297</v>
      </c>
      <c r="E8" s="845"/>
      <c r="F8" s="1782">
        <f>(C8+D8)-E8</f>
        <v>33483862</v>
      </c>
      <c r="G8" s="844">
        <v>50</v>
      </c>
      <c r="H8" s="766">
        <v>12785186</v>
      </c>
      <c r="I8" s="766">
        <v>599698</v>
      </c>
      <c r="J8" s="766"/>
      <c r="K8" s="1791">
        <f>(H8+I8)-J8</f>
        <v>13384884</v>
      </c>
      <c r="L8" s="1791">
        <f>F8-K8</f>
        <v>20098978</v>
      </c>
    </row>
    <row r="9" spans="1:14" ht="14.25" thickTop="1" thickBot="1" x14ac:dyDescent="0.25">
      <c r="A9" s="779" t="s">
        <v>1181</v>
      </c>
      <c r="B9" s="841">
        <v>232</v>
      </c>
      <c r="C9" s="766"/>
      <c r="D9" s="766">
        <v>2510</v>
      </c>
      <c r="E9" s="766"/>
      <c r="F9" s="1782">
        <f>(C9+D9)-E9</f>
        <v>2510</v>
      </c>
      <c r="G9" s="844">
        <v>20</v>
      </c>
      <c r="H9" s="766"/>
      <c r="I9" s="766">
        <v>21</v>
      </c>
      <c r="J9" s="766"/>
      <c r="K9" s="1791">
        <f>(H9+I9)-J9</f>
        <v>21</v>
      </c>
      <c r="L9" s="1791">
        <f>F9-K9</f>
        <v>2489</v>
      </c>
    </row>
    <row r="10" spans="1:14" ht="24" thickTop="1" thickBot="1" x14ac:dyDescent="0.25">
      <c r="A10" s="846" t="s">
        <v>1182</v>
      </c>
      <c r="B10" s="841">
        <v>240</v>
      </c>
      <c r="C10" s="847">
        <v>689409</v>
      </c>
      <c r="D10" s="847">
        <v>2311</v>
      </c>
      <c r="E10" s="847"/>
      <c r="F10" s="1786">
        <f>(C10+D10)-E10</f>
        <v>691720</v>
      </c>
      <c r="G10" s="844">
        <v>20</v>
      </c>
      <c r="H10" s="848">
        <v>578829</v>
      </c>
      <c r="I10" s="848">
        <v>11808</v>
      </c>
      <c r="J10" s="848"/>
      <c r="K10" s="1791">
        <f>(H10+I10)-J10</f>
        <v>590637</v>
      </c>
      <c r="L10" s="1791">
        <f>F10-K10</f>
        <v>101083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3152248</v>
      </c>
      <c r="D12" s="845">
        <v>373664</v>
      </c>
      <c r="E12" s="845"/>
      <c r="F12" s="1782">
        <f>(C12+D12)-E12</f>
        <v>3525912</v>
      </c>
      <c r="G12" s="844">
        <v>10</v>
      </c>
      <c r="H12" s="766">
        <v>1929163</v>
      </c>
      <c r="I12" s="766">
        <v>246931</v>
      </c>
      <c r="J12" s="766"/>
      <c r="K12" s="1791">
        <f>(H12+I12)-J12</f>
        <v>2176094</v>
      </c>
      <c r="L12" s="1791">
        <f>F12-K12</f>
        <v>1349818</v>
      </c>
    </row>
    <row r="13" spans="1:14" ht="14.25" thickTop="1" thickBot="1" x14ac:dyDescent="0.25">
      <c r="A13" s="849" t="s">
        <v>1184</v>
      </c>
      <c r="B13" s="841">
        <v>252</v>
      </c>
      <c r="C13" s="845">
        <v>95752</v>
      </c>
      <c r="D13" s="845">
        <v>29169</v>
      </c>
      <c r="E13" s="845"/>
      <c r="F13" s="1782">
        <f>(C13+D13)-E13</f>
        <v>124921</v>
      </c>
      <c r="G13" s="844">
        <v>5</v>
      </c>
      <c r="H13" s="766">
        <v>20067</v>
      </c>
      <c r="I13" s="766">
        <v>19005</v>
      </c>
      <c r="J13" s="766"/>
      <c r="K13" s="1791">
        <f>(H13+I13)-J13</f>
        <v>39072</v>
      </c>
      <c r="L13" s="1791">
        <f>F13-K13</f>
        <v>85849</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37755397</v>
      </c>
      <c r="D16" s="1782">
        <f>SUM(D3,D5:D6,D8:D10,D12:D15)</f>
        <v>414951</v>
      </c>
      <c r="E16" s="1782">
        <f>SUM(E3,E5:E6,E8:E10,E12:E15)</f>
        <v>0</v>
      </c>
      <c r="F16" s="1782">
        <f>SUM(F3,F5:F6,F8:F10,F12:F15)</f>
        <v>38170348</v>
      </c>
      <c r="G16" s="844"/>
      <c r="H16" s="1782">
        <f>SUM(H3,H6,H8:H10,H12:H14,)</f>
        <v>15313245</v>
      </c>
      <c r="I16" s="1782">
        <f>SUM(I3,I6,I8:I10,I12:I14,)</f>
        <v>877463</v>
      </c>
      <c r="J16" s="1782">
        <f>SUM(J3,J6,J8:J10,J12:J14,)</f>
        <v>0</v>
      </c>
      <c r="K16" s="1782">
        <f>(H16+I16)-J16</f>
        <v>16190708</v>
      </c>
      <c r="L16" s="1782">
        <f>F16-K16</f>
        <v>21979640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877463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verticalCentered="1" gridLines="1"/>
  <pageMargins left="1" right="1" top="0.75" bottom="0.75" header="1" footer="0.75"/>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8" activePane="bottomLeft" state="frozen"/>
      <selection activeCell="B57" sqref="B57:J67"/>
      <selection pane="bottomLeft" activeCell="B57" sqref="B57:J6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16694594</v>
      </c>
      <c r="G8" s="866"/>
    </row>
    <row r="9" spans="1:7" x14ac:dyDescent="0.2">
      <c r="A9" s="870" t="s">
        <v>480</v>
      </c>
      <c r="B9" s="871" t="s">
        <v>1986</v>
      </c>
      <c r="C9" s="872"/>
      <c r="D9" s="870" t="s">
        <v>522</v>
      </c>
      <c r="E9" s="869"/>
      <c r="F9" s="1934">
        <f>'Expenditures 15-22'!K151</f>
        <v>1085001</v>
      </c>
      <c r="G9" s="873"/>
    </row>
    <row r="10" spans="1:7" x14ac:dyDescent="0.2">
      <c r="A10" s="870" t="s">
        <v>520</v>
      </c>
      <c r="B10" s="871" t="s">
        <v>1987</v>
      </c>
      <c r="C10" s="872"/>
      <c r="D10" s="870" t="s">
        <v>522</v>
      </c>
      <c r="E10" s="869"/>
      <c r="F10" s="1934">
        <f>'Expenditures 15-22'!K174</f>
        <v>1278209</v>
      </c>
      <c r="G10" s="873"/>
    </row>
    <row r="11" spans="1:7" x14ac:dyDescent="0.2">
      <c r="A11" s="870" t="s">
        <v>481</v>
      </c>
      <c r="B11" s="871" t="s">
        <v>1988</v>
      </c>
      <c r="C11" s="872"/>
      <c r="D11" s="870" t="s">
        <v>522</v>
      </c>
      <c r="E11" s="869"/>
      <c r="F11" s="1934">
        <f>'Expenditures 15-22'!K210</f>
        <v>1242590</v>
      </c>
      <c r="G11" s="873"/>
    </row>
    <row r="12" spans="1:7" x14ac:dyDescent="0.2">
      <c r="A12" s="870" t="s">
        <v>482</v>
      </c>
      <c r="B12" s="871" t="s">
        <v>1989</v>
      </c>
      <c r="C12" s="872"/>
      <c r="D12" s="870" t="s">
        <v>522</v>
      </c>
      <c r="E12" s="869"/>
      <c r="F12" s="1934">
        <f>'Expenditures 15-22'!K295</f>
        <v>589121</v>
      </c>
      <c r="G12" s="873"/>
    </row>
    <row r="13" spans="1:7" x14ac:dyDescent="0.2">
      <c r="A13" s="870" t="s">
        <v>108</v>
      </c>
      <c r="B13" s="871" t="s">
        <v>1990</v>
      </c>
      <c r="C13" s="872"/>
      <c r="D13" s="870" t="s">
        <v>522</v>
      </c>
      <c r="E13" s="869"/>
      <c r="F13" s="1934">
        <f>'Expenditures 15-22'!K342</f>
        <v>371483</v>
      </c>
      <c r="G13" s="874"/>
    </row>
    <row r="14" spans="1:7" ht="12" customHeight="1" thickBot="1" x14ac:dyDescent="0.25">
      <c r="A14" s="1792"/>
      <c r="B14" s="1793"/>
      <c r="C14" s="1794"/>
      <c r="D14" s="1795" t="s">
        <v>522</v>
      </c>
      <c r="E14" s="1796" t="s">
        <v>1015</v>
      </c>
      <c r="F14" s="1797">
        <f>SUM(F8:F13)</f>
        <v>21260998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407296</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187099</v>
      </c>
      <c r="G52" s="866"/>
    </row>
    <row r="53" spans="1:7" x14ac:dyDescent="0.2">
      <c r="A53" s="870" t="s">
        <v>479</v>
      </c>
      <c r="B53" s="870" t="s">
        <v>1551</v>
      </c>
      <c r="C53" s="890">
        <f>'Expenditures 15-22'!B102</f>
        <v>4000</v>
      </c>
      <c r="D53" s="889" t="str">
        <f>'Expenditures 15-22'!A102</f>
        <v>Total Payments to Other Govt Units</v>
      </c>
      <c r="E53" s="869"/>
      <c r="F53" s="1938">
        <f>'Expenditures 15-22'!K102</f>
        <v>649243</v>
      </c>
      <c r="G53" s="866"/>
    </row>
    <row r="54" spans="1:7" x14ac:dyDescent="0.2">
      <c r="A54" s="870" t="s">
        <v>479</v>
      </c>
      <c r="B54" s="870" t="s">
        <v>1552</v>
      </c>
      <c r="C54" s="890" t="s">
        <v>1039</v>
      </c>
      <c r="D54" s="886" t="s">
        <v>1157</v>
      </c>
      <c r="E54" s="869"/>
      <c r="F54" s="1938">
        <f>'Expenditures 15-22'!G114</f>
        <v>301303</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0</v>
      </c>
      <c r="G57" s="866"/>
    </row>
    <row r="58" spans="1:7" x14ac:dyDescent="0.2">
      <c r="A58" s="870" t="s">
        <v>480</v>
      </c>
      <c r="B58" s="870" t="s">
        <v>1992</v>
      </c>
      <c r="C58" s="887" t="s">
        <v>1039</v>
      </c>
      <c r="D58" s="886" t="s">
        <v>1157</v>
      </c>
      <c r="E58" s="869"/>
      <c r="F58" s="1940">
        <f>'Expenditures 15-22'!G151</f>
        <v>23319</v>
      </c>
      <c r="G58" s="866"/>
    </row>
    <row r="59" spans="1:7" x14ac:dyDescent="0.2">
      <c r="A59" s="894" t="s">
        <v>480</v>
      </c>
      <c r="B59" s="857" t="s">
        <v>1993</v>
      </c>
      <c r="C59" s="895" t="s">
        <v>1039</v>
      </c>
      <c r="D59" s="857" t="s">
        <v>309</v>
      </c>
      <c r="F59" s="1941">
        <f>'Expenditures 15-22'!I151</f>
        <v>0</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1080781</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0</v>
      </c>
      <c r="G64" s="866"/>
    </row>
    <row r="65" spans="1:8" x14ac:dyDescent="0.2">
      <c r="A65" s="870" t="s">
        <v>481</v>
      </c>
      <c r="B65" s="870" t="s">
        <v>1999</v>
      </c>
      <c r="C65" s="887" t="s">
        <v>1039</v>
      </c>
      <c r="D65" s="886" t="s">
        <v>1157</v>
      </c>
      <c r="E65" s="869"/>
      <c r="F65" s="1938">
        <f>'Expenditures 15-22'!G210</f>
        <v>0</v>
      </c>
      <c r="G65" s="866"/>
    </row>
    <row r="66" spans="1:8" x14ac:dyDescent="0.2">
      <c r="A66" s="870" t="s">
        <v>481</v>
      </c>
      <c r="B66" s="870" t="s">
        <v>2000</v>
      </c>
      <c r="C66" s="887" t="s">
        <v>1039</v>
      </c>
      <c r="D66" s="886" t="s">
        <v>309</v>
      </c>
      <c r="E66" s="869"/>
      <c r="F66" s="1938">
        <f>'Expenditures 15-22'!I210</f>
        <v>0</v>
      </c>
      <c r="G66" s="866"/>
    </row>
    <row r="67" spans="1:8" x14ac:dyDescent="0.2">
      <c r="A67" s="870" t="s">
        <v>482</v>
      </c>
      <c r="B67" s="870" t="s">
        <v>2001</v>
      </c>
      <c r="C67" s="887" t="str">
        <f>'Expenditures 15-22'!B216</f>
        <v>1125</v>
      </c>
      <c r="D67" s="893" t="str">
        <f>'Expenditures 15-22'!A216</f>
        <v>Pre-K Programs</v>
      </c>
      <c r="E67" s="869"/>
      <c r="F67" s="1938">
        <f>'Expenditures 15-22'!K216</f>
        <v>19989</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0</v>
      </c>
      <c r="G71" s="866"/>
    </row>
    <row r="72" spans="1:8" x14ac:dyDescent="0.2">
      <c r="A72" s="870" t="s">
        <v>482</v>
      </c>
      <c r="B72" s="870" t="s">
        <v>2005</v>
      </c>
      <c r="C72" s="887">
        <f>'Expenditures 15-22'!B280</f>
        <v>3000</v>
      </c>
      <c r="D72" s="877" t="s">
        <v>469</v>
      </c>
      <c r="E72" s="869"/>
      <c r="F72" s="1938">
        <f>'Expenditures 15-22'!K280</f>
        <v>6407</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2675437</v>
      </c>
      <c r="G76" s="866"/>
    </row>
    <row r="77" spans="1:8" s="894" customFormat="1" ht="12" customHeight="1" thickTop="1" thickBot="1" x14ac:dyDescent="0.25">
      <c r="A77" s="1801"/>
      <c r="B77" s="1798"/>
      <c r="C77" s="1794"/>
      <c r="D77" s="1799" t="s">
        <v>2009</v>
      </c>
      <c r="E77" s="1796"/>
      <c r="F77" s="1802">
        <f>(F14-F76)</f>
        <v>18585561</v>
      </c>
      <c r="G77" s="870"/>
    </row>
    <row r="78" spans="1:8" s="894" customFormat="1" ht="12" customHeight="1" thickTop="1" x14ac:dyDescent="0.2">
      <c r="A78" s="1803"/>
      <c r="B78" s="1798"/>
      <c r="C78" s="1794"/>
      <c r="D78" s="1799" t="s">
        <v>2056</v>
      </c>
      <c r="E78" s="1796"/>
      <c r="F78" s="899">
        <v>1325.81</v>
      </c>
      <c r="G78" s="900"/>
      <c r="H78" s="870"/>
    </row>
    <row r="79" spans="1:8" s="894" customFormat="1" ht="12" customHeight="1" thickBot="1" x14ac:dyDescent="0.25">
      <c r="A79" s="1804"/>
      <c r="B79" s="1798"/>
      <c r="C79" s="1794"/>
      <c r="D79" s="1799" t="s">
        <v>2010</v>
      </c>
      <c r="E79" s="1796" t="s">
        <v>1015</v>
      </c>
      <c r="F79" s="1805">
        <f>IF(F78&gt;0,F77/F78," Complete Line 78")</f>
        <v>14018.268831883906</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3936</v>
      </c>
      <c r="G94" s="913"/>
    </row>
    <row r="95" spans="1:7" x14ac:dyDescent="0.2">
      <c r="A95" s="909" t="s">
        <v>142</v>
      </c>
      <c r="B95" s="909" t="s">
        <v>177</v>
      </c>
      <c r="C95" s="911">
        <v>1700</v>
      </c>
      <c r="D95" s="919" t="str">
        <f>'Revenues 9-14'!A82</f>
        <v>Total District/School Activity Income</v>
      </c>
      <c r="E95" s="907"/>
      <c r="F95" s="1811">
        <f>SUM('Revenues 9-14'!C82,'Revenues 9-14'!D82)</f>
        <v>87262</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8005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16554</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287598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73153</v>
      </c>
      <c r="G107" s="913"/>
    </row>
    <row r="108" spans="1:7" x14ac:dyDescent="0.2">
      <c r="A108" s="909" t="s">
        <v>479</v>
      </c>
      <c r="B108" s="909" t="s">
        <v>844</v>
      </c>
      <c r="C108" s="921">
        <f>'Revenues 9-14'!B145</f>
        <v>3360</v>
      </c>
      <c r="D108" s="912" t="str">
        <f>'Revenues 9-14'!A145</f>
        <v>State Free Lunch &amp; Breakfast</v>
      </c>
      <c r="E108" s="907"/>
      <c r="F108" s="1811">
        <f>'Revenues 9-14'!C145</f>
        <v>12658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851311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1895</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811291</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1019985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8974</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19756</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146213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74063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105758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2055</v>
      </c>
      <c r="C175" s="1945">
        <v>3100</v>
      </c>
      <c r="D175" s="1946" t="s">
        <v>2058</v>
      </c>
      <c r="E175" s="907"/>
      <c r="F175" s="1930"/>
      <c r="G175" s="928"/>
    </row>
    <row r="176" spans="1:7" x14ac:dyDescent="0.2">
      <c r="A176" s="1943" t="s">
        <v>685</v>
      </c>
      <c r="B176" s="1944" t="s">
        <v>2055</v>
      </c>
      <c r="C176" s="1945">
        <v>3300</v>
      </c>
      <c r="D176" s="1946" t="s">
        <v>2059</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3528412</v>
      </c>
    </row>
    <row r="179" spans="1:7" ht="12" customHeight="1" x14ac:dyDescent="0.2">
      <c r="A179" s="1792"/>
      <c r="B179" s="1806"/>
      <c r="C179" s="1807"/>
      <c r="D179" s="1808" t="s">
        <v>2012</v>
      </c>
      <c r="E179" s="1809"/>
      <c r="F179" s="1811">
        <f>'PCTC-OEPP 27-28'!F77-F178</f>
        <v>15057149</v>
      </c>
    </row>
    <row r="180" spans="1:7" ht="12" customHeight="1" x14ac:dyDescent="0.2">
      <c r="A180" s="1792"/>
      <c r="B180" s="1806"/>
      <c r="C180" s="1807"/>
      <c r="D180" s="1808" t="s">
        <v>1921</v>
      </c>
      <c r="E180" s="1809"/>
      <c r="F180" s="1811">
        <f>'Cap Outlay Deprec 26'!I18</f>
        <v>877463</v>
      </c>
    </row>
    <row r="181" spans="1:7" ht="12" customHeight="1" x14ac:dyDescent="0.2">
      <c r="A181" s="1792"/>
      <c r="B181" s="1806"/>
      <c r="C181" s="1807"/>
      <c r="D181" s="1808" t="s">
        <v>2013</v>
      </c>
      <c r="E181" s="1809"/>
      <c r="F181" s="1811">
        <f>F179+F180</f>
        <v>15934612</v>
      </c>
    </row>
    <row r="182" spans="1:7" ht="12" customHeight="1" x14ac:dyDescent="0.2">
      <c r="A182" s="1792"/>
      <c r="B182" s="1812"/>
      <c r="C182" s="1807"/>
      <c r="D182" s="1808" t="str">
        <f>D78</f>
        <v>9 Month ADA from District Average Daily Attendance/Prior General State Aid Inquiry 2017-2018</v>
      </c>
      <c r="E182" s="1809"/>
      <c r="F182" s="1813">
        <f>'PCTC-OEPP 27-28'!F78</f>
        <v>1325.81</v>
      </c>
      <c r="G182" s="931"/>
    </row>
    <row r="183" spans="1:7" ht="12" customHeight="1" thickBot="1" x14ac:dyDescent="0.25">
      <c r="A183" s="1792"/>
      <c r="B183" s="1812"/>
      <c r="C183" s="1807"/>
      <c r="D183" s="1808" t="s">
        <v>2014</v>
      </c>
      <c r="E183" s="1809" t="s">
        <v>1626</v>
      </c>
      <c r="F183" s="1814">
        <f>F181/F182</f>
        <v>12018.774937585325</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verticalCentered="1" gridLines="1"/>
  <pageMargins left="0.5" right="0.5" top="0.75" bottom="0.75" header="0.3" footer="0.75"/>
  <pageSetup scale="65"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14" sqref="C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1" t="s">
        <v>1778</v>
      </c>
      <c r="B5" s="2292"/>
      <c r="C5" s="2292"/>
      <c r="D5" s="2292"/>
      <c r="E5" s="2292"/>
      <c r="F5" s="2292"/>
      <c r="G5" s="229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447687</v>
      </c>
      <c r="F10" s="975"/>
      <c r="G10" s="976"/>
      <c r="H10" s="162"/>
      <c r="I10" s="162"/>
    </row>
    <row r="11" spans="1:9" s="669" customFormat="1" ht="22.5" customHeight="1" x14ac:dyDescent="0.2">
      <c r="A11" s="2296" t="s">
        <v>1942</v>
      </c>
      <c r="B11" s="2297"/>
      <c r="C11" s="2297"/>
      <c r="D11" s="2298"/>
      <c r="E11" s="978">
        <v>40735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v>17142</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11316877</v>
      </c>
      <c r="F19" s="1822"/>
      <c r="G19" s="1824">
        <f>'Expenditures 15-22'!K33-SUM('Expenditures 15-22'!G33,'Expenditures 15-22'!I33)+'Expenditures 15-22'!D229</f>
        <v>11316877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1133217</v>
      </c>
      <c r="F21" s="1825"/>
      <c r="G21" s="1828">
        <f>'Expenditures 15-22'!K42-SUM('Expenditures 15-22'!G42,'Expenditures 15-22'!I42)+'Expenditures 15-22'!K120-SUM('Expenditures 15-22'!G120,'Expenditures 15-22'!I120)+'Expenditures 15-22'!K180-SUM('Expenditures 15-22'!G180,'Expenditures 15-22'!I180)+'Expenditures 15-22'!D238</f>
        <v>1133217</v>
      </c>
      <c r="H21" s="988"/>
      <c r="I21" s="162"/>
    </row>
    <row r="22" spans="1:9" s="669" customFormat="1" ht="12" customHeight="1" x14ac:dyDescent="0.2">
      <c r="A22" s="995" t="s">
        <v>585</v>
      </c>
      <c r="B22" s="996"/>
      <c r="C22" s="994">
        <v>2200</v>
      </c>
      <c r="D22" s="1825"/>
      <c r="E22" s="1827">
        <f>'Expenditures 15-22'!K47-SUM('Expenditures 15-22'!G47,'Expenditures 15-22'!I47)+'Expenditures 15-22'!D243</f>
        <v>980419</v>
      </c>
      <c r="F22" s="1825"/>
      <c r="G22" s="1828">
        <f>'Expenditures 15-22'!K47-SUM('Expenditures 15-22'!G47,'Expenditures 15-22'!I47)+'Expenditures 15-22'!D243</f>
        <v>980419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802807</v>
      </c>
      <c r="F23" s="1825"/>
      <c r="G23" s="1827">
        <f>'Expenditures 15-22'!K53-SUM('Expenditures 15-22'!G53,'Expenditures 15-22'!I53)+'Expenditures 15-22'!D257+'Expenditures 15-22'!K330-SUM('Expenditures 15-22'!G330,'Expenditures 15-22'!I330)</f>
        <v>802807</v>
      </c>
      <c r="H23" s="988"/>
      <c r="I23" s="162"/>
    </row>
    <row r="24" spans="1:9" s="669" customFormat="1" ht="12" customHeight="1" x14ac:dyDescent="0.2">
      <c r="A24" s="995" t="s">
        <v>587</v>
      </c>
      <c r="B24" s="996"/>
      <c r="C24" s="994">
        <v>2400</v>
      </c>
      <c r="D24" s="1825"/>
      <c r="E24" s="1827">
        <f>'Expenditures 15-22'!K57-SUM('Expenditures 15-22'!G57,'Expenditures 15-22'!I57)+'Expenditures 15-22'!D261</f>
        <v>1063503</v>
      </c>
      <c r="F24" s="1825"/>
      <c r="G24" s="1828">
        <f>'Expenditures 15-22'!K57-SUM('Expenditures 15-22'!G57,'Expenditures 15-22'!I57)+'Expenditures 15-22'!D261</f>
        <v>1063503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76842</v>
      </c>
      <c r="E26" s="1827">
        <f>'Expenditures 15-22'!K122-SUM('Expenditures 15-22'!G122,'Expenditures 15-22'!I122)+E7</f>
        <v>0</v>
      </c>
      <c r="F26" s="1827">
        <f>'Expenditures 15-22'!K59-SUM('Expenditures 15-22'!G59,'Expenditures 15-22'!I59)+'Expenditures 15-22'!D263-E7</f>
        <v>76842</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169906</v>
      </c>
      <c r="E27" s="1827">
        <f>E8</f>
        <v>0</v>
      </c>
      <c r="F27" s="1827">
        <f>'Expenditures 15-22'!K60-SUM('Expenditures 15-22'!G60,'Expenditures 15-22'!I60)+'Expenditures 15-22'!D264-E8</f>
        <v>169906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1101207</v>
      </c>
      <c r="F28" s="1829">
        <f>'Expenditures 15-22'!K61-SUM('Expenditures 15-22'!G61,'Expenditures 15-22'!I61)+'Expenditures 15-22'!K124-SUM('Expenditures 15-22'!G124,'Expenditures 15-22'!I124)+'Expenditures 15-22'!D266-E9</f>
        <v>1101207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1396187</v>
      </c>
      <c r="F29" s="1825"/>
      <c r="G29" s="1828">
        <f>'Expenditures 15-22'!K62-SUM('Expenditures 15-22'!G62,'Expenditures 15-22'!I62)+'Expenditures 15-22'!K125-SUM('Expenditures 15-22'!G125,'Expenditures 15-22'!I125)+'Expenditures 15-22'!K182-SUM('Expenditures 15-22'!G182,'Expenditures 15-22'!I182)+'Expenditures 15-22'!D267</f>
        <v>1396187</v>
      </c>
      <c r="H29" s="986"/>
    </row>
    <row r="30" spans="1:9" ht="12" customHeight="1" x14ac:dyDescent="0.2">
      <c r="A30" s="995" t="s">
        <v>102</v>
      </c>
      <c r="B30" s="998"/>
      <c r="C30" s="994">
        <v>2560</v>
      </c>
      <c r="D30" s="1825"/>
      <c r="E30" s="1827">
        <f>'Expenditures 15-22'!K63-SUM('Expenditures 15-22'!G63,'Expenditures 15-22'!I63)+'Expenditures 15-22'!D268-E10</f>
        <v>308030</v>
      </c>
      <c r="F30" s="1825"/>
      <c r="G30" s="1827">
        <f>'Expenditures 15-22'!K63-SUM('Expenditures 15-22'!G63,'Expenditures 15-22'!I63)+'Expenditures 15-22'!D268-E10</f>
        <v>308030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17142</v>
      </c>
      <c r="F37" s="1827">
        <f>'Expenditures 15-22'!K71-SUM('Expenditures 15-22'!G71,'Expenditures 15-22'!I71)+'Expenditures 15-22'!D276-E14</f>
        <v>0</v>
      </c>
      <c r="G37" s="1827">
        <f>E14</f>
        <v>17142</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193506</v>
      </c>
      <c r="F39" s="1825"/>
      <c r="G39" s="1827">
        <f>'Expenditures 15-22'!K75-SUM('Expenditures 15-22'!G75,'Expenditures 15-22'!I75)+'Expenditures 15-22'!K130-SUM('Expenditures 15-22'!G130,'Expenditures 15-22'!I130)+'Expenditures 15-22'!K185-SUM('Expenditures 15-22'!G185,'Expenditures 15-22'!I185)+'Expenditures 15-22'!D280</f>
        <v>193506</v>
      </c>
    </row>
    <row r="40" spans="1:7" ht="12" customHeight="1" x14ac:dyDescent="0.2">
      <c r="A40" s="991" t="s">
        <v>1927</v>
      </c>
      <c r="B40" s="992"/>
      <c r="C40" s="994"/>
      <c r="D40" s="1825"/>
      <c r="E40" s="1829">
        <f>-'Contracts Paid in CY 29'!G141</f>
        <v>-2332407</v>
      </c>
      <c r="F40" s="1825"/>
      <c r="G40" s="1829">
        <f>-'Contracts Paid in CY 29'!G141</f>
        <v>-2332407</v>
      </c>
    </row>
    <row r="41" spans="1:7" ht="12" customHeight="1" x14ac:dyDescent="0.2">
      <c r="A41" s="999" t="s">
        <v>158</v>
      </c>
      <c r="B41" s="1000"/>
      <c r="C41" s="1001"/>
      <c r="D41" s="1829">
        <f>SUM(D19:D39)</f>
        <v>246748</v>
      </c>
      <c r="E41" s="1829">
        <f>SUM(E19:E40)</f>
        <v>15980488</v>
      </c>
      <c r="F41" s="1829">
        <f>SUM(F19:F39)</f>
        <v>1347955</v>
      </c>
      <c r="G41" s="1829">
        <f>SUM(G19:G40)</f>
        <v>14879281</v>
      </c>
    </row>
    <row r="42" spans="1:7" x14ac:dyDescent="0.2">
      <c r="A42" s="988"/>
      <c r="B42" s="162"/>
      <c r="C42" s="1002"/>
      <c r="D42" s="2294" t="s">
        <v>543</v>
      </c>
      <c r="E42" s="2295"/>
      <c r="F42" s="1003" t="s">
        <v>544</v>
      </c>
      <c r="G42" s="1004"/>
    </row>
    <row r="43" spans="1:7" ht="12" customHeight="1" x14ac:dyDescent="0.2">
      <c r="A43" s="988"/>
      <c r="B43" s="162"/>
      <c r="C43" s="1002"/>
      <c r="D43" s="1830" t="s">
        <v>493</v>
      </c>
      <c r="E43" s="1831">
        <f>D41</f>
        <v>246748</v>
      </c>
      <c r="F43" s="1830" t="s">
        <v>495</v>
      </c>
      <c r="G43" s="1831">
        <f>F41</f>
        <v>1347955</v>
      </c>
    </row>
    <row r="44" spans="1:7" ht="12" customHeight="1" x14ac:dyDescent="0.2">
      <c r="A44" s="988"/>
      <c r="B44" s="162"/>
      <c r="C44" s="1002"/>
      <c r="D44" s="1830" t="s">
        <v>494</v>
      </c>
      <c r="E44" s="1831">
        <f>E41</f>
        <v>15980488</v>
      </c>
      <c r="F44" s="1830" t="s">
        <v>494</v>
      </c>
      <c r="G44" s="1831">
        <f>G41</f>
        <v>14879281</v>
      </c>
    </row>
    <row r="45" spans="1:7" ht="12" customHeight="1" x14ac:dyDescent="0.2">
      <c r="A45" s="988"/>
      <c r="B45" s="162"/>
      <c r="C45" s="162"/>
      <c r="D45" s="1832" t="s">
        <v>1063</v>
      </c>
      <c r="E45" s="1833">
        <f>(E43/E44)</f>
        <v>1.5440579787050308E-2</v>
      </c>
      <c r="F45" s="1832" t="s">
        <v>1063</v>
      </c>
      <c r="G45" s="1833">
        <f>(G43/G44)</f>
        <v>9.059275108790539E-2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verticalCentered="1" gridLines="1"/>
  <pageMargins left="1" right="1" top="0.75"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C14" sqref="C14"/>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2" t="s">
        <v>1922</v>
      </c>
      <c r="B4" s="2303"/>
      <c r="C4" s="2303"/>
      <c r="D4" s="2303"/>
      <c r="E4" s="2303"/>
      <c r="F4" s="2303"/>
      <c r="G4" s="2304"/>
    </row>
    <row r="5" spans="1:7" x14ac:dyDescent="0.25">
      <c r="A5" s="2305"/>
      <c r="B5" s="2306"/>
      <c r="C5" s="2306"/>
      <c r="D5" s="2306"/>
      <c r="E5" s="2306"/>
      <c r="F5" s="2306"/>
      <c r="G5" s="2307"/>
    </row>
    <row r="6" spans="1:7" ht="18.75" x14ac:dyDescent="0.25">
      <c r="A6" s="1556" t="s">
        <v>1923</v>
      </c>
      <c r="B6" s="1557"/>
      <c r="C6" s="1557"/>
      <c r="D6" s="1557"/>
      <c r="E6" s="1557"/>
      <c r="F6" s="1557"/>
      <c r="G6" s="1558"/>
    </row>
    <row r="7" spans="1:7" ht="30.75" customHeight="1" x14ac:dyDescent="0.25">
      <c r="A7" s="2308" t="s">
        <v>2072</v>
      </c>
      <c r="B7" s="2309"/>
      <c r="C7" s="2309"/>
      <c r="D7" s="2309"/>
      <c r="E7" s="2309"/>
      <c r="F7" s="2309"/>
      <c r="G7" s="2310"/>
    </row>
    <row r="8" spans="1:7" ht="15.75" customHeight="1" x14ac:dyDescent="0.25">
      <c r="A8" s="2311" t="s">
        <v>2021</v>
      </c>
      <c r="B8" s="2312"/>
      <c r="C8" s="2312"/>
      <c r="D8" s="2312"/>
      <c r="E8" s="2312"/>
      <c r="F8" s="2312"/>
      <c r="G8" s="2313"/>
    </row>
    <row r="9" spans="1:7" ht="35.25" customHeight="1" x14ac:dyDescent="0.25">
      <c r="A9" s="2308" t="s">
        <v>2020</v>
      </c>
      <c r="B9" s="2309"/>
      <c r="C9" s="2309"/>
      <c r="D9" s="2309"/>
      <c r="E9" s="2309"/>
      <c r="F9" s="2309"/>
      <c r="G9" s="2310"/>
    </row>
    <row r="10" spans="1:7" ht="15" customHeight="1" x14ac:dyDescent="0.25">
      <c r="A10" s="1559" t="s">
        <v>1924</v>
      </c>
      <c r="B10" s="1560"/>
      <c r="C10" s="1560"/>
      <c r="D10" s="1560"/>
      <c r="E10" s="1560"/>
      <c r="F10" s="1560"/>
      <c r="G10" s="1561"/>
    </row>
    <row r="11" spans="1:7" ht="17.25" customHeight="1" x14ac:dyDescent="0.25">
      <c r="A11" s="2308" t="s">
        <v>1938</v>
      </c>
      <c r="B11" s="2309"/>
      <c r="C11" s="2309"/>
      <c r="D11" s="2309"/>
      <c r="E11" s="2309"/>
      <c r="F11" s="2309"/>
      <c r="G11" s="2310"/>
    </row>
    <row r="12" spans="1:7" ht="15" customHeight="1" x14ac:dyDescent="0.25">
      <c r="A12" s="1559" t="s">
        <v>1929</v>
      </c>
      <c r="B12" s="1560"/>
      <c r="C12" s="1560"/>
      <c r="D12" s="1560"/>
      <c r="E12" s="1560"/>
      <c r="F12" s="1560"/>
      <c r="G12" s="1561"/>
    </row>
    <row r="13" spans="1:7" ht="32.25" customHeight="1" x14ac:dyDescent="0.25">
      <c r="A13" s="2299" t="s">
        <v>1930</v>
      </c>
      <c r="B13" s="2300"/>
      <c r="C13" s="2300"/>
      <c r="D13" s="2300"/>
      <c r="E13" s="2300"/>
      <c r="F13" s="2300"/>
      <c r="G13" s="2301"/>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2098</v>
      </c>
      <c r="B17" s="1955" t="s">
        <v>2099</v>
      </c>
      <c r="C17" s="1956" t="s">
        <v>2100</v>
      </c>
      <c r="D17" s="1867">
        <v>394363</v>
      </c>
      <c r="E17" s="1562">
        <f t="shared" ref="E17:E141" si="1">IF(D17&lt;=25000,D17,IF(D17&gt;25000,25000,0))</f>
        <v>25000</v>
      </c>
      <c r="F17" s="1815">
        <f t="shared" si="0"/>
        <v>25000</v>
      </c>
      <c r="G17" s="1816">
        <f>IF(F17=0,0,D17-F17)</f>
        <v>369363</v>
      </c>
      <c r="H17" s="1669"/>
    </row>
    <row r="18" spans="1:8" x14ac:dyDescent="0.25">
      <c r="A18" s="1954" t="s">
        <v>2116</v>
      </c>
      <c r="B18" s="1955" t="s">
        <v>2101</v>
      </c>
      <c r="C18" s="1956" t="s">
        <v>2102</v>
      </c>
      <c r="D18" s="1867">
        <v>1345361</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1320361</v>
      </c>
    </row>
    <row r="19" spans="1:8" x14ac:dyDescent="0.25">
      <c r="A19" s="1954" t="s">
        <v>2103</v>
      </c>
      <c r="B19" s="1955" t="s">
        <v>2104</v>
      </c>
      <c r="C19" s="1956" t="s">
        <v>2105</v>
      </c>
      <c r="D19" s="1867">
        <v>36037</v>
      </c>
      <c r="E19" s="1562">
        <f t="shared" si="2"/>
        <v>25000</v>
      </c>
      <c r="F19" s="1815">
        <f t="shared" si="3"/>
        <v>25000</v>
      </c>
      <c r="G19" s="1816">
        <f t="shared" si="4"/>
        <v>11037</v>
      </c>
    </row>
    <row r="20" spans="1:8" x14ac:dyDescent="0.25">
      <c r="A20" s="1954" t="s">
        <v>2106</v>
      </c>
      <c r="B20" s="1955" t="s">
        <v>2107</v>
      </c>
      <c r="C20" s="1956" t="s">
        <v>2108</v>
      </c>
      <c r="D20" s="1867">
        <v>26182</v>
      </c>
      <c r="E20" s="1562">
        <f t="shared" si="2"/>
        <v>25000</v>
      </c>
      <c r="F20" s="1815">
        <f t="shared" si="3"/>
        <v>25000</v>
      </c>
      <c r="G20" s="1816">
        <f t="shared" si="4"/>
        <v>1182</v>
      </c>
    </row>
    <row r="21" spans="1:8" x14ac:dyDescent="0.25">
      <c r="A21" s="1954" t="s">
        <v>2117</v>
      </c>
      <c r="B21" s="1955" t="s">
        <v>2118</v>
      </c>
      <c r="C21" s="1956" t="s">
        <v>2109</v>
      </c>
      <c r="D21" s="1867">
        <v>366745</v>
      </c>
      <c r="E21" s="1562">
        <f t="shared" si="2"/>
        <v>25000</v>
      </c>
      <c r="F21" s="1815">
        <f t="shared" si="3"/>
        <v>25000</v>
      </c>
      <c r="G21" s="1816">
        <f t="shared" si="4"/>
        <v>341745</v>
      </c>
    </row>
    <row r="22" spans="1:8" x14ac:dyDescent="0.25">
      <c r="A22" s="1954" t="s">
        <v>2103</v>
      </c>
      <c r="B22" s="1955" t="s">
        <v>2104</v>
      </c>
      <c r="C22" s="1956" t="s">
        <v>2110</v>
      </c>
      <c r="D22" s="1867">
        <v>53515</v>
      </c>
      <c r="E22" s="1562">
        <f t="shared" si="2"/>
        <v>25000</v>
      </c>
      <c r="F22" s="1815">
        <f t="shared" si="3"/>
        <v>25000</v>
      </c>
      <c r="G22" s="1816">
        <f t="shared" si="4"/>
        <v>28515</v>
      </c>
    </row>
    <row r="23" spans="1:8" x14ac:dyDescent="0.25">
      <c r="A23" s="1954" t="s">
        <v>2112</v>
      </c>
      <c r="B23" s="1955" t="s">
        <v>2111</v>
      </c>
      <c r="C23" s="1956" t="s">
        <v>2113</v>
      </c>
      <c r="D23" s="1867">
        <v>76064</v>
      </c>
      <c r="E23" s="1562">
        <f t="shared" si="2"/>
        <v>25000</v>
      </c>
      <c r="F23" s="1815">
        <f t="shared" si="3"/>
        <v>25000</v>
      </c>
      <c r="G23" s="1816">
        <f t="shared" si="4"/>
        <v>51064</v>
      </c>
    </row>
    <row r="24" spans="1:8" x14ac:dyDescent="0.25">
      <c r="A24" s="1954" t="s">
        <v>2103</v>
      </c>
      <c r="B24" s="1955" t="s">
        <v>2104</v>
      </c>
      <c r="C24" s="1956" t="s">
        <v>2114</v>
      </c>
      <c r="D24" s="1867">
        <v>30428</v>
      </c>
      <c r="E24" s="1562">
        <f t="shared" si="2"/>
        <v>25000</v>
      </c>
      <c r="F24" s="1815">
        <f t="shared" si="3"/>
        <v>25000</v>
      </c>
      <c r="G24" s="1816">
        <f t="shared" si="4"/>
        <v>5428</v>
      </c>
    </row>
    <row r="25" spans="1:8" x14ac:dyDescent="0.25">
      <c r="A25" s="1954" t="s">
        <v>2112</v>
      </c>
      <c r="B25" s="1955" t="s">
        <v>2111</v>
      </c>
      <c r="C25" s="1956" t="s">
        <v>2115</v>
      </c>
      <c r="D25" s="1867">
        <v>228712</v>
      </c>
      <c r="E25" s="1562">
        <f t="shared" si="2"/>
        <v>25000</v>
      </c>
      <c r="F25" s="1815">
        <f t="shared" si="3"/>
        <v>25000</v>
      </c>
      <c r="G25" s="1816">
        <f t="shared" si="4"/>
        <v>203712</v>
      </c>
    </row>
    <row r="26" spans="1:8" x14ac:dyDescent="0.25">
      <c r="A26" s="1954"/>
      <c r="B26" s="1955"/>
      <c r="C26" s="1956"/>
      <c r="D26" s="1867"/>
      <c r="E26" s="1562">
        <f t="shared" si="2"/>
        <v>0</v>
      </c>
      <c r="F26" s="1815">
        <f t="shared" si="3"/>
        <v>0</v>
      </c>
      <c r="G26" s="1816">
        <f t="shared" si="4"/>
        <v>0</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2557407</v>
      </c>
      <c r="E141" s="1563">
        <f t="shared" si="1"/>
        <v>25000</v>
      </c>
      <c r="F141" s="1817">
        <f>SUM(F17:F140)</f>
        <v>225000</v>
      </c>
      <c r="G141" s="1818">
        <f>SUM(G17:G140)</f>
        <v>2332407</v>
      </c>
    </row>
  </sheetData>
  <sheetProtection sheet="1" selectLockedCells="1"/>
  <mergeCells count="6">
    <mergeCell ref="A13:G13"/>
    <mergeCell ref="A4:G5"/>
    <mergeCell ref="A11:G11"/>
    <mergeCell ref="A7:G7"/>
    <mergeCell ref="A8:G8"/>
    <mergeCell ref="A9:G9"/>
  </mergeCells>
  <printOptions horizontalCentered="1" verticalCentered="1"/>
  <pageMargins left="1" right="1" top="1" bottom="1" header="0.5" footer="0.55000000000000004"/>
  <pageSetup scale="70" firstPageNumber="30" fitToHeight="0" orientation="landscape" r:id="rId1"/>
  <headerFooter>
    <oddFooter>&amp;CSee Independent Auditors' Report.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14" sqref="C14"/>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8" t="s">
        <v>1446</v>
      </c>
      <c r="B1" s="2328"/>
      <c r="C1" s="2328"/>
      <c r="D1" s="2328"/>
      <c r="E1" s="2328"/>
      <c r="F1" s="2328"/>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9" t="s">
        <v>1627</v>
      </c>
      <c r="B5" s="2330"/>
      <c r="C5" s="2331"/>
      <c r="D5" s="2331"/>
      <c r="E5" s="2331"/>
      <c r="F5" s="2331"/>
    </row>
    <row r="6" spans="1:10" ht="12" customHeight="1" x14ac:dyDescent="0.25">
      <c r="A6" s="1874"/>
      <c r="B6" s="1875"/>
      <c r="C6" s="2332" t="str">
        <f>COVER!A17</f>
        <v>Carbondale ESD 95</v>
      </c>
      <c r="D6" s="2332"/>
      <c r="E6" s="2332"/>
      <c r="F6" s="1876"/>
    </row>
    <row r="7" spans="1:10" ht="11.25" customHeight="1" thickBot="1" x14ac:dyDescent="0.3">
      <c r="A7" s="1874"/>
      <c r="B7" s="1875"/>
      <c r="C7" s="2333">
        <f>COVER!A13</f>
        <v>30039095002</v>
      </c>
      <c r="D7" s="2333"/>
      <c r="E7" s="2333"/>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2078</v>
      </c>
      <c r="D19" s="1889" t="s">
        <v>2078</v>
      </c>
      <c r="E19" s="1892"/>
      <c r="F19" s="1891" t="s">
        <v>2119</v>
      </c>
      <c r="H19" s="1902">
        <f t="shared" si="0"/>
        <v>5</v>
      </c>
      <c r="I19" s="1902">
        <f t="shared" si="1"/>
        <v>5</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2078</v>
      </c>
      <c r="D26" s="1889" t="s">
        <v>2078</v>
      </c>
      <c r="E26" s="1892"/>
      <c r="F26" s="1891" t="s">
        <v>2120</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2078</v>
      </c>
      <c r="D31" s="1889" t="s">
        <v>2078</v>
      </c>
      <c r="E31" s="1892"/>
      <c r="F31" s="1891" t="s">
        <v>2122</v>
      </c>
      <c r="H31" s="1902">
        <f t="shared" si="0"/>
        <v>5</v>
      </c>
      <c r="I31" s="1902">
        <f t="shared" si="1"/>
        <v>5</v>
      </c>
      <c r="J31" s="1902">
        <f t="shared" si="2"/>
        <v>0</v>
      </c>
      <c r="L31" s="1893"/>
    </row>
    <row r="32" spans="1:12" ht="12" customHeight="1" x14ac:dyDescent="0.2">
      <c r="A32" s="1887" t="s">
        <v>1621</v>
      </c>
      <c r="B32" s="1888"/>
      <c r="C32" s="1889" t="s">
        <v>2078</v>
      </c>
      <c r="D32" s="1889" t="s">
        <v>2078</v>
      </c>
      <c r="E32" s="1892"/>
      <c r="F32" s="1891" t="s">
        <v>2121</v>
      </c>
      <c r="H32" s="1902">
        <f t="shared" si="0"/>
        <v>5</v>
      </c>
      <c r="I32" s="1902">
        <f t="shared" si="1"/>
        <v>5</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20</v>
      </c>
      <c r="I34" s="1902">
        <f>SUM(I11:I32)</f>
        <v>20</v>
      </c>
      <c r="J34" s="1902">
        <f>SUM(J11:J32)</f>
        <v>0</v>
      </c>
      <c r="K34" s="1902">
        <f>SUM(H34:J34)</f>
        <v>40</v>
      </c>
    </row>
    <row r="35" spans="1:11" ht="12" customHeight="1" x14ac:dyDescent="0.2">
      <c r="A35" s="1895" t="s">
        <v>1459</v>
      </c>
      <c r="B35" s="1896"/>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97"/>
      <c r="B39" s="1897"/>
      <c r="C39" s="1897"/>
      <c r="D39" s="1897"/>
      <c r="E39" s="1897"/>
      <c r="F39" s="1897"/>
    </row>
    <row r="40" spans="1:11" s="1894" customFormat="1" ht="12" customHeight="1" x14ac:dyDescent="0.25">
      <c r="A40" s="1898" t="s">
        <v>1458</v>
      </c>
      <c r="B40" s="1899"/>
      <c r="C40" s="2323"/>
      <c r="D40" s="2323"/>
      <c r="E40" s="2323"/>
      <c r="F40" s="2324"/>
      <c r="H40" s="1903"/>
      <c r="I40" s="1903"/>
      <c r="J40" s="1903"/>
      <c r="K40" s="1903"/>
    </row>
    <row r="41" spans="1:11" s="1894" customFormat="1" ht="12" customHeight="1" x14ac:dyDescent="0.25">
      <c r="A41" s="2325"/>
      <c r="B41" s="2326"/>
      <c r="C41" s="2326"/>
      <c r="D41" s="2326"/>
      <c r="E41" s="2326"/>
      <c r="F41" s="2327"/>
      <c r="H41" s="1903"/>
      <c r="I41" s="1903"/>
      <c r="J41" s="1903"/>
      <c r="K41" s="1903"/>
    </row>
    <row r="42" spans="1:11" s="1894" customFormat="1" ht="12" customHeight="1" x14ac:dyDescent="0.25">
      <c r="A42" s="2325"/>
      <c r="B42" s="2326"/>
      <c r="C42" s="2326"/>
      <c r="D42" s="2326"/>
      <c r="E42" s="2326"/>
      <c r="F42" s="2327"/>
      <c r="H42" s="1903"/>
      <c r="I42" s="1903"/>
      <c r="J42" s="1903"/>
      <c r="K42" s="1903"/>
    </row>
    <row r="43" spans="1:11" s="1894" customFormat="1" ht="15" x14ac:dyDescent="0.25">
      <c r="A43" s="2314"/>
      <c r="B43" s="2315"/>
      <c r="C43" s="2315"/>
      <c r="D43" s="2315"/>
      <c r="E43" s="2315"/>
      <c r="F43" s="2316"/>
      <c r="H43" s="1903"/>
      <c r="I43" s="1903"/>
      <c r="J43" s="1903"/>
      <c r="K43" s="1903"/>
    </row>
    <row r="44" spans="1:11" s="1894" customFormat="1" ht="12" hidden="1" customHeight="1" x14ac:dyDescent="0.25">
      <c r="A44" s="2314"/>
      <c r="B44" s="2315"/>
      <c r="C44" s="2315"/>
      <c r="D44" s="2315"/>
      <c r="E44" s="2315"/>
      <c r="F44" s="2316"/>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verticalCentered="1" gridLines="1"/>
  <pageMargins left="1" right="1" top="0.75" bottom="0.75" header="0.5" footer="0.5"/>
  <pageSetup scale="67"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41" t="str">
        <f>COVER!A17</f>
        <v>Carbondale ESD 95</v>
      </c>
      <c r="J6" s="2342"/>
      <c r="Q6" s="1686"/>
    </row>
    <row r="7" spans="1:17" x14ac:dyDescent="0.2">
      <c r="A7" s="2343" t="s">
        <v>924</v>
      </c>
      <c r="B7" s="2344"/>
      <c r="C7" s="2344"/>
      <c r="D7" s="2344"/>
      <c r="E7" s="2345"/>
      <c r="F7" s="1018"/>
      <c r="G7" s="1010"/>
      <c r="H7" s="1017" t="s">
        <v>390</v>
      </c>
      <c r="I7" s="2346">
        <f>COVER!A13</f>
        <v>30039095002</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112081</v>
      </c>
      <c r="F12" s="1040"/>
      <c r="G12" s="1834">
        <f t="shared" ref="G12:G18" si="0">SUM(E12:F12)</f>
        <v>112081</v>
      </c>
      <c r="H12" s="1041">
        <v>214317</v>
      </c>
      <c r="I12" s="1040"/>
      <c r="J12" s="1834">
        <f t="shared" ref="J12:J18" si="1">SUM(H12:I12)</f>
        <v>214317</v>
      </c>
    </row>
    <row r="13" spans="1:17" ht="15" customHeight="1" x14ac:dyDescent="0.2">
      <c r="A13" s="1036">
        <v>2</v>
      </c>
      <c r="B13" s="1037" t="s">
        <v>44</v>
      </c>
      <c r="C13" s="1038"/>
      <c r="D13" s="1039">
        <v>2330</v>
      </c>
      <c r="E13" s="1834">
        <f>'Expenditures 15-22'!K51</f>
        <v>176702</v>
      </c>
      <c r="F13" s="1040"/>
      <c r="G13" s="1834">
        <f t="shared" si="0"/>
        <v>176702</v>
      </c>
      <c r="H13" s="1041">
        <v>141764</v>
      </c>
      <c r="I13" s="1040"/>
      <c r="J13" s="1834">
        <f t="shared" si="1"/>
        <v>141764</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75930</v>
      </c>
      <c r="F15" s="1834">
        <f>'Expenditures 15-22'!K122</f>
        <v>0</v>
      </c>
      <c r="G15" s="1834">
        <f t="shared" si="0"/>
        <v>75930</v>
      </c>
      <c r="H15" s="1041">
        <v>77423</v>
      </c>
      <c r="I15" s="1041"/>
      <c r="J15" s="1834">
        <f t="shared" si="1"/>
        <v>77423</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364713</v>
      </c>
      <c r="F19" s="1836">
        <f t="shared" si="2"/>
        <v>0</v>
      </c>
      <c r="G19" s="1836">
        <f t="shared" si="2"/>
        <v>364713</v>
      </c>
      <c r="H19" s="1836">
        <f t="shared" si="2"/>
        <v>433504</v>
      </c>
      <c r="I19" s="1836">
        <f t="shared" si="2"/>
        <v>0</v>
      </c>
      <c r="J19" s="1836">
        <f t="shared" si="2"/>
        <v>433504</v>
      </c>
    </row>
    <row r="20" spans="1:10" ht="13.5" thickTop="1" x14ac:dyDescent="0.2">
      <c r="A20" s="1036">
        <v>9</v>
      </c>
      <c r="B20" s="2353" t="s">
        <v>1703</v>
      </c>
      <c r="C20" s="2353"/>
      <c r="D20" s="2354"/>
      <c r="E20" s="1047"/>
      <c r="F20" s="1047"/>
      <c r="G20" s="1047"/>
      <c r="H20" s="1047"/>
      <c r="I20" s="1047"/>
      <c r="J20" s="1837">
        <f>IF(AND(G19&gt;0,J19&gt;0),(((J19-G19)/G19)),"Enter Budget Data")</f>
        <v>0.18861680280110663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c r="D28" s="2357"/>
      <c r="E28" s="1055"/>
      <c r="F28" s="2357"/>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1941</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1" right="1" top="1" bottom="0.75" header="0.5"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F65"/>
  <sheetViews>
    <sheetView showGridLines="0" zoomScale="110" zoomScaleNormal="110" workbookViewId="0"/>
  </sheetViews>
  <sheetFormatPr defaultColWidth="9.140625" defaultRowHeight="12.75" x14ac:dyDescent="0.2"/>
  <cols>
    <col min="1" max="1" width="3" style="329" customWidth="1"/>
    <col min="2" max="2" width="23.5703125" style="329" customWidth="1"/>
    <col min="3" max="3" width="8.140625" style="329" customWidth="1"/>
    <col min="4" max="4" width="12.85546875" style="329" customWidth="1"/>
    <col min="5" max="5" width="34.7109375" style="329" customWidth="1"/>
    <col min="6" max="16384" width="9.140625" style="329"/>
  </cols>
  <sheetData>
    <row r="2" spans="1:6" x14ac:dyDescent="0.2">
      <c r="A2" s="389" t="s">
        <v>276</v>
      </c>
    </row>
    <row r="3" spans="1:6" x14ac:dyDescent="0.2">
      <c r="A3" s="329" t="s">
        <v>277</v>
      </c>
    </row>
    <row r="4" spans="1:6" x14ac:dyDescent="0.2">
      <c r="B4" s="1957" t="s">
        <v>2123</v>
      </c>
      <c r="C4" s="1957" t="s">
        <v>1137</v>
      </c>
      <c r="D4" s="1957" t="s">
        <v>2124</v>
      </c>
      <c r="E4" s="1957" t="s">
        <v>502</v>
      </c>
      <c r="F4" s="1957" t="s">
        <v>920</v>
      </c>
    </row>
    <row r="5" spans="1:6" x14ac:dyDescent="0.2">
      <c r="A5" s="1069">
        <v>1</v>
      </c>
      <c r="B5" s="1958">
        <v>190</v>
      </c>
      <c r="C5" s="1958">
        <v>10</v>
      </c>
      <c r="D5" s="1958"/>
      <c r="E5" s="329" t="s">
        <v>2203</v>
      </c>
      <c r="F5" s="1959">
        <v>7584</v>
      </c>
    </row>
    <row r="6" spans="1:6" x14ac:dyDescent="0.2">
      <c r="A6" s="1069"/>
      <c r="B6" s="1958"/>
      <c r="C6" s="1958"/>
      <c r="D6" s="1958"/>
      <c r="E6" s="329" t="s">
        <v>2204</v>
      </c>
      <c r="F6" s="1961">
        <v>1119</v>
      </c>
    </row>
    <row r="7" spans="1:6" x14ac:dyDescent="0.2">
      <c r="A7" s="1069"/>
      <c r="B7" s="1958"/>
      <c r="C7" s="1958"/>
      <c r="D7" s="1958"/>
      <c r="F7" s="1960">
        <f>SUM(F5:F6)</f>
        <v>8703</v>
      </c>
    </row>
    <row r="8" spans="1:6" x14ac:dyDescent="0.2">
      <c r="A8" s="1069"/>
      <c r="B8" s="1958"/>
      <c r="C8" s="1958"/>
      <c r="D8" s="1958"/>
      <c r="F8" s="1959"/>
    </row>
    <row r="9" spans="1:6" x14ac:dyDescent="0.2">
      <c r="A9" s="1069">
        <v>2</v>
      </c>
      <c r="B9" s="1958">
        <v>1999</v>
      </c>
      <c r="C9" s="1958">
        <v>10</v>
      </c>
      <c r="D9" s="1958"/>
      <c r="E9" s="329" t="s">
        <v>2205</v>
      </c>
      <c r="F9" s="1959">
        <v>211</v>
      </c>
    </row>
    <row r="10" spans="1:6" x14ac:dyDescent="0.2">
      <c r="A10" s="1070"/>
      <c r="B10" s="1958"/>
      <c r="C10" s="1958"/>
      <c r="D10" s="1958"/>
      <c r="E10" s="329" t="s">
        <v>2206</v>
      </c>
      <c r="F10" s="1962">
        <v>41683</v>
      </c>
    </row>
    <row r="11" spans="1:6" x14ac:dyDescent="0.2">
      <c r="A11" s="1070"/>
      <c r="B11" s="1958"/>
      <c r="C11" s="1958"/>
      <c r="D11" s="1958"/>
      <c r="E11" s="329" t="s">
        <v>2207</v>
      </c>
      <c r="F11" s="1961">
        <v>8483</v>
      </c>
    </row>
    <row r="12" spans="1:6" x14ac:dyDescent="0.2">
      <c r="A12" s="1070"/>
      <c r="B12" s="1958"/>
      <c r="C12" s="1958"/>
      <c r="D12" s="1958"/>
      <c r="F12" s="1960">
        <f>SUM(F9:F11)</f>
        <v>50377</v>
      </c>
    </row>
    <row r="13" spans="1:6" x14ac:dyDescent="0.2">
      <c r="A13" s="1070"/>
      <c r="B13" s="1958"/>
      <c r="C13" s="1958"/>
      <c r="D13" s="1958"/>
      <c r="F13" s="1959"/>
    </row>
    <row r="14" spans="1:6" x14ac:dyDescent="0.2">
      <c r="A14" s="1069">
        <v>3</v>
      </c>
      <c r="B14" s="1958">
        <v>3999</v>
      </c>
      <c r="C14" s="1958">
        <v>10</v>
      </c>
      <c r="D14" s="1958"/>
      <c r="E14" s="329" t="s">
        <v>2208</v>
      </c>
      <c r="F14" s="1960">
        <v>1895</v>
      </c>
    </row>
    <row r="15" spans="1:6" x14ac:dyDescent="0.2">
      <c r="A15" s="1070"/>
      <c r="B15" s="1958"/>
      <c r="C15" s="1958"/>
      <c r="D15" s="1958"/>
      <c r="F15" s="1959"/>
    </row>
    <row r="16" spans="1:6" x14ac:dyDescent="0.2">
      <c r="A16" s="1069">
        <v>4</v>
      </c>
      <c r="B16" s="1958">
        <v>2190</v>
      </c>
      <c r="C16" s="1958">
        <v>10</v>
      </c>
      <c r="D16" s="1958">
        <v>100</v>
      </c>
      <c r="E16" s="329" t="s">
        <v>2210</v>
      </c>
      <c r="F16" s="1960">
        <v>50380</v>
      </c>
    </row>
    <row r="17" spans="1:6" x14ac:dyDescent="0.2">
      <c r="A17" s="1070"/>
      <c r="B17" s="1958"/>
      <c r="C17" s="1958"/>
      <c r="D17" s="1958"/>
      <c r="F17" s="1959"/>
    </row>
    <row r="18" spans="1:6" x14ac:dyDescent="0.2">
      <c r="A18" s="1069">
        <v>5</v>
      </c>
      <c r="B18" s="1958">
        <v>2190</v>
      </c>
      <c r="C18" s="1958">
        <v>10</v>
      </c>
      <c r="D18" s="1958">
        <v>200</v>
      </c>
      <c r="E18" s="329" t="s">
        <v>2211</v>
      </c>
      <c r="F18" s="1960">
        <v>6827</v>
      </c>
    </row>
    <row r="19" spans="1:6" x14ac:dyDescent="0.2">
      <c r="A19" s="1070"/>
      <c r="B19" s="1958"/>
      <c r="C19" s="1958"/>
      <c r="D19" s="1958"/>
      <c r="F19" s="1959"/>
    </row>
    <row r="20" spans="1:6" x14ac:dyDescent="0.2">
      <c r="A20" s="1069">
        <v>6</v>
      </c>
      <c r="B20" s="1958">
        <v>2190</v>
      </c>
      <c r="C20" s="1958">
        <v>10</v>
      </c>
      <c r="D20" s="1958">
        <v>400</v>
      </c>
      <c r="E20" s="329" t="s">
        <v>2212</v>
      </c>
      <c r="F20" s="1960">
        <v>9554</v>
      </c>
    </row>
    <row r="21" spans="1:6" x14ac:dyDescent="0.2">
      <c r="A21" s="1070"/>
      <c r="B21" s="1958"/>
      <c r="C21" s="1958"/>
      <c r="D21" s="1958"/>
      <c r="F21" s="1959"/>
    </row>
    <row r="22" spans="1:6" x14ac:dyDescent="0.2">
      <c r="A22" s="1069">
        <v>7</v>
      </c>
      <c r="B22" s="1958">
        <v>4190</v>
      </c>
      <c r="C22" s="1958">
        <v>10</v>
      </c>
      <c r="D22" s="1958">
        <v>600</v>
      </c>
      <c r="E22" s="329" t="s">
        <v>2209</v>
      </c>
      <c r="F22" s="1960">
        <v>3707</v>
      </c>
    </row>
    <row r="23" spans="1:6" x14ac:dyDescent="0.2">
      <c r="A23" s="1070"/>
      <c r="B23" s="1958"/>
      <c r="C23" s="1958"/>
      <c r="D23" s="1958"/>
      <c r="F23" s="1959"/>
    </row>
    <row r="24" spans="1:6" x14ac:dyDescent="0.2">
      <c r="A24" s="1069">
        <v>8</v>
      </c>
      <c r="B24" s="1958">
        <v>5400</v>
      </c>
      <c r="C24" s="1958">
        <v>30</v>
      </c>
      <c r="D24" s="1958">
        <v>600</v>
      </c>
      <c r="E24" s="329" t="s">
        <v>2213</v>
      </c>
      <c r="F24" s="1960">
        <v>800</v>
      </c>
    </row>
    <row r="25" spans="1:6" x14ac:dyDescent="0.2">
      <c r="A25" s="1070"/>
      <c r="B25" s="1958"/>
      <c r="C25" s="1958"/>
      <c r="D25" s="1958"/>
      <c r="F25" s="1959"/>
    </row>
    <row r="26" spans="1:6" x14ac:dyDescent="0.2">
      <c r="A26" s="1069">
        <v>9</v>
      </c>
      <c r="B26" s="1958">
        <v>2190</v>
      </c>
      <c r="C26" s="1958">
        <v>50</v>
      </c>
      <c r="D26" s="1958">
        <v>200</v>
      </c>
      <c r="E26" s="329" t="s">
        <v>2214</v>
      </c>
      <c r="F26" s="1960">
        <v>9973</v>
      </c>
    </row>
    <row r="27" spans="1:6" x14ac:dyDescent="0.2">
      <c r="A27" s="1070"/>
      <c r="F27" s="1959"/>
    </row>
    <row r="28" spans="1:6" x14ac:dyDescent="0.2">
      <c r="A28" s="1070"/>
    </row>
    <row r="29" spans="1:6" x14ac:dyDescent="0.2">
      <c r="A29" s="1070"/>
    </row>
    <row r="30" spans="1:6" x14ac:dyDescent="0.2">
      <c r="A30" s="1070"/>
    </row>
    <row r="31" spans="1:6" x14ac:dyDescent="0.2">
      <c r="A31" s="1070"/>
    </row>
    <row r="32" spans="1:6"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Carbondale ESD 95</v>
      </c>
    </row>
    <row r="65" spans="2:2" x14ac:dyDescent="0.2">
      <c r="B65" s="1071">
        <f>COVER!A13</f>
        <v>30039095002</v>
      </c>
    </row>
  </sheetData>
  <phoneticPr fontId="13" type="noConversion"/>
  <printOptions horizontalCentered="1" verticalCentered="1"/>
  <pageMargins left="1" right="1" top="1" bottom="1" header="0.5" footer="1"/>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0" t="s">
        <v>1784</v>
      </c>
      <c r="B18" s="236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6865" r:id="rId4">
          <objectPr defaultSize="0" r:id="rId5">
            <anchor moveWithCells="1">
              <from>
                <xdr:col>1</xdr:col>
                <xdr:colOff>2543175</xdr:colOff>
                <xdr:row>2</xdr:row>
                <xdr:rowOff>76200</xdr:rowOff>
              </from>
              <to>
                <xdr:col>1</xdr:col>
                <xdr:colOff>3457575</xdr:colOff>
                <xdr:row>6</xdr:row>
                <xdr:rowOff>114300</xdr:rowOff>
              </to>
            </anchor>
          </objectPr>
        </oleObject>
      </mc:Choice>
      <mc:Fallback>
        <oleObject progId="PDF"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17" sqref="G1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5"/>
      <c r="H2" s="1075"/>
    </row>
    <row r="3" spans="1:8" ht="57" customHeight="1" x14ac:dyDescent="0.2">
      <c r="A3" s="2374" t="s">
        <v>1786</v>
      </c>
      <c r="B3" s="2375"/>
      <c r="C3" s="2375"/>
      <c r="D3" s="2375"/>
      <c r="E3" s="2375"/>
      <c r="F3" s="2376"/>
      <c r="G3" s="1075"/>
      <c r="H3" s="1075"/>
    </row>
    <row r="4" spans="1:8" ht="14.25" customHeight="1" x14ac:dyDescent="0.2">
      <c r="A4" s="2380" t="s">
        <v>2053</v>
      </c>
      <c r="B4" s="2381"/>
      <c r="C4" s="2381"/>
      <c r="D4" s="2381"/>
      <c r="E4" s="2381"/>
      <c r="F4" s="2382"/>
      <c r="G4" s="1075"/>
      <c r="H4" s="1075"/>
    </row>
    <row r="5" spans="1:8" ht="14.25" customHeight="1" x14ac:dyDescent="0.2">
      <c r="A5" s="2383" t="s">
        <v>2054</v>
      </c>
      <c r="B5" s="2384"/>
      <c r="C5" s="2384"/>
      <c r="D5" s="2384"/>
      <c r="E5" s="2384"/>
      <c r="F5" s="2385"/>
      <c r="G5" s="1075"/>
      <c r="H5" s="1075"/>
    </row>
    <row r="6" spans="1:8" s="1076" customFormat="1" ht="41.25" customHeight="1" x14ac:dyDescent="0.2">
      <c r="A6" s="2377" t="s">
        <v>1792</v>
      </c>
      <c r="B6" s="2378"/>
      <c r="C6" s="2378"/>
      <c r="D6" s="2378"/>
      <c r="E6" s="2378"/>
      <c r="F6" s="237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16706643</v>
      </c>
      <c r="C8" s="1838">
        <f>'Acct Summary 7-8'!D8</f>
        <v>1096858</v>
      </c>
      <c r="D8" s="1838">
        <f>'Acct Summary 7-8'!F8</f>
        <v>1643259</v>
      </c>
      <c r="E8" s="1838">
        <f>'Acct Summary 7-8'!I8</f>
        <v>17663</v>
      </c>
      <c r="F8" s="1838">
        <f>SUM(B8:E8)</f>
        <v>19464423</v>
      </c>
    </row>
    <row r="9" spans="1:8" s="1080" customFormat="1" ht="14.25" customHeight="1" thickBot="1" x14ac:dyDescent="0.25">
      <c r="A9" s="1079" t="s">
        <v>1436</v>
      </c>
      <c r="B9" s="1839">
        <f>'Acct Summary 7-8'!C17</f>
        <v>16694594</v>
      </c>
      <c r="C9" s="1839">
        <f>'Acct Summary 7-8'!D17</f>
        <v>1085001</v>
      </c>
      <c r="D9" s="1839">
        <f>'Acct Summary 7-8'!F17</f>
        <v>1242590</v>
      </c>
      <c r="E9" s="1838"/>
      <c r="F9" s="1838">
        <f>SUM(B9:E9)</f>
        <v>19022185</v>
      </c>
    </row>
    <row r="10" spans="1:8" s="1080" customFormat="1" ht="14.25" thickTop="1" thickBot="1" x14ac:dyDescent="0.25">
      <c r="A10" s="1081" t="s">
        <v>1437</v>
      </c>
      <c r="B10" s="1840">
        <f>(B8-B9)</f>
        <v>12049</v>
      </c>
      <c r="C10" s="1840">
        <f>(C8-C9)</f>
        <v>11857</v>
      </c>
      <c r="D10" s="1840">
        <f>(D8-D9)</f>
        <v>400669</v>
      </c>
      <c r="E10" s="1839">
        <f>(E8-E9)</f>
        <v>17663</v>
      </c>
      <c r="F10" s="1841">
        <f>SUM(F8-F9)</f>
        <v>442238</v>
      </c>
    </row>
    <row r="11" spans="1:8" s="1080" customFormat="1" ht="14.25" thickTop="1" thickBot="1" x14ac:dyDescent="0.25">
      <c r="A11" s="1082" t="s">
        <v>1785</v>
      </c>
      <c r="B11" s="1842">
        <f>'Acct Summary 7-8'!C81</f>
        <v>2044267</v>
      </c>
      <c r="C11" s="1842">
        <f>'Acct Summary 7-8'!D81</f>
        <v>420825</v>
      </c>
      <c r="D11" s="1842">
        <f>'Acct Summary 7-8'!F81</f>
        <v>861716</v>
      </c>
      <c r="E11" s="1842">
        <f>'Acct Summary 7-8'!I81</f>
        <v>6390038</v>
      </c>
      <c r="F11" s="1843">
        <f>SUM(B11:E11)</f>
        <v>9716846</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1787</v>
      </c>
      <c r="B16" s="2364"/>
      <c r="C16" s="2364"/>
      <c r="D16" s="2364"/>
      <c r="E16" s="236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verticalCentered="1" gridLine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C90" sqref="C9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6" t="s">
        <v>686</v>
      </c>
      <c r="B3" s="2387"/>
      <c r="C3" s="2387"/>
      <c r="D3" s="2388"/>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7" t="s">
        <v>1584</v>
      </c>
      <c r="D7" s="2398"/>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1" t="s">
        <v>332</v>
      </c>
      <c r="D21" s="2402"/>
    </row>
    <row r="22" spans="1:10" ht="12.75" x14ac:dyDescent="0.2">
      <c r="A22" s="1140"/>
      <c r="B22" s="1141">
        <v>2</v>
      </c>
      <c r="C22" s="2399" t="s">
        <v>1605</v>
      </c>
      <c r="D22" s="240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3" t="s">
        <v>557</v>
      </c>
      <c r="D43" s="240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5" t="s">
        <v>817</v>
      </c>
      <c r="D56" s="239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5" t="s">
        <v>1797</v>
      </c>
      <c r="D70" s="239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30039095002</v>
      </c>
    </row>
    <row r="3" spans="1:2" x14ac:dyDescent="0.2">
      <c r="A3" t="s">
        <v>1013</v>
      </c>
      <c r="B3" s="138" t="str">
        <f>COVER!A15</f>
        <v>Jackson</v>
      </c>
    </row>
    <row r="4" spans="1:2" x14ac:dyDescent="0.2">
      <c r="A4" t="s">
        <v>1064</v>
      </c>
      <c r="B4" s="138" t="str">
        <f>COVER!A17</f>
        <v>Carbondale ESD 95</v>
      </c>
    </row>
    <row r="5" spans="1:2" x14ac:dyDescent="0.2">
      <c r="A5" t="s">
        <v>728</v>
      </c>
      <c r="B5" s="138" t="str">
        <f>COVER!A38</f>
        <v>Justin Miller, Assistant Superintendent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066-003889</v>
      </c>
    </row>
    <row r="16" spans="1:2" x14ac:dyDescent="0.2">
      <c r="A16" t="s">
        <v>442</v>
      </c>
      <c r="B16" s="138" t="str">
        <f>COVER!T13</f>
        <v>Beussink, Hey, Roe &amp; Stroder, L.L.C.</v>
      </c>
    </row>
    <row r="17" spans="1:2" x14ac:dyDescent="0.2">
      <c r="A17" t="s">
        <v>939</v>
      </c>
      <c r="B17" s="138" t="str">
        <f>COVER!T15</f>
        <v>Jeffrey C. Stroder, CPA</v>
      </c>
    </row>
    <row r="18" spans="1:2" x14ac:dyDescent="0.2">
      <c r="A18" t="s">
        <v>1212</v>
      </c>
      <c r="B18" s="138" t="str">
        <f>COVER!T17</f>
        <v>16 S. Silver Springs Road</v>
      </c>
    </row>
    <row r="19" spans="1:2" x14ac:dyDescent="0.2">
      <c r="A19" t="s">
        <v>941</v>
      </c>
      <c r="B19" s="138" t="str">
        <f>COVER!T25</f>
        <v>jstroder@bhrcpas.com</v>
      </c>
    </row>
    <row r="20" spans="1:2" x14ac:dyDescent="0.2">
      <c r="A20" t="s">
        <v>942</v>
      </c>
      <c r="B20" s="138" t="str">
        <f>COVER!T19</f>
        <v>Cape Girardeau</v>
      </c>
    </row>
    <row r="21" spans="1:2" x14ac:dyDescent="0.2">
      <c r="A21" t="s">
        <v>500</v>
      </c>
      <c r="B21" s="138" t="str">
        <f>COVER!X19</f>
        <v>MO</v>
      </c>
    </row>
    <row r="22" spans="1:2" x14ac:dyDescent="0.2">
      <c r="A22" t="s">
        <v>943</v>
      </c>
      <c r="B22" s="138">
        <f>COVER!Z19</f>
        <v>63703</v>
      </c>
    </row>
    <row r="23" spans="1:2" x14ac:dyDescent="0.2">
      <c r="A23" t="s">
        <v>1214</v>
      </c>
      <c r="B23" s="138" t="str">
        <f>COVER!T21</f>
        <v>573-334-7971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35735</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8703</v>
      </c>
      <c r="D76" s="2" t="str">
        <f t="shared" si="0"/>
        <v>Error?</v>
      </c>
    </row>
    <row r="77" spans="1:4" x14ac:dyDescent="0.2">
      <c r="A77" s="5">
        <v>16</v>
      </c>
      <c r="B77" s="138">
        <f>'Assets-Liab 5-6'!C13</f>
        <v>2044267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2044267</v>
      </c>
      <c r="D92" s="2" t="str">
        <f t="shared" si="0"/>
        <v>Error?</v>
      </c>
    </row>
    <row r="93" spans="1:4" x14ac:dyDescent="0.2">
      <c r="A93" s="5">
        <v>32</v>
      </c>
      <c r="B93" s="138">
        <f>'Assets-Liab 5-6'!C41</f>
        <v>2044267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421454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629</v>
      </c>
      <c r="C122" s="2" t="s">
        <v>594</v>
      </c>
      <c r="D122" s="2" t="str">
        <f t="shared" si="0"/>
        <v>Error?</v>
      </c>
    </row>
    <row r="123" spans="1:4" x14ac:dyDescent="0.2">
      <c r="A123" s="5">
        <v>62</v>
      </c>
      <c r="B123" s="138">
        <f>'Assets-Liab 5-6'!D39</f>
        <v>420825</v>
      </c>
      <c r="D123" s="2" t="str">
        <f t="shared" si="0"/>
        <v>Error?</v>
      </c>
    </row>
    <row r="124" spans="1:4" x14ac:dyDescent="0.2">
      <c r="A124" s="5">
        <v>63</v>
      </c>
      <c r="B124" s="138">
        <f>'Assets-Liab 5-6'!D41</f>
        <v>421454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60882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60882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861716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861716</v>
      </c>
      <c r="D170" s="2" t="str">
        <f t="shared" si="1"/>
        <v>Error?</v>
      </c>
    </row>
    <row r="171" spans="1:4" x14ac:dyDescent="0.2">
      <c r="A171" s="5">
        <v>110</v>
      </c>
      <c r="B171" s="138">
        <f>'Assets-Liab 5-6'!F41</f>
        <v>861716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7284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1848</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1848</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7284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707201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707201</v>
      </c>
      <c r="D212" s="2" t="str">
        <f t="shared" si="2"/>
        <v>Error?</v>
      </c>
    </row>
    <row r="213" spans="1:4" x14ac:dyDescent="0.2">
      <c r="A213" s="12">
        <v>152</v>
      </c>
      <c r="B213" s="138">
        <f>'Assets-Liab 5-6'!H41</f>
        <v>707201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341423</v>
      </c>
      <c r="D273" s="2" t="str">
        <f t="shared" si="3"/>
        <v>Error?</v>
      </c>
    </row>
    <row r="274" spans="1:4" x14ac:dyDescent="0.2">
      <c r="A274" s="5">
        <v>213</v>
      </c>
      <c r="B274" s="138">
        <f>'Assets-Liab 5-6'!M17</f>
        <v>33486372</v>
      </c>
      <c r="D274" s="2" t="str">
        <f t="shared" si="3"/>
        <v>Error?</v>
      </c>
    </row>
    <row r="275" spans="1:4" x14ac:dyDescent="0.2">
      <c r="A275" s="5">
        <v>214</v>
      </c>
      <c r="B275" s="138">
        <f>'Assets-Liab 5-6'!M18</f>
        <v>691720</v>
      </c>
      <c r="D275" s="2" t="str">
        <f t="shared" si="3"/>
        <v>Error?</v>
      </c>
    </row>
    <row r="276" spans="1:4" x14ac:dyDescent="0.2">
      <c r="A276" s="5">
        <v>215</v>
      </c>
      <c r="B276" s="138">
        <f>'Assets-Liab 5-6'!M19</f>
        <v>3650833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38170348</v>
      </c>
      <c r="C279" s="2" t="s">
        <v>594</v>
      </c>
      <c r="D279" s="2" t="str">
        <f t="shared" si="3"/>
        <v>Error?</v>
      </c>
    </row>
    <row r="280" spans="1:4" x14ac:dyDescent="0.2">
      <c r="A280" s="5">
        <v>219</v>
      </c>
      <c r="B280" s="138">
        <f>'Assets-Liab 5-6'!M40</f>
        <v>38170348</v>
      </c>
      <c r="D280" s="2" t="str">
        <f t="shared" si="3"/>
        <v>Error?</v>
      </c>
    </row>
    <row r="281" spans="1:4" x14ac:dyDescent="0.2">
      <c r="A281" s="5">
        <v>220</v>
      </c>
      <c r="B281" s="138">
        <f>'Assets-Liab 5-6'!M41</f>
        <v>38170348</v>
      </c>
      <c r="C281" s="2" t="s">
        <v>594</v>
      </c>
      <c r="D281" s="2" t="str">
        <f t="shared" si="3"/>
        <v>Error?</v>
      </c>
    </row>
    <row r="282" spans="1:4" x14ac:dyDescent="0.2">
      <c r="A282" s="5">
        <v>221</v>
      </c>
      <c r="B282" s="138">
        <f>'Assets-Liab 5-6'!N21</f>
        <v>60882</v>
      </c>
      <c r="D282" s="2" t="str">
        <f t="shared" si="3"/>
        <v>Error?</v>
      </c>
    </row>
    <row r="283" spans="1:4" x14ac:dyDescent="0.2">
      <c r="A283" s="5">
        <v>222</v>
      </c>
      <c r="B283" s="138">
        <f>'Assets-Liab 5-6'!N22</f>
        <v>5355522</v>
      </c>
      <c r="D283" s="2" t="str">
        <f t="shared" si="3"/>
        <v>Error?</v>
      </c>
    </row>
    <row r="284" spans="1:4" x14ac:dyDescent="0.2">
      <c r="A284" s="5">
        <v>223</v>
      </c>
      <c r="B284" s="138">
        <f>'Assets-Liab 5-6'!N23</f>
        <v>5416404</v>
      </c>
      <c r="C284" s="2" t="s">
        <v>594</v>
      </c>
      <c r="D284" s="2" t="str">
        <f t="shared" si="3"/>
        <v>Error?</v>
      </c>
    </row>
    <row r="285" spans="1:4" x14ac:dyDescent="0.2">
      <c r="A285" s="5">
        <v>224</v>
      </c>
      <c r="B285" s="138">
        <f>'Assets-Liab 5-6'!N36</f>
        <v>5416404</v>
      </c>
      <c r="D285" s="2" t="str">
        <f t="shared" si="3"/>
        <v>Error?</v>
      </c>
    </row>
    <row r="286" spans="1:4" x14ac:dyDescent="0.2">
      <c r="A286" s="10">
        <v>225</v>
      </c>
      <c r="D286" s="2" t="str">
        <f t="shared" si="3"/>
        <v>OK</v>
      </c>
    </row>
    <row r="287" spans="1:4" x14ac:dyDescent="0.2">
      <c r="A287" s="5">
        <v>226</v>
      </c>
      <c r="B287" s="138">
        <f>'Assets-Liab 5-6'!N37</f>
        <v>5416404</v>
      </c>
      <c r="C287" s="2" t="s">
        <v>594</v>
      </c>
      <c r="D287" s="2" t="str">
        <f t="shared" si="3"/>
        <v>Error?</v>
      </c>
    </row>
    <row r="288" spans="1:4" x14ac:dyDescent="0.2">
      <c r="A288" s="5">
        <v>227</v>
      </c>
      <c r="B288" s="138">
        <f>'Assets-Liab 5-6'!N41</f>
        <v>5416404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5252221</v>
      </c>
      <c r="D705" s="2" t="str">
        <f t="shared" si="10"/>
        <v>Error?</v>
      </c>
    </row>
    <row r="706" spans="1:4" x14ac:dyDescent="0.2">
      <c r="A706" s="5">
        <v>645</v>
      </c>
      <c r="B706" s="138">
        <f>'Expenditures 15-22'!C16</f>
        <v>216293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849374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70557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8667152</v>
      </c>
      <c r="C720" s="2" t="s">
        <v>594</v>
      </c>
      <c r="D720" s="2" t="str">
        <f t="shared" si="10"/>
        <v>Error?</v>
      </c>
    </row>
    <row r="721" spans="1:4" x14ac:dyDescent="0.2">
      <c r="A721" s="5">
        <v>660</v>
      </c>
      <c r="B721" s="138">
        <f>'Expenditures 15-22'!C36</f>
        <v>253385</v>
      </c>
      <c r="D721" s="2" t="str">
        <f t="shared" si="10"/>
        <v>Error?</v>
      </c>
    </row>
    <row r="722" spans="1:4" x14ac:dyDescent="0.2">
      <c r="A722" s="5">
        <v>661</v>
      </c>
      <c r="B722" s="138">
        <f>'Expenditures 15-22'!C37</f>
        <v>140679</v>
      </c>
      <c r="D722" s="2" t="str">
        <f t="shared" si="10"/>
        <v>Error?</v>
      </c>
    </row>
    <row r="723" spans="1:4" x14ac:dyDescent="0.2">
      <c r="A723" s="5">
        <v>662</v>
      </c>
      <c r="B723" s="138">
        <f>'Expenditures 15-22'!C38</f>
        <v>130757</v>
      </c>
      <c r="D723" s="2" t="str">
        <f t="shared" si="10"/>
        <v>Error?</v>
      </c>
    </row>
    <row r="724" spans="1:4" x14ac:dyDescent="0.2">
      <c r="A724" s="5">
        <v>663</v>
      </c>
      <c r="B724" s="138">
        <f>'Expenditures 15-22'!C39</f>
        <v>44720</v>
      </c>
      <c r="D724" s="2" t="str">
        <f t="shared" si="10"/>
        <v>Error?</v>
      </c>
    </row>
    <row r="725" spans="1:4" x14ac:dyDescent="0.2">
      <c r="A725" s="5">
        <v>664</v>
      </c>
      <c r="B725" s="138">
        <f>'Expenditures 15-22'!C40</f>
        <v>283052</v>
      </c>
      <c r="D725" s="2" t="str">
        <f t="shared" si="10"/>
        <v>Error?</v>
      </c>
    </row>
    <row r="726" spans="1:4" x14ac:dyDescent="0.2">
      <c r="A726" s="5">
        <v>665</v>
      </c>
      <c r="B726" s="138">
        <f>'Expenditures 15-22'!C41</f>
        <v>50380</v>
      </c>
      <c r="D726" s="2" t="str">
        <f t="shared" si="10"/>
        <v>Error?</v>
      </c>
    </row>
    <row r="727" spans="1:4" x14ac:dyDescent="0.2">
      <c r="A727" s="5">
        <v>666</v>
      </c>
      <c r="B727" s="138">
        <f>'Expenditures 15-22'!C42</f>
        <v>902973</v>
      </c>
      <c r="C727" s="2" t="s">
        <v>594</v>
      </c>
      <c r="D727" s="2" t="str">
        <f t="shared" si="10"/>
        <v>Error?</v>
      </c>
    </row>
    <row r="728" spans="1:4" x14ac:dyDescent="0.2">
      <c r="A728" s="5">
        <v>667</v>
      </c>
      <c r="B728" s="138">
        <f>'Expenditures 15-22'!C44</f>
        <v>418396</v>
      </c>
      <c r="D728" s="2" t="str">
        <f t="shared" si="10"/>
        <v>Error?</v>
      </c>
    </row>
    <row r="729" spans="1:4" x14ac:dyDescent="0.2">
      <c r="A729" s="5">
        <v>668</v>
      </c>
      <c r="B729" s="138">
        <f>'Expenditures 15-22'!C45</f>
        <v>185462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603858</v>
      </c>
      <c r="C731" s="2" t="s">
        <v>594</v>
      </c>
      <c r="D731" s="2" t="str">
        <f t="shared" si="10"/>
        <v>Error?</v>
      </c>
    </row>
    <row r="732" spans="1:4" x14ac:dyDescent="0.2">
      <c r="A732" s="5">
        <v>671</v>
      </c>
      <c r="B732" s="138">
        <f>'Expenditures 15-22'!C49</f>
        <v>25332</v>
      </c>
      <c r="D732" s="2" t="str">
        <f t="shared" si="10"/>
        <v>Error?</v>
      </c>
    </row>
    <row r="733" spans="1:4" x14ac:dyDescent="0.2">
      <c r="A733" s="5">
        <v>672</v>
      </c>
      <c r="B733" s="138">
        <f>'Expenditures 15-22'!C50</f>
        <v>100605</v>
      </c>
      <c r="D733" s="2" t="str">
        <f t="shared" si="10"/>
        <v>Error?</v>
      </c>
    </row>
    <row r="734" spans="1:4" x14ac:dyDescent="0.2">
      <c r="A734" s="5">
        <v>673</v>
      </c>
      <c r="B734" s="138">
        <f>'Expenditures 15-22'!C53</f>
        <v>267093</v>
      </c>
      <c r="C734" s="2" t="s">
        <v>594</v>
      </c>
      <c r="D734" s="2" t="str">
        <f t="shared" si="10"/>
        <v>Error?</v>
      </c>
    </row>
    <row r="735" spans="1:4" x14ac:dyDescent="0.2">
      <c r="A735" s="5">
        <v>674</v>
      </c>
      <c r="B735" s="138">
        <f>'Expenditures 15-22'!C55</f>
        <v>790253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790253</v>
      </c>
      <c r="C737" s="2" t="s">
        <v>594</v>
      </c>
      <c r="D737" s="2" t="str">
        <f t="shared" si="10"/>
        <v>Error?</v>
      </c>
    </row>
    <row r="738" spans="1:4" x14ac:dyDescent="0.2">
      <c r="A738" s="5">
        <v>677</v>
      </c>
      <c r="B738" s="138">
        <f>'Expenditures 15-22'!C59</f>
        <v>63025</v>
      </c>
      <c r="D738" s="2" t="str">
        <f t="shared" si="10"/>
        <v>Error?</v>
      </c>
    </row>
    <row r="739" spans="1:4" x14ac:dyDescent="0.2">
      <c r="A739" s="5">
        <v>678</v>
      </c>
      <c r="B739" s="138">
        <f>'Expenditures 15-22'!C60</f>
        <v>108068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230631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401724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2965901</v>
      </c>
      <c r="C755" s="2" t="s">
        <v>594</v>
      </c>
      <c r="D755" s="2" t="str">
        <f t="shared" si="10"/>
        <v>Error?</v>
      </c>
    </row>
    <row r="756" spans="1:4" x14ac:dyDescent="0.2">
      <c r="A756" s="5">
        <v>695</v>
      </c>
      <c r="B756" s="138">
        <f>'Expenditures 15-22'!C75</f>
        <v>114490</v>
      </c>
      <c r="D756" s="2" t="str">
        <f t="shared" si="10"/>
        <v>Error?</v>
      </c>
    </row>
    <row r="757" spans="1:4" x14ac:dyDescent="0.2">
      <c r="A757" s="5">
        <v>696</v>
      </c>
      <c r="B757" s="138">
        <f>'Expenditures 15-22'!C114</f>
        <v>11747543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1079679</v>
      </c>
      <c r="D763" s="2" t="str">
        <f t="shared" si="10"/>
        <v>Error?</v>
      </c>
    </row>
    <row r="764" spans="1:4" x14ac:dyDescent="0.2">
      <c r="A764" s="5">
        <v>703</v>
      </c>
      <c r="B764" s="138">
        <f>'Expenditures 15-22'!D16</f>
        <v>46181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162743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10839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1798345</v>
      </c>
      <c r="C778" s="2" t="s">
        <v>594</v>
      </c>
      <c r="D778" s="2" t="str">
        <f t="shared" si="11"/>
        <v>Error?</v>
      </c>
    </row>
    <row r="779" spans="1:4" x14ac:dyDescent="0.2">
      <c r="A779" s="5">
        <v>718</v>
      </c>
      <c r="B779" s="138">
        <f>'Expenditures 15-22'!D36</f>
        <v>50983</v>
      </c>
      <c r="D779" s="2" t="str">
        <f t="shared" si="11"/>
        <v>Error?</v>
      </c>
    </row>
    <row r="780" spans="1:4" x14ac:dyDescent="0.2">
      <c r="A780" s="5">
        <v>719</v>
      </c>
      <c r="B780" s="138">
        <f>'Expenditures 15-22'!D37</f>
        <v>35424</v>
      </c>
      <c r="D780" s="2" t="str">
        <f t="shared" si="11"/>
        <v>Error?</v>
      </c>
    </row>
    <row r="781" spans="1:4" x14ac:dyDescent="0.2">
      <c r="A781" s="5">
        <v>720</v>
      </c>
      <c r="B781" s="138">
        <f>'Expenditures 15-22'!D38</f>
        <v>15943</v>
      </c>
      <c r="D781" s="2" t="str">
        <f t="shared" si="11"/>
        <v>Error?</v>
      </c>
    </row>
    <row r="782" spans="1:4" x14ac:dyDescent="0.2">
      <c r="A782" s="5">
        <v>721</v>
      </c>
      <c r="B782" s="138">
        <f>'Expenditures 15-22'!D39</f>
        <v>14083</v>
      </c>
      <c r="D782" s="2" t="str">
        <f t="shared" si="11"/>
        <v>Error?</v>
      </c>
    </row>
    <row r="783" spans="1:4" x14ac:dyDescent="0.2">
      <c r="A783" s="5">
        <v>722</v>
      </c>
      <c r="B783" s="138">
        <f>'Expenditures 15-22'!D40</f>
        <v>54589</v>
      </c>
      <c r="D783" s="2" t="str">
        <f t="shared" si="11"/>
        <v>Error?</v>
      </c>
    </row>
    <row r="784" spans="1:4" x14ac:dyDescent="0.2">
      <c r="A784" s="5">
        <v>723</v>
      </c>
      <c r="B784" s="138">
        <f>'Expenditures 15-22'!D41</f>
        <v>6827</v>
      </c>
      <c r="D784" s="2" t="str">
        <f t="shared" si="11"/>
        <v>Error?</v>
      </c>
    </row>
    <row r="785" spans="1:4" x14ac:dyDescent="0.2">
      <c r="A785" s="5">
        <v>724</v>
      </c>
      <c r="B785" s="138">
        <f>'Expenditures 15-22'!D42</f>
        <v>177849</v>
      </c>
      <c r="C785" s="2" t="s">
        <v>594</v>
      </c>
      <c r="D785" s="2" t="str">
        <f t="shared" si="11"/>
        <v>Error?</v>
      </c>
    </row>
    <row r="786" spans="1:4" x14ac:dyDescent="0.2">
      <c r="A786" s="5">
        <v>725</v>
      </c>
      <c r="B786" s="138">
        <f>'Expenditures 15-22'!D44</f>
        <v>92167</v>
      </c>
      <c r="D786" s="2" t="str">
        <f t="shared" si="11"/>
        <v>Error?</v>
      </c>
    </row>
    <row r="787" spans="1:4" x14ac:dyDescent="0.2">
      <c r="A787" s="5">
        <v>726</v>
      </c>
      <c r="B787" s="138">
        <f>'Expenditures 15-22'!D45</f>
        <v>27638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119805</v>
      </c>
      <c r="C789" s="2" t="s">
        <v>594</v>
      </c>
      <c r="D789" s="2" t="str">
        <f t="shared" si="11"/>
        <v>Error?</v>
      </c>
    </row>
    <row r="790" spans="1:4" x14ac:dyDescent="0.2">
      <c r="A790" s="5">
        <v>729</v>
      </c>
      <c r="B790" s="138">
        <f>'Expenditures 15-22'!D49</f>
        <v>732</v>
      </c>
      <c r="D790" s="2" t="str">
        <f t="shared" si="11"/>
        <v>Error?</v>
      </c>
    </row>
    <row r="791" spans="1:4" x14ac:dyDescent="0.2">
      <c r="A791" s="5">
        <v>730</v>
      </c>
      <c r="B791" s="138">
        <f>'Expenditures 15-22'!D50</f>
        <v>5278</v>
      </c>
      <c r="D791" s="2" t="str">
        <f t="shared" si="11"/>
        <v>Error?</v>
      </c>
    </row>
    <row r="792" spans="1:4" x14ac:dyDescent="0.2">
      <c r="A792" s="5">
        <v>731</v>
      </c>
      <c r="B792" s="138">
        <f>'Expenditures 15-22'!D53</f>
        <v>36307</v>
      </c>
      <c r="C792" s="2" t="s">
        <v>594</v>
      </c>
      <c r="D792" s="2" t="str">
        <f t="shared" si="11"/>
        <v>Error?</v>
      </c>
    </row>
    <row r="793" spans="1:4" x14ac:dyDescent="0.2">
      <c r="A793" s="5">
        <v>732</v>
      </c>
      <c r="B793" s="138">
        <f>'Expenditures 15-22'!D55</f>
        <v>131631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131631</v>
      </c>
      <c r="C795" s="2" t="s">
        <v>594</v>
      </c>
      <c r="D795" s="2" t="str">
        <f t="shared" si="11"/>
        <v>Error?</v>
      </c>
    </row>
    <row r="796" spans="1:4" x14ac:dyDescent="0.2">
      <c r="A796" s="5">
        <v>735</v>
      </c>
      <c r="B796" s="138">
        <f>'Expenditures 15-22'!D59</f>
        <v>5305</v>
      </c>
      <c r="D796" s="2" t="str">
        <f t="shared" si="11"/>
        <v>Error?</v>
      </c>
    </row>
    <row r="797" spans="1:4" x14ac:dyDescent="0.2">
      <c r="A797" s="5">
        <v>736</v>
      </c>
      <c r="B797" s="138">
        <f>'Expenditures 15-22'!D60</f>
        <v>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26547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31882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497474</v>
      </c>
      <c r="C813" s="2" t="s">
        <v>594</v>
      </c>
      <c r="D813" s="2" t="str">
        <f t="shared" si="11"/>
        <v>Error?</v>
      </c>
    </row>
    <row r="814" spans="1:4" x14ac:dyDescent="0.2">
      <c r="A814" s="5">
        <v>753</v>
      </c>
      <c r="B814" s="138">
        <f>'Expenditures 15-22'!D75</f>
        <v>19899</v>
      </c>
      <c r="D814" s="2" t="str">
        <f t="shared" si="11"/>
        <v>Error?</v>
      </c>
    </row>
    <row r="815" spans="1:4" x14ac:dyDescent="0.2">
      <c r="A815" s="5">
        <v>754</v>
      </c>
      <c r="B815" s="138">
        <f>'Expenditures 15-22'!D114</f>
        <v>2315718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108366</v>
      </c>
      <c r="D821" s="2" t="str">
        <f t="shared" si="11"/>
        <v>Error?</v>
      </c>
    </row>
    <row r="822" spans="1:4" x14ac:dyDescent="0.2">
      <c r="A822" s="5">
        <v>761</v>
      </c>
      <c r="B822" s="138">
        <f>'Expenditures 15-22'!E16</f>
        <v>304</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872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13516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233131</v>
      </c>
      <c r="C836" s="2" t="s">
        <v>594</v>
      </c>
      <c r="D836" s="2" t="str">
        <f t="shared" si="12"/>
        <v>Error?</v>
      </c>
    </row>
    <row r="837" spans="1:4" x14ac:dyDescent="0.2">
      <c r="A837" s="5">
        <v>776</v>
      </c>
      <c r="B837" s="138">
        <f>'Expenditures 15-22'!E36</f>
        <v>400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437</v>
      </c>
      <c r="D839" s="2" t="str">
        <f t="shared" si="12"/>
        <v>Error?</v>
      </c>
    </row>
    <row r="840" spans="1:4" x14ac:dyDescent="0.2">
      <c r="A840" s="5">
        <v>779</v>
      </c>
      <c r="B840" s="138">
        <f>'Expenditures 15-22'!E39</f>
        <v>157</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994</v>
      </c>
      <c r="C843" s="2" t="s">
        <v>594</v>
      </c>
      <c r="D843" s="2" t="str">
        <f t="shared" si="12"/>
        <v>Error?</v>
      </c>
    </row>
    <row r="844" spans="1:4" x14ac:dyDescent="0.2">
      <c r="A844" s="5">
        <v>783</v>
      </c>
      <c r="B844" s="138">
        <f>'Expenditures 15-22'!E44</f>
        <v>109762</v>
      </c>
      <c r="D844" s="2" t="str">
        <f t="shared" si="12"/>
        <v>Error?</v>
      </c>
    </row>
    <row r="845" spans="1:4" x14ac:dyDescent="0.2">
      <c r="A845" s="5">
        <v>784</v>
      </c>
      <c r="B845" s="138">
        <f>'Expenditures 15-22'!E45</f>
        <v>95773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205535</v>
      </c>
      <c r="C847" s="2" t="s">
        <v>594</v>
      </c>
      <c r="D847" s="2" t="str">
        <f t="shared" si="12"/>
        <v>Error?</v>
      </c>
    </row>
    <row r="848" spans="1:4" x14ac:dyDescent="0.2">
      <c r="A848" s="5">
        <v>787</v>
      </c>
      <c r="B848" s="138">
        <f>'Expenditures 15-22'!E49</f>
        <v>64395</v>
      </c>
      <c r="D848" s="2" t="str">
        <f t="shared" si="12"/>
        <v>Error?</v>
      </c>
    </row>
    <row r="849" spans="1:4" x14ac:dyDescent="0.2">
      <c r="A849" s="5">
        <v>788</v>
      </c>
      <c r="B849" s="138">
        <f>'Expenditures 15-22'!E50</f>
        <v>283</v>
      </c>
      <c r="D849" s="2" t="str">
        <f t="shared" si="12"/>
        <v>Error?</v>
      </c>
    </row>
    <row r="850" spans="1:4" x14ac:dyDescent="0.2">
      <c r="A850" s="5">
        <v>789</v>
      </c>
      <c r="B850" s="138">
        <f>'Expenditures 15-22'!E53</f>
        <v>67073</v>
      </c>
      <c r="C850" s="2" t="s">
        <v>594</v>
      </c>
      <c r="D850" s="2" t="str">
        <f t="shared" si="12"/>
        <v>Error?</v>
      </c>
    </row>
    <row r="851" spans="1:4" x14ac:dyDescent="0.2">
      <c r="A851" s="5">
        <v>790</v>
      </c>
      <c r="B851" s="138">
        <f>'Expenditures 15-22'!E55</f>
        <v>57427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57427</v>
      </c>
      <c r="C853" s="2" t="s">
        <v>594</v>
      </c>
      <c r="D853" s="2" t="str">
        <f t="shared" si="12"/>
        <v>Error?</v>
      </c>
    </row>
    <row r="854" spans="1:4" x14ac:dyDescent="0.2">
      <c r="A854" s="5">
        <v>793</v>
      </c>
      <c r="B854" s="138">
        <f>'Expenditures 15-22'!E59</f>
        <v>5872</v>
      </c>
      <c r="D854" s="2" t="str">
        <f t="shared" si="12"/>
        <v>Error?</v>
      </c>
    </row>
    <row r="855" spans="1:4" x14ac:dyDescent="0.2">
      <c r="A855" s="5">
        <v>794</v>
      </c>
      <c r="B855" s="138">
        <f>'Expenditures 15-22'!E60</f>
        <v>35661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152991</v>
      </c>
      <c r="D857" s="2" t="str">
        <f t="shared" si="12"/>
        <v>Error?</v>
      </c>
    </row>
    <row r="858" spans="1:4" x14ac:dyDescent="0.2">
      <c r="A858" s="5">
        <v>797</v>
      </c>
      <c r="B858" s="138">
        <f>'Expenditures 15-22'!E63</f>
        <v>79910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274434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17142</v>
      </c>
      <c r="D867" s="2" t="str">
        <f t="shared" si="12"/>
        <v>Error?</v>
      </c>
    </row>
    <row r="868" spans="1:4" x14ac:dyDescent="0.2">
      <c r="A868" s="10">
        <v>807</v>
      </c>
      <c r="D868" s="2" t="str">
        <f t="shared" si="12"/>
        <v>OK</v>
      </c>
    </row>
    <row r="869" spans="1:4" x14ac:dyDescent="0.2">
      <c r="A869" s="5">
        <v>808</v>
      </c>
      <c r="B869" s="138">
        <f>'Expenditures 15-22'!E72</f>
        <v>17142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622605</v>
      </c>
      <c r="C871" s="2" t="s">
        <v>594</v>
      </c>
      <c r="D871" s="2" t="str">
        <f t="shared" si="12"/>
        <v>Error?</v>
      </c>
    </row>
    <row r="872" spans="1:4" x14ac:dyDescent="0.2">
      <c r="A872" s="5">
        <v>811</v>
      </c>
      <c r="B872" s="138">
        <f>'Expenditures 15-22'!E75</f>
        <v>5755</v>
      </c>
      <c r="D872" s="2" t="str">
        <f t="shared" si="12"/>
        <v>Error?</v>
      </c>
    </row>
    <row r="873" spans="1:4" x14ac:dyDescent="0.2">
      <c r="A873" s="5">
        <v>812</v>
      </c>
      <c r="B873" s="138">
        <f>'Expenditures 15-22'!E114</f>
        <v>865903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8418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7944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316483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3837</v>
      </c>
      <c r="D897" s="2" t="str">
        <f t="shared" si="13"/>
        <v>Error?</v>
      </c>
    </row>
    <row r="898" spans="1:4" x14ac:dyDescent="0.2">
      <c r="A898" s="5">
        <v>837</v>
      </c>
      <c r="B898" s="138">
        <f>'Expenditures 15-22'!F39</f>
        <v>511</v>
      </c>
      <c r="D898" s="2" t="str">
        <f t="shared" si="13"/>
        <v>Error?</v>
      </c>
    </row>
    <row r="899" spans="1:4" x14ac:dyDescent="0.2">
      <c r="A899" s="5">
        <v>838</v>
      </c>
      <c r="B899" s="138">
        <f>'Expenditures 15-22'!F40</f>
        <v>0</v>
      </c>
      <c r="D899" s="2" t="str">
        <f t="shared" si="13"/>
        <v>Error?</v>
      </c>
    </row>
    <row r="900" spans="1:4" x14ac:dyDescent="0.2">
      <c r="A900" s="5">
        <v>839</v>
      </c>
      <c r="B900" s="138">
        <f>'Expenditures 15-22'!F41</f>
        <v>9554</v>
      </c>
      <c r="D900" s="2" t="str">
        <f t="shared" si="13"/>
        <v>Error?</v>
      </c>
    </row>
    <row r="901" spans="1:4" x14ac:dyDescent="0.2">
      <c r="A901" s="5">
        <v>840</v>
      </c>
      <c r="B901" s="138">
        <f>'Expenditures 15-22'!F42</f>
        <v>13902</v>
      </c>
      <c r="C901" s="2" t="s">
        <v>594</v>
      </c>
      <c r="D901" s="2" t="str">
        <f t="shared" si="13"/>
        <v>Error?</v>
      </c>
    </row>
    <row r="902" spans="1:4" x14ac:dyDescent="0.2">
      <c r="A902" s="5">
        <v>841</v>
      </c>
      <c r="B902" s="138">
        <f>'Expenditures 15-22'!F44</f>
        <v>5078</v>
      </c>
      <c r="D902" s="2" t="str">
        <f t="shared" si="13"/>
        <v>Error?</v>
      </c>
    </row>
    <row r="903" spans="1:4" x14ac:dyDescent="0.2">
      <c r="A903" s="5">
        <v>842</v>
      </c>
      <c r="B903" s="138">
        <f>'Expenditures 15-22'!F45</f>
        <v>2573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7651</v>
      </c>
      <c r="C905" s="2" t="s">
        <v>594</v>
      </c>
      <c r="D905" s="2" t="str">
        <f t="shared" si="13"/>
        <v>Error?</v>
      </c>
    </row>
    <row r="906" spans="1:4" x14ac:dyDescent="0.2">
      <c r="A906" s="5">
        <v>845</v>
      </c>
      <c r="B906" s="138">
        <f>'Expenditures 15-22'!F49</f>
        <v>8056</v>
      </c>
      <c r="D906" s="2" t="str">
        <f t="shared" si="13"/>
        <v>Error?</v>
      </c>
    </row>
    <row r="907" spans="1:4" x14ac:dyDescent="0.2">
      <c r="A907" s="5">
        <v>846</v>
      </c>
      <c r="B907" s="138">
        <f>'Expenditures 15-22'!F50</f>
        <v>3505</v>
      </c>
      <c r="D907" s="2" t="str">
        <f t="shared" si="13"/>
        <v>Error?</v>
      </c>
    </row>
    <row r="908" spans="1:4" x14ac:dyDescent="0.2">
      <c r="A908" s="5">
        <v>847</v>
      </c>
      <c r="B908" s="138">
        <f>'Expenditures 15-22'!F53</f>
        <v>12445</v>
      </c>
      <c r="C908" s="2" t="s">
        <v>594</v>
      </c>
      <c r="D908" s="2" t="str">
        <f t="shared" si="13"/>
        <v>Error?</v>
      </c>
    </row>
    <row r="909" spans="1:4" x14ac:dyDescent="0.2">
      <c r="A909" s="5">
        <v>848</v>
      </c>
      <c r="B909" s="138">
        <f>'Expenditures 15-22'!F55</f>
        <v>24057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24057</v>
      </c>
      <c r="C911" s="2" t="s">
        <v>594</v>
      </c>
      <c r="D911" s="2" t="str">
        <f t="shared" si="13"/>
        <v>Error?</v>
      </c>
    </row>
    <row r="912" spans="1:4" x14ac:dyDescent="0.2">
      <c r="A912" s="5">
        <v>851</v>
      </c>
      <c r="B912" s="138">
        <f>'Expenditures 15-22'!F59</f>
        <v>315</v>
      </c>
      <c r="D912" s="2" t="str">
        <f t="shared" si="13"/>
        <v>Error?</v>
      </c>
    </row>
    <row r="913" spans="1:4" x14ac:dyDescent="0.2">
      <c r="A913" s="5">
        <v>852</v>
      </c>
      <c r="B913" s="138">
        <f>'Expenditures 15-22'!F60</f>
        <v>881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367777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368973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427028</v>
      </c>
      <c r="C929" s="2" t="s">
        <v>594</v>
      </c>
      <c r="D929" s="2" t="str">
        <f t="shared" si="13"/>
        <v>Error?</v>
      </c>
    </row>
    <row r="930" spans="1:4" x14ac:dyDescent="0.2">
      <c r="A930" s="5">
        <v>869</v>
      </c>
      <c r="B930" s="138">
        <f>'Expenditures 15-22'!F75</f>
        <v>46955</v>
      </c>
      <c r="D930" s="2" t="str">
        <f t="shared" si="13"/>
        <v>Error?</v>
      </c>
    </row>
    <row r="931" spans="1:4" x14ac:dyDescent="0.2">
      <c r="A931" s="5">
        <v>870</v>
      </c>
      <c r="B931" s="138">
        <f>'Expenditures 15-22'!F114</f>
        <v>790466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5581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880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86515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2608</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2608</v>
      </c>
      <c r="C959" s="2" t="s">
        <v>594</v>
      </c>
      <c r="D959" s="2" t="str">
        <f t="shared" ref="D959:D1022" si="14">IF(ISBLANK(B959),"OK",IF(A959-B959=0,"OK","Error?"))</f>
        <v>Error?</v>
      </c>
    </row>
    <row r="960" spans="1:4" x14ac:dyDescent="0.2">
      <c r="A960" s="5">
        <v>899</v>
      </c>
      <c r="B960" s="138">
        <f>'Expenditures 15-22'!G44</f>
        <v>53878</v>
      </c>
      <c r="D960" s="2" t="str">
        <f t="shared" si="14"/>
        <v>Error?</v>
      </c>
    </row>
    <row r="961" spans="1:4" x14ac:dyDescent="0.2">
      <c r="A961" s="5">
        <v>900</v>
      </c>
      <c r="B961" s="138">
        <f>'Expenditures 15-22'!G45</f>
        <v>119894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173772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1886</v>
      </c>
      <c r="D965" s="2" t="str">
        <f t="shared" si="14"/>
        <v>Error?</v>
      </c>
    </row>
    <row r="966" spans="1:4" x14ac:dyDescent="0.2">
      <c r="A966" s="5">
        <v>905</v>
      </c>
      <c r="B966" s="138">
        <f>'Expenditures 15-22'!G53</f>
        <v>3726</v>
      </c>
      <c r="C966" s="2" t="s">
        <v>594</v>
      </c>
      <c r="D966" s="2" t="str">
        <f t="shared" si="14"/>
        <v>Error?</v>
      </c>
    </row>
    <row r="967" spans="1:4" x14ac:dyDescent="0.2">
      <c r="A967" s="5">
        <v>906</v>
      </c>
      <c r="B967" s="138">
        <f>'Expenditures 15-22'!G55</f>
        <v>599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599</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9900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2841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12741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193446</v>
      </c>
      <c r="C987" s="2" t="s">
        <v>594</v>
      </c>
      <c r="D987" s="2" t="str">
        <f t="shared" si="14"/>
        <v>Error?</v>
      </c>
    </row>
    <row r="988" spans="1:4" x14ac:dyDescent="0.2">
      <c r="A988" s="5">
        <v>927</v>
      </c>
      <c r="B988" s="138">
        <f>'Expenditures 15-22'!G75</f>
        <v>21342</v>
      </c>
      <c r="D988" s="2" t="str">
        <f t="shared" si="14"/>
        <v>Error?</v>
      </c>
    </row>
    <row r="989" spans="1:4" x14ac:dyDescent="0.2">
      <c r="A989" s="5">
        <v>928</v>
      </c>
      <c r="B989" s="138">
        <f>'Expenditures 15-22'!G114</f>
        <v>301303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1739</v>
      </c>
      <c r="C995" s="9"/>
      <c r="D995" s="2" t="str">
        <f t="shared" si="14"/>
        <v>Error?</v>
      </c>
    </row>
    <row r="996" spans="1:4" x14ac:dyDescent="0.2">
      <c r="A996" s="5">
        <v>935</v>
      </c>
      <c r="B996" s="138">
        <f>'Expenditures 15-22'!H16</f>
        <v>96</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10681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11</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11</v>
      </c>
      <c r="C1017" s="2" t="s">
        <v>594</v>
      </c>
      <c r="D1017" s="2" t="str">
        <f t="shared" si="14"/>
        <v>Error?</v>
      </c>
    </row>
    <row r="1018" spans="1:4" x14ac:dyDescent="0.2">
      <c r="A1018" s="5">
        <v>957</v>
      </c>
      <c r="B1018" s="138">
        <f>'Expenditures 15-22'!H44</f>
        <v>534</v>
      </c>
      <c r="D1018" s="2" t="str">
        <f t="shared" si="14"/>
        <v>Error?</v>
      </c>
    </row>
    <row r="1019" spans="1:4" x14ac:dyDescent="0.2">
      <c r="A1019" s="5">
        <v>958</v>
      </c>
      <c r="B1019" s="138">
        <f>'Expenditures 15-22'!H45</f>
        <v>1336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1870</v>
      </c>
      <c r="C1021" s="2" t="s">
        <v>594</v>
      </c>
      <c r="D1021" s="2" t="str">
        <f t="shared" si="14"/>
        <v>Error?</v>
      </c>
    </row>
    <row r="1022" spans="1:4" x14ac:dyDescent="0.2">
      <c r="A1022" s="5">
        <v>961</v>
      </c>
      <c r="B1022" s="138">
        <f>'Expenditures 15-22'!H49</f>
        <v>11360</v>
      </c>
      <c r="D1022" s="2" t="str">
        <f t="shared" si="14"/>
        <v>Error?</v>
      </c>
    </row>
    <row r="1023" spans="1:4" x14ac:dyDescent="0.2">
      <c r="A1023" s="5">
        <v>962</v>
      </c>
      <c r="B1023" s="138">
        <f>'Expenditures 15-22'!H50</f>
        <v>524</v>
      </c>
      <c r="D1023" s="2" t="str">
        <f t="shared" ref="D1023:D1086" si="15">IF(ISBLANK(B1023),"OK",IF(A1023-B1023=0,"OK","Error?"))</f>
        <v>Error?</v>
      </c>
    </row>
    <row r="1024" spans="1:4" x14ac:dyDescent="0.2">
      <c r="A1024" s="5">
        <v>963</v>
      </c>
      <c r="B1024" s="138">
        <f>'Expenditures 15-22'!H53</f>
        <v>12014</v>
      </c>
      <c r="C1024" s="2" t="s">
        <v>594</v>
      </c>
      <c r="D1024" s="2" t="str">
        <f t="shared" si="15"/>
        <v>Error?</v>
      </c>
    </row>
    <row r="1025" spans="1:4" x14ac:dyDescent="0.2">
      <c r="A1025" s="5">
        <v>964</v>
      </c>
      <c r="B1025" s="138">
        <f>'Expenditures 15-22'!H55</f>
        <v>2299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2299</v>
      </c>
      <c r="C1027" s="2" t="s">
        <v>594</v>
      </c>
      <c r="D1027" s="2" t="str">
        <f t="shared" si="15"/>
        <v>Error?</v>
      </c>
    </row>
    <row r="1028" spans="1:4" x14ac:dyDescent="0.2">
      <c r="A1028" s="5">
        <v>967</v>
      </c>
      <c r="B1028" s="138">
        <f>'Expenditures 15-22'!H59</f>
        <v>1413</v>
      </c>
      <c r="D1028" s="2" t="str">
        <f t="shared" si="15"/>
        <v>Error?</v>
      </c>
    </row>
    <row r="1029" spans="1:4" x14ac:dyDescent="0.2">
      <c r="A1029" s="5">
        <v>968</v>
      </c>
      <c r="B1029" s="138">
        <f>'Expenditures 15-22'!H60</f>
        <v>144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398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1955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18149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644831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673661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6456004</v>
      </c>
      <c r="C1093" s="2" t="s">
        <v>594</v>
      </c>
      <c r="D1093" s="2" t="str">
        <f t="shared" si="16"/>
        <v>Error?</v>
      </c>
    </row>
    <row r="1094" spans="1:4" x14ac:dyDescent="0.2">
      <c r="A1094" s="5">
        <v>1033</v>
      </c>
      <c r="B1094" s="138">
        <f>'Expenditures 15-22'!K16</f>
        <v>262874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1013107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105289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11112307</v>
      </c>
      <c r="C1108" s="2" t="s">
        <v>594</v>
      </c>
      <c r="D1108" s="2" t="str">
        <f t="shared" si="16"/>
        <v>Error?</v>
      </c>
    </row>
    <row r="1109" spans="1:4" x14ac:dyDescent="0.2">
      <c r="A1109" s="5">
        <v>1048</v>
      </c>
      <c r="B1109" s="138">
        <f>'Expenditures 15-22'!K36</f>
        <v>304768</v>
      </c>
      <c r="C1109" s="2" t="s">
        <v>594</v>
      </c>
      <c r="D1109" s="2" t="str">
        <f t="shared" si="16"/>
        <v>Error?</v>
      </c>
    </row>
    <row r="1110" spans="1:4" x14ac:dyDescent="0.2">
      <c r="A1110" s="5">
        <v>1049</v>
      </c>
      <c r="B1110" s="138">
        <f>'Expenditures 15-22'!K37</f>
        <v>176114</v>
      </c>
      <c r="C1110" s="2" t="s">
        <v>594</v>
      </c>
      <c r="D1110" s="2" t="str">
        <f t="shared" si="16"/>
        <v>Error?</v>
      </c>
    </row>
    <row r="1111" spans="1:4" x14ac:dyDescent="0.2">
      <c r="A1111" s="5">
        <v>1050</v>
      </c>
      <c r="B1111" s="138">
        <f>'Expenditures 15-22'!K38</f>
        <v>150974</v>
      </c>
      <c r="C1111" s="2" t="s">
        <v>594</v>
      </c>
      <c r="D1111" s="2" t="str">
        <f t="shared" si="16"/>
        <v>Error?</v>
      </c>
    </row>
    <row r="1112" spans="1:4" x14ac:dyDescent="0.2">
      <c r="A1112" s="5">
        <v>1051</v>
      </c>
      <c r="B1112" s="138">
        <f>'Expenditures 15-22'!K39</f>
        <v>62079</v>
      </c>
      <c r="C1112" s="2" t="s">
        <v>594</v>
      </c>
      <c r="D1112" s="2" t="str">
        <f t="shared" si="16"/>
        <v>Error?</v>
      </c>
    </row>
    <row r="1113" spans="1:4" x14ac:dyDescent="0.2">
      <c r="A1113" s="5">
        <v>1052</v>
      </c>
      <c r="B1113" s="138">
        <f>'Expenditures 15-22'!K40</f>
        <v>337641</v>
      </c>
      <c r="C1113" s="2" t="s">
        <v>594</v>
      </c>
      <c r="D1113" s="2" t="str">
        <f t="shared" si="16"/>
        <v>Error?</v>
      </c>
    </row>
    <row r="1114" spans="1:4" x14ac:dyDescent="0.2">
      <c r="A1114" s="5">
        <v>1053</v>
      </c>
      <c r="B1114" s="138">
        <f>'Expenditures 15-22'!K41</f>
        <v>66761</v>
      </c>
      <c r="C1114" s="2" t="s">
        <v>594</v>
      </c>
      <c r="D1114" s="2" t="str">
        <f t="shared" si="16"/>
        <v>Error?</v>
      </c>
    </row>
    <row r="1115" spans="1:4" x14ac:dyDescent="0.2">
      <c r="A1115" s="5">
        <v>1054</v>
      </c>
      <c r="B1115" s="138">
        <f>'Expenditures 15-22'!K42</f>
        <v>1098337</v>
      </c>
      <c r="C1115" s="2" t="s">
        <v>594</v>
      </c>
      <c r="D1115" s="2" t="str">
        <f t="shared" si="16"/>
        <v>Error?</v>
      </c>
    </row>
    <row r="1116" spans="1:4" x14ac:dyDescent="0.2">
      <c r="A1116" s="5">
        <v>1055</v>
      </c>
      <c r="B1116" s="138">
        <f>'Expenditures 15-22'!K44</f>
        <v>679815</v>
      </c>
      <c r="C1116" s="2" t="s">
        <v>594</v>
      </c>
      <c r="D1116" s="2" t="str">
        <f t="shared" si="16"/>
        <v>Error?</v>
      </c>
    </row>
    <row r="1117" spans="1:4" x14ac:dyDescent="0.2">
      <c r="A1117" s="5">
        <v>1056</v>
      </c>
      <c r="B1117" s="138">
        <f>'Expenditures 15-22'!K45</f>
        <v>432676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1112491</v>
      </c>
      <c r="C1119" s="2" t="s">
        <v>594</v>
      </c>
      <c r="D1119" s="2" t="str">
        <f t="shared" si="16"/>
        <v>Error?</v>
      </c>
    </row>
    <row r="1120" spans="1:4" x14ac:dyDescent="0.2">
      <c r="A1120" s="5">
        <v>1059</v>
      </c>
      <c r="B1120" s="138">
        <f>'Expenditures 15-22'!K49</f>
        <v>109875</v>
      </c>
      <c r="C1120" s="2" t="s">
        <v>594</v>
      </c>
      <c r="D1120" s="2" t="str">
        <f t="shared" si="16"/>
        <v>Error?</v>
      </c>
    </row>
    <row r="1121" spans="1:4" x14ac:dyDescent="0.2">
      <c r="A1121" s="5">
        <v>1060</v>
      </c>
      <c r="B1121" s="138">
        <f>'Expenditures 15-22'!K50</f>
        <v>112081</v>
      </c>
      <c r="C1121" s="2" t="s">
        <v>594</v>
      </c>
      <c r="D1121" s="2" t="str">
        <f t="shared" si="16"/>
        <v>Error?</v>
      </c>
    </row>
    <row r="1122" spans="1:4" x14ac:dyDescent="0.2">
      <c r="A1122" s="5">
        <v>1061</v>
      </c>
      <c r="B1122" s="138">
        <f>'Expenditures 15-22'!K53</f>
        <v>398658</v>
      </c>
      <c r="C1122" s="2" t="s">
        <v>594</v>
      </c>
      <c r="D1122" s="2" t="str">
        <f t="shared" si="16"/>
        <v>Error?</v>
      </c>
    </row>
    <row r="1123" spans="1:4" x14ac:dyDescent="0.2">
      <c r="A1123" s="5">
        <v>1062</v>
      </c>
      <c r="B1123" s="138">
        <f>'Expenditures 15-22'!K55</f>
        <v>1006266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1006266</v>
      </c>
      <c r="C1125" s="2" t="s">
        <v>594</v>
      </c>
      <c r="D1125" s="2" t="str">
        <f t="shared" si="16"/>
        <v>Error?</v>
      </c>
    </row>
    <row r="1126" spans="1:4" x14ac:dyDescent="0.2">
      <c r="A1126" s="5">
        <v>1065</v>
      </c>
      <c r="B1126" s="138">
        <f>'Expenditures 15-22'!K59</f>
        <v>75930</v>
      </c>
      <c r="C1126" s="2" t="s">
        <v>594</v>
      </c>
      <c r="D1126" s="2" t="str">
        <f t="shared" si="16"/>
        <v>Error?</v>
      </c>
    </row>
    <row r="1127" spans="1:4" x14ac:dyDescent="0.2">
      <c r="A1127" s="5">
        <v>1066</v>
      </c>
      <c r="B1127" s="138">
        <f>'Expenditures 15-22'!K60</f>
        <v>144784</v>
      </c>
      <c r="C1127" s="2" t="s">
        <v>594</v>
      </c>
      <c r="D1127" s="2" t="str">
        <f t="shared" si="16"/>
        <v>Error?</v>
      </c>
    </row>
    <row r="1128" spans="1:4" x14ac:dyDescent="0.2">
      <c r="A1128" s="5">
        <v>1067</v>
      </c>
      <c r="B1128" s="138">
        <f>'Expenditures 15-22'!K61</f>
        <v>9900</v>
      </c>
      <c r="C1128" s="2" t="s">
        <v>594</v>
      </c>
      <c r="D1128" s="2" t="str">
        <f t="shared" si="16"/>
        <v>Error?</v>
      </c>
    </row>
    <row r="1129" spans="1:4" x14ac:dyDescent="0.2">
      <c r="A1129" s="5">
        <v>1068</v>
      </c>
      <c r="B1129" s="138">
        <f>'Expenditures 15-22'!K62</f>
        <v>152991</v>
      </c>
      <c r="C1129" s="2" t="s">
        <v>594</v>
      </c>
      <c r="D1129" s="2" t="str">
        <f t="shared" si="16"/>
        <v>Error?</v>
      </c>
    </row>
    <row r="1130" spans="1:4" x14ac:dyDescent="0.2">
      <c r="A1130" s="5">
        <v>1069</v>
      </c>
      <c r="B1130" s="138">
        <f>'Expenditures 15-22'!K63</f>
        <v>708104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1091709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17142</v>
      </c>
      <c r="C1139" s="2" t="s">
        <v>594</v>
      </c>
      <c r="D1139" s="2" t="str">
        <f t="shared" si="16"/>
        <v>Error?</v>
      </c>
    </row>
    <row r="1140" spans="1:4" x14ac:dyDescent="0.2">
      <c r="A1140" s="10">
        <v>1079</v>
      </c>
      <c r="D1140" s="2" t="str">
        <f t="shared" si="16"/>
        <v>OK</v>
      </c>
    </row>
    <row r="1141" spans="1:4" x14ac:dyDescent="0.2">
      <c r="A1141" s="5">
        <v>1080</v>
      </c>
      <c r="B1141" s="138">
        <f>'Expenditures 15-22'!K72</f>
        <v>17142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4724603</v>
      </c>
      <c r="C1143" s="2" t="s">
        <v>594</v>
      </c>
      <c r="D1143" s="2" t="str">
        <f t="shared" si="16"/>
        <v>Error?</v>
      </c>
    </row>
    <row r="1144" spans="1:4" x14ac:dyDescent="0.2">
      <c r="A1144" s="5">
        <v>1083</v>
      </c>
      <c r="B1144" s="138">
        <f>'Expenditures 15-22'!K75</f>
        <v>208441</v>
      </c>
      <c r="C1144" s="2" t="s">
        <v>594</v>
      </c>
      <c r="D1144" s="2" t="str">
        <f t="shared" si="16"/>
        <v>Error?</v>
      </c>
    </row>
    <row r="1145" spans="1:4" x14ac:dyDescent="0.2">
      <c r="A1145" s="5">
        <v>1084</v>
      </c>
      <c r="B1145" s="138">
        <f>'Expenditures 15-22'!K102</f>
        <v>649243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16694594</v>
      </c>
      <c r="C1152" s="2" t="s">
        <v>594</v>
      </c>
      <c r="D1152" s="2" t="str">
        <f t="shared" si="17"/>
        <v>Error?</v>
      </c>
    </row>
    <row r="1153" spans="1:4" x14ac:dyDescent="0.2">
      <c r="A1153" s="5">
        <v>1092</v>
      </c>
      <c r="B1153" s="138">
        <f>'Expenditures 15-22'!K115</f>
        <v>12049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214421</v>
      </c>
      <c r="D1221" s="2" t="str">
        <f t="shared" si="18"/>
        <v>Error?</v>
      </c>
    </row>
    <row r="1222" spans="1:4" x14ac:dyDescent="0.2">
      <c r="A1222" s="10">
        <v>1161</v>
      </c>
      <c r="D1222" s="2" t="str">
        <f t="shared" si="18"/>
        <v>OK</v>
      </c>
    </row>
    <row r="1223" spans="1:4" x14ac:dyDescent="0.2">
      <c r="A1223" s="5">
        <v>1162</v>
      </c>
      <c r="B1223" s="138">
        <f>'Expenditures 15-22'!C127</f>
        <v>214421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214421</v>
      </c>
      <c r="C1225" s="2" t="s">
        <v>594</v>
      </c>
      <c r="D1225" s="2" t="str">
        <f t="shared" si="18"/>
        <v>Error?</v>
      </c>
    </row>
    <row r="1226" spans="1:4" x14ac:dyDescent="0.2">
      <c r="A1226" s="5">
        <v>1165</v>
      </c>
      <c r="B1226" s="138">
        <f>'Expenditures 15-22'!C151</f>
        <v>214421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14543</v>
      </c>
      <c r="D1229" s="2" t="str">
        <f t="shared" si="18"/>
        <v>Error?</v>
      </c>
    </row>
    <row r="1230" spans="1:4" x14ac:dyDescent="0.2">
      <c r="A1230" s="10">
        <v>1169</v>
      </c>
      <c r="D1230" s="2" t="str">
        <f t="shared" si="18"/>
        <v>OK</v>
      </c>
    </row>
    <row r="1231" spans="1:4" x14ac:dyDescent="0.2">
      <c r="A1231" s="5">
        <v>1170</v>
      </c>
      <c r="B1231" s="138">
        <f>'Expenditures 15-22'!D127</f>
        <v>14543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14543</v>
      </c>
      <c r="C1233" s="2" t="s">
        <v>594</v>
      </c>
      <c r="D1233" s="2" t="str">
        <f t="shared" si="18"/>
        <v>Error?</v>
      </c>
    </row>
    <row r="1234" spans="1:4" x14ac:dyDescent="0.2">
      <c r="A1234" s="5">
        <v>1173</v>
      </c>
      <c r="B1234" s="138">
        <f>'Expenditures 15-22'!D151</f>
        <v>14543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412769</v>
      </c>
      <c r="D1237" s="2" t="str">
        <f t="shared" si="18"/>
        <v>Error?</v>
      </c>
    </row>
    <row r="1238" spans="1:4" x14ac:dyDescent="0.2">
      <c r="A1238" s="10">
        <v>1177</v>
      </c>
      <c r="D1238" s="2" t="str">
        <f t="shared" si="18"/>
        <v>OK</v>
      </c>
    </row>
    <row r="1239" spans="1:4" x14ac:dyDescent="0.2">
      <c r="A1239" s="5">
        <v>1178</v>
      </c>
      <c r="B1239" s="138">
        <f>'Expenditures 15-22'!E127</f>
        <v>412769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412769</v>
      </c>
      <c r="C1241" s="2" t="s">
        <v>594</v>
      </c>
      <c r="D1241" s="2" t="str">
        <f t="shared" si="18"/>
        <v>Error?</v>
      </c>
    </row>
    <row r="1242" spans="1:4" x14ac:dyDescent="0.2">
      <c r="A1242" s="5">
        <v>1181</v>
      </c>
      <c r="B1242" s="138">
        <f>'Expenditures 15-22'!E151</f>
        <v>412769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419583</v>
      </c>
      <c r="D1245" s="2" t="str">
        <f t="shared" si="18"/>
        <v>Error?</v>
      </c>
    </row>
    <row r="1246" spans="1:4" x14ac:dyDescent="0.2">
      <c r="A1246" s="10">
        <v>1185</v>
      </c>
      <c r="D1246" s="2" t="str">
        <f t="shared" si="18"/>
        <v>OK</v>
      </c>
    </row>
    <row r="1247" spans="1:4" x14ac:dyDescent="0.2">
      <c r="A1247" s="5">
        <v>1186</v>
      </c>
      <c r="B1247" s="138">
        <f>'Expenditures 15-22'!F127</f>
        <v>419583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419583</v>
      </c>
      <c r="C1249" s="2" t="s">
        <v>594</v>
      </c>
      <c r="D1249" s="2" t="str">
        <f t="shared" si="18"/>
        <v>Error?</v>
      </c>
    </row>
    <row r="1250" spans="1:4" x14ac:dyDescent="0.2">
      <c r="A1250" s="5">
        <v>1189</v>
      </c>
      <c r="B1250" s="138">
        <f>'Expenditures 15-22'!F151</f>
        <v>419583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23319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23319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23319</v>
      </c>
      <c r="C1258" s="2" t="s">
        <v>594</v>
      </c>
      <c r="D1258" s="2" t="str">
        <f t="shared" si="18"/>
        <v>Error?</v>
      </c>
    </row>
    <row r="1259" spans="1:4" x14ac:dyDescent="0.2">
      <c r="A1259" s="5">
        <v>1198</v>
      </c>
      <c r="B1259" s="138">
        <f>'Expenditures 15-22'!G151</f>
        <v>23319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366</v>
      </c>
      <c r="D1262" s="2" t="str">
        <f t="shared" si="18"/>
        <v>Error?</v>
      </c>
    </row>
    <row r="1263" spans="1:4" x14ac:dyDescent="0.2">
      <c r="A1263" s="10">
        <v>1202</v>
      </c>
      <c r="D1263" s="2" t="str">
        <f t="shared" si="18"/>
        <v>OK</v>
      </c>
    </row>
    <row r="1264" spans="1:4" x14ac:dyDescent="0.2">
      <c r="A1264" s="5">
        <v>1203</v>
      </c>
      <c r="B1264" s="138">
        <f>'Expenditures 15-22'!H127</f>
        <v>366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366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366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1085001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1085001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1085001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1085001</v>
      </c>
      <c r="C1288" s="2" t="s">
        <v>594</v>
      </c>
      <c r="D1288" s="2" t="str">
        <f t="shared" si="19"/>
        <v>Error?</v>
      </c>
    </row>
    <row r="1289" spans="1:4" x14ac:dyDescent="0.2">
      <c r="A1289" s="5">
        <v>1228</v>
      </c>
      <c r="B1289" s="138">
        <f>'Expenditures 15-22'!K152</f>
        <v>11857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196628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1080781</v>
      </c>
      <c r="D1315" s="2" t="str">
        <f t="shared" si="19"/>
        <v>Error?</v>
      </c>
    </row>
    <row r="1316" spans="1:4" x14ac:dyDescent="0.2">
      <c r="A1316" s="5">
        <v>1255</v>
      </c>
      <c r="B1316" s="138">
        <f>'Expenditures 15-22'!H171</f>
        <v>800</v>
      </c>
      <c r="D1316" s="2" t="str">
        <f t="shared" si="19"/>
        <v>Error?</v>
      </c>
    </row>
    <row r="1317" spans="1:4" x14ac:dyDescent="0.2">
      <c r="A1317" s="5">
        <v>1256</v>
      </c>
      <c r="B1317" s="138">
        <f>'Expenditures 15-22'!H172</f>
        <v>1278209</v>
      </c>
      <c r="C1317" s="2" t="s">
        <v>594</v>
      </c>
      <c r="D1317" s="2" t="str">
        <f t="shared" si="19"/>
        <v>Error?</v>
      </c>
    </row>
    <row r="1318" spans="1:4" x14ac:dyDescent="0.2">
      <c r="A1318" s="5">
        <v>1257</v>
      </c>
      <c r="B1318" s="138">
        <f>'Expenditures 15-22'!H174</f>
        <v>1278209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196628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1080781</v>
      </c>
      <c r="C1329" s="2" t="s">
        <v>594</v>
      </c>
      <c r="D1329" s="2" t="str">
        <f t="shared" si="19"/>
        <v>Error?</v>
      </c>
    </row>
    <row r="1330" spans="1:4" x14ac:dyDescent="0.2">
      <c r="A1330" s="5">
        <v>1269</v>
      </c>
      <c r="B1330" s="138">
        <f>'Expenditures 15-22'!K171</f>
        <v>800</v>
      </c>
      <c r="C1330" s="2" t="s">
        <v>594</v>
      </c>
      <c r="D1330" s="2" t="str">
        <f t="shared" si="19"/>
        <v>Error?</v>
      </c>
    </row>
    <row r="1331" spans="1:4" x14ac:dyDescent="0.2">
      <c r="A1331" s="5">
        <v>1270</v>
      </c>
      <c r="B1331" s="138">
        <f>'Expenditures 15-22'!K172</f>
        <v>1278209</v>
      </c>
      <c r="C1331" s="2" t="s">
        <v>594</v>
      </c>
      <c r="D1331" s="2" t="str">
        <f t="shared" si="19"/>
        <v>Error?</v>
      </c>
    </row>
    <row r="1332" spans="1:4" x14ac:dyDescent="0.2">
      <c r="A1332" s="5">
        <v>1271</v>
      </c>
      <c r="B1332" s="138">
        <f>'Expenditures 15-22'!K174</f>
        <v>1278209</v>
      </c>
      <c r="C1332" s="2" t="s">
        <v>594</v>
      </c>
      <c r="D1332" s="2" t="str">
        <f t="shared" si="19"/>
        <v>Error?</v>
      </c>
    </row>
    <row r="1333" spans="1:4" x14ac:dyDescent="0.2">
      <c r="A1333" s="5">
        <v>1272</v>
      </c>
      <c r="B1333" s="138">
        <f>'Expenditures 15-22'!K175</f>
        <v>11641</v>
      </c>
      <c r="C1333" s="2" t="s">
        <v>594</v>
      </c>
      <c r="D1333" s="2" t="str">
        <f t="shared" si="19"/>
        <v>Error?</v>
      </c>
    </row>
    <row r="1334" spans="1:4" x14ac:dyDescent="0.2">
      <c r="A1334" s="10">
        <v>1273</v>
      </c>
      <c r="D1334" s="2" t="str">
        <f t="shared" si="19"/>
        <v>OK</v>
      </c>
    </row>
    <row r="1335" spans="1:4" x14ac:dyDescent="0.2">
      <c r="A1335" s="5">
        <v>1274</v>
      </c>
      <c r="B1335" s="138">
        <f>'Expenditures 15-22'!C182</f>
        <v>41860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41860</v>
      </c>
      <c r="C1339" s="2" t="s">
        <v>594</v>
      </c>
      <c r="D1339" s="2" t="str">
        <f t="shared" si="19"/>
        <v>Error?</v>
      </c>
    </row>
    <row r="1340" spans="1:4" x14ac:dyDescent="0.2">
      <c r="A1340" s="5">
        <v>1279</v>
      </c>
      <c r="B1340" s="138">
        <f>'Expenditures 15-22'!C210</f>
        <v>41860</v>
      </c>
      <c r="C1340" s="2" t="s">
        <v>594</v>
      </c>
      <c r="D1340" s="2" t="str">
        <f t="shared" si="19"/>
        <v>Error?</v>
      </c>
    </row>
    <row r="1341" spans="1:4" x14ac:dyDescent="0.2">
      <c r="A1341" s="5">
        <v>1280</v>
      </c>
      <c r="B1341" s="138">
        <f>'Expenditures 15-22'!D182</f>
        <v>5997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5997</v>
      </c>
      <c r="C1345" s="2" t="s">
        <v>594</v>
      </c>
      <c r="D1345" s="2" t="str">
        <f t="shared" si="20"/>
        <v>Error?</v>
      </c>
    </row>
    <row r="1346" spans="1:4" x14ac:dyDescent="0.2">
      <c r="A1346" s="5">
        <v>1285</v>
      </c>
      <c r="B1346" s="138">
        <f>'Expenditures 15-22'!D210</f>
        <v>5997</v>
      </c>
      <c r="C1346" s="2" t="s">
        <v>594</v>
      </c>
      <c r="D1346" s="2" t="str">
        <f t="shared" si="20"/>
        <v>Error?</v>
      </c>
    </row>
    <row r="1347" spans="1:4" x14ac:dyDescent="0.2">
      <c r="A1347" s="5">
        <v>1286</v>
      </c>
      <c r="B1347" s="138">
        <f>'Expenditures 15-22'!E182</f>
        <v>1194733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1194733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1194733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1242590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1242590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1242590</v>
      </c>
      <c r="C1388" s="2" t="s">
        <v>594</v>
      </c>
      <c r="D1388" s="2" t="str">
        <f t="shared" si="20"/>
        <v>Error?</v>
      </c>
    </row>
    <row r="1389" spans="1:4" x14ac:dyDescent="0.2">
      <c r="A1389" s="5">
        <v>1328</v>
      </c>
      <c r="B1389" s="138">
        <f>'Expenditures 15-22'!K211</f>
        <v>400669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3018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20067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3354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291085</v>
      </c>
      <c r="C1410" s="2" t="s">
        <v>594</v>
      </c>
      <c r="D1410" s="2" t="str">
        <f t="shared" si="21"/>
        <v>Error?</v>
      </c>
    </row>
    <row r="1411" spans="1:4" x14ac:dyDescent="0.2">
      <c r="A1411" s="5">
        <v>1350</v>
      </c>
      <c r="B1411" s="138">
        <f>'Expenditures 15-22'!D232</f>
        <v>5503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18155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3857</v>
      </c>
      <c r="D1415" s="2" t="str">
        <f t="shared" si="21"/>
        <v>Error?</v>
      </c>
    </row>
    <row r="1416" spans="1:4" x14ac:dyDescent="0.2">
      <c r="A1416" s="5">
        <v>1355</v>
      </c>
      <c r="B1416" s="138">
        <f>'Expenditures 15-22'!D237</f>
        <v>9973</v>
      </c>
      <c r="D1416" s="2" t="str">
        <f t="shared" si="21"/>
        <v>Error?</v>
      </c>
    </row>
    <row r="1417" spans="1:4" x14ac:dyDescent="0.2">
      <c r="A1417" s="5">
        <v>1356</v>
      </c>
      <c r="B1417" s="138">
        <f>'Expenditures 15-22'!D238</f>
        <v>37488</v>
      </c>
      <c r="C1417" s="2" t="s">
        <v>594</v>
      </c>
      <c r="D1417" s="2" t="str">
        <f t="shared" si="21"/>
        <v>Error?</v>
      </c>
    </row>
    <row r="1418" spans="1:4" x14ac:dyDescent="0.2">
      <c r="A1418" s="5">
        <v>1357</v>
      </c>
      <c r="B1418" s="138">
        <f>'Expenditures 15-22'!D240</f>
        <v>16253</v>
      </c>
      <c r="D1418" s="2" t="str">
        <f t="shared" si="21"/>
        <v>Error?</v>
      </c>
    </row>
    <row r="1419" spans="1:4" x14ac:dyDescent="0.2">
      <c r="A1419" s="5">
        <v>1358</v>
      </c>
      <c r="B1419" s="138">
        <f>'Expenditures 15-22'!D241</f>
        <v>25447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41700</v>
      </c>
      <c r="C1421" s="2" t="s">
        <v>594</v>
      </c>
      <c r="D1421" s="2" t="str">
        <f t="shared" si="21"/>
        <v>Error?</v>
      </c>
    </row>
    <row r="1422" spans="1:4" x14ac:dyDescent="0.2">
      <c r="A1422" s="5">
        <v>1361</v>
      </c>
      <c r="B1422" s="138">
        <f>'Expenditures 15-22'!D245</f>
        <v>2512</v>
      </c>
      <c r="D1422" s="2" t="str">
        <f t="shared" si="21"/>
        <v>Error?</v>
      </c>
    </row>
    <row r="1423" spans="1:4" x14ac:dyDescent="0.2">
      <c r="A1423" s="5">
        <v>1362</v>
      </c>
      <c r="B1423" s="138">
        <f>'Expenditures 15-22'!D246</f>
        <v>9789</v>
      </c>
      <c r="D1423" s="2" t="str">
        <f t="shared" si="21"/>
        <v>Error?</v>
      </c>
    </row>
    <row r="1424" spans="1:4" x14ac:dyDescent="0.2">
      <c r="A1424" s="5">
        <v>1363</v>
      </c>
      <c r="B1424" s="138">
        <f>'Expenditures 15-22'!D257</f>
        <v>37986</v>
      </c>
      <c r="C1424" s="2" t="s">
        <v>594</v>
      </c>
      <c r="D1424" s="2" t="str">
        <f t="shared" si="21"/>
        <v>Error?</v>
      </c>
    </row>
    <row r="1425" spans="1:4" x14ac:dyDescent="0.2">
      <c r="A1425" s="5">
        <v>1364</v>
      </c>
      <c r="B1425" s="138">
        <f>'Expenditures 15-22'!D259</f>
        <v>57836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57836</v>
      </c>
      <c r="C1427" s="2" t="s">
        <v>594</v>
      </c>
      <c r="D1427" s="2" t="str">
        <f t="shared" si="21"/>
        <v>Error?</v>
      </c>
    </row>
    <row r="1428" spans="1:4" x14ac:dyDescent="0.2">
      <c r="A1428" s="5">
        <v>1367</v>
      </c>
      <c r="B1428" s="138">
        <f>'Expenditures 15-22'!D263</f>
        <v>912</v>
      </c>
      <c r="D1428" s="2" t="str">
        <f t="shared" si="21"/>
        <v>Error?</v>
      </c>
    </row>
    <row r="1429" spans="1:4" x14ac:dyDescent="0.2">
      <c r="A1429" s="5">
        <v>1368</v>
      </c>
      <c r="B1429" s="138">
        <f>'Expenditures 15-22'!D264</f>
        <v>25122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39525</v>
      </c>
      <c r="D1431" s="2" t="str">
        <f t="shared" si="21"/>
        <v>Error?</v>
      </c>
    </row>
    <row r="1432" spans="1:4" x14ac:dyDescent="0.2">
      <c r="A1432" s="5">
        <v>1371</v>
      </c>
      <c r="B1432" s="138">
        <f>'Expenditures 15-22'!D267</f>
        <v>606</v>
      </c>
      <c r="D1432" s="2" t="str">
        <f t="shared" si="21"/>
        <v>Error?</v>
      </c>
    </row>
    <row r="1433" spans="1:4" x14ac:dyDescent="0.2">
      <c r="A1433" s="5">
        <v>1372</v>
      </c>
      <c r="B1433" s="138">
        <f>'Expenditures 15-22'!D268</f>
        <v>50454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116619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291629</v>
      </c>
      <c r="C1446" s="2" t="s">
        <v>594</v>
      </c>
      <c r="D1446" s="2" t="str">
        <f t="shared" si="21"/>
        <v>Error?</v>
      </c>
    </row>
    <row r="1447" spans="1:4" x14ac:dyDescent="0.2">
      <c r="A1447" s="5">
        <v>1386</v>
      </c>
      <c r="B1447" s="138">
        <f>'Expenditures 15-22'!D280</f>
        <v>6407</v>
      </c>
      <c r="D1447" s="2" t="str">
        <f t="shared" si="21"/>
        <v>Error?</v>
      </c>
    </row>
    <row r="1448" spans="1:4" x14ac:dyDescent="0.2">
      <c r="A1448" s="5">
        <v>1387</v>
      </c>
      <c r="B1448" s="138">
        <f>'Expenditures 15-22'!D295</f>
        <v>589121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3018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20067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3354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291085</v>
      </c>
      <c r="C1474" s="2" t="s">
        <v>594</v>
      </c>
      <c r="D1474" s="2" t="str">
        <f t="shared" si="22"/>
        <v>Error?</v>
      </c>
    </row>
    <row r="1475" spans="1:4" x14ac:dyDescent="0.2">
      <c r="A1475" s="5">
        <v>1414</v>
      </c>
      <c r="B1475" s="138">
        <f>'Expenditures 15-22'!K232</f>
        <v>5503</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18155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3857</v>
      </c>
      <c r="C1479" s="2" t="s">
        <v>594</v>
      </c>
      <c r="D1479" s="2" t="str">
        <f t="shared" si="22"/>
        <v>Error?</v>
      </c>
    </row>
    <row r="1480" spans="1:4" x14ac:dyDescent="0.2">
      <c r="A1480" s="5">
        <v>1419</v>
      </c>
      <c r="B1480" s="138">
        <f>'Expenditures 15-22'!K237</f>
        <v>9973</v>
      </c>
      <c r="C1480" s="2" t="s">
        <v>594</v>
      </c>
      <c r="D1480" s="2" t="str">
        <f t="shared" si="22"/>
        <v>Error?</v>
      </c>
    </row>
    <row r="1481" spans="1:4" x14ac:dyDescent="0.2">
      <c r="A1481" s="5">
        <v>1420</v>
      </c>
      <c r="B1481" s="138">
        <f>'Expenditures 15-22'!K238</f>
        <v>37488</v>
      </c>
      <c r="C1481" s="2" t="s">
        <v>594</v>
      </c>
      <c r="D1481" s="2" t="str">
        <f t="shared" si="22"/>
        <v>Error?</v>
      </c>
    </row>
    <row r="1482" spans="1:4" x14ac:dyDescent="0.2">
      <c r="A1482" s="5">
        <v>1421</v>
      </c>
      <c r="B1482" s="138">
        <f>'Expenditures 15-22'!K240</f>
        <v>16253</v>
      </c>
      <c r="C1482" s="2" t="s">
        <v>594</v>
      </c>
      <c r="D1482" s="2" t="str">
        <f t="shared" si="22"/>
        <v>Error?</v>
      </c>
    </row>
    <row r="1483" spans="1:4" x14ac:dyDescent="0.2">
      <c r="A1483" s="5">
        <v>1422</v>
      </c>
      <c r="B1483" s="138">
        <f>'Expenditures 15-22'!K241</f>
        <v>25447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41700</v>
      </c>
      <c r="C1485" s="2" t="s">
        <v>594</v>
      </c>
      <c r="D1485" s="2" t="str">
        <f t="shared" si="22"/>
        <v>Error?</v>
      </c>
    </row>
    <row r="1486" spans="1:4" x14ac:dyDescent="0.2">
      <c r="A1486" s="5">
        <v>1425</v>
      </c>
      <c r="B1486" s="138">
        <f>'Expenditures 15-22'!K245</f>
        <v>2512</v>
      </c>
      <c r="C1486" s="2" t="s">
        <v>594</v>
      </c>
      <c r="D1486" s="2" t="str">
        <f t="shared" si="22"/>
        <v>Error?</v>
      </c>
    </row>
    <row r="1487" spans="1:4" x14ac:dyDescent="0.2">
      <c r="A1487" s="5">
        <v>1426</v>
      </c>
      <c r="B1487" s="138">
        <f>'Expenditures 15-22'!K246</f>
        <v>9789</v>
      </c>
      <c r="C1487" s="2" t="s">
        <v>594</v>
      </c>
      <c r="D1487" s="2" t="str">
        <f t="shared" si="22"/>
        <v>Error?</v>
      </c>
    </row>
    <row r="1488" spans="1:4" x14ac:dyDescent="0.2">
      <c r="A1488" s="5">
        <v>1427</v>
      </c>
      <c r="B1488" s="138">
        <f>'Expenditures 15-22'!K257</f>
        <v>37986</v>
      </c>
      <c r="C1488" s="2" t="s">
        <v>594</v>
      </c>
      <c r="D1488" s="2" t="str">
        <f t="shared" si="22"/>
        <v>Error?</v>
      </c>
    </row>
    <row r="1489" spans="1:4" x14ac:dyDescent="0.2">
      <c r="A1489" s="5">
        <v>1428</v>
      </c>
      <c r="B1489" s="138">
        <f>'Expenditures 15-22'!K259</f>
        <v>57836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57836</v>
      </c>
      <c r="C1491" s="2" t="s">
        <v>594</v>
      </c>
      <c r="D1491" s="2" t="str">
        <f t="shared" si="22"/>
        <v>Error?</v>
      </c>
    </row>
    <row r="1492" spans="1:4" x14ac:dyDescent="0.2">
      <c r="A1492" s="5">
        <v>1431</v>
      </c>
      <c r="B1492" s="138">
        <f>'Expenditures 15-22'!K263</f>
        <v>912</v>
      </c>
      <c r="C1492" s="2" t="s">
        <v>594</v>
      </c>
      <c r="D1492" s="2" t="str">
        <f t="shared" si="22"/>
        <v>Error?</v>
      </c>
    </row>
    <row r="1493" spans="1:4" x14ac:dyDescent="0.2">
      <c r="A1493" s="5">
        <v>1432</v>
      </c>
      <c r="B1493" s="138">
        <f>'Expenditures 15-22'!K264</f>
        <v>25122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39525</v>
      </c>
      <c r="C1495" s="2" t="s">
        <v>594</v>
      </c>
      <c r="D1495" s="2" t="str">
        <f t="shared" si="22"/>
        <v>Error?</v>
      </c>
    </row>
    <row r="1496" spans="1:4" x14ac:dyDescent="0.2">
      <c r="A1496" s="5">
        <v>1435</v>
      </c>
      <c r="B1496" s="138">
        <f>'Expenditures 15-22'!K267</f>
        <v>606</v>
      </c>
      <c r="C1496" s="2" t="s">
        <v>594</v>
      </c>
      <c r="D1496" s="2" t="str">
        <f t="shared" si="22"/>
        <v>Error?</v>
      </c>
    </row>
    <row r="1497" spans="1:4" x14ac:dyDescent="0.2">
      <c r="A1497" s="5">
        <v>1436</v>
      </c>
      <c r="B1497" s="138">
        <f>'Expenditures 15-22'!K268</f>
        <v>50454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116619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291629</v>
      </c>
      <c r="C1510" s="2" t="s">
        <v>594</v>
      </c>
      <c r="D1510" s="2" t="str">
        <f t="shared" si="22"/>
        <v>Error?</v>
      </c>
    </row>
    <row r="1511" spans="1:4" x14ac:dyDescent="0.2">
      <c r="A1511" s="5">
        <v>1450</v>
      </c>
      <c r="B1511" s="138">
        <f>'Expenditures 15-22'!K280</f>
        <v>6407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589121</v>
      </c>
      <c r="C1517" s="2" t="s">
        <v>594</v>
      </c>
      <c r="D1517" s="2" t="str">
        <f t="shared" si="22"/>
        <v>Error?</v>
      </c>
    </row>
    <row r="1518" spans="1:4" x14ac:dyDescent="0.2">
      <c r="A1518" s="5">
        <v>1457</v>
      </c>
      <c r="B1518" s="138">
        <f>'Expenditures 15-22'!K296</f>
        <v>-47553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1863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1863</v>
      </c>
      <c r="C1535" s="2" t="s">
        <v>594</v>
      </c>
      <c r="D1535" s="2" t="str">
        <f t="shared" ref="D1535:D1598" si="23">IF(ISBLANK(B1535),"OK",IF(A1535-B1535=0,"OK","Error?"))</f>
        <v>Error?</v>
      </c>
    </row>
    <row r="1536" spans="1:4" x14ac:dyDescent="0.2">
      <c r="A1536" s="5">
        <v>1475</v>
      </c>
      <c r="B1536" s="138">
        <f>'Expenditures 15-22'!E312</f>
        <v>1863</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88037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88037</v>
      </c>
      <c r="C1547" s="2" t="s">
        <v>594</v>
      </c>
      <c r="D1547" s="2" t="str">
        <f t="shared" si="23"/>
        <v>Error?</v>
      </c>
    </row>
    <row r="1548" spans="1:4" x14ac:dyDescent="0.2">
      <c r="A1548" s="5">
        <v>1487</v>
      </c>
      <c r="B1548" s="138">
        <f>'Expenditures 15-22'!G312</f>
        <v>88037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89900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89900</v>
      </c>
      <c r="C1559" s="2" t="s">
        <v>594</v>
      </c>
      <c r="D1559" s="2" t="str">
        <f t="shared" si="23"/>
        <v>Error?</v>
      </c>
    </row>
    <row r="1560" spans="1:4" x14ac:dyDescent="0.2">
      <c r="A1560" s="5">
        <v>1499</v>
      </c>
      <c r="B1560" s="138">
        <f>'Expenditures 15-22'!K312</f>
        <v>89900</v>
      </c>
      <c r="C1560" s="2" t="s">
        <v>594</v>
      </c>
      <c r="D1560" s="2" t="str">
        <f t="shared" si="23"/>
        <v>Error?</v>
      </c>
    </row>
    <row r="1561" spans="1:4" x14ac:dyDescent="0.2">
      <c r="A1561" s="5">
        <v>1500</v>
      </c>
      <c r="B1561" s="138">
        <f>'Expenditures 15-22'!K313</f>
        <v>706716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2031811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2044267</v>
      </c>
      <c r="C1630" s="2" t="s">
        <v>594</v>
      </c>
      <c r="D1630" s="2" t="str">
        <f t="shared" si="24"/>
        <v>Error?</v>
      </c>
    </row>
    <row r="1631" spans="1:4" x14ac:dyDescent="0.2">
      <c r="A1631" s="5">
        <v>1570</v>
      </c>
      <c r="B1631" s="138">
        <f>'Acct Summary 7-8'!D79</f>
        <v>408968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420825</v>
      </c>
      <c r="C1644" s="2" t="s">
        <v>594</v>
      </c>
      <c r="D1644" s="2" t="str">
        <f t="shared" si="24"/>
        <v>Error?</v>
      </c>
    </row>
    <row r="1645" spans="1:4" x14ac:dyDescent="0.2">
      <c r="A1645" s="5">
        <v>1584</v>
      </c>
      <c r="B1645" s="138">
        <f>'Acct Summary 7-8'!E79</f>
        <v>49241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60882</v>
      </c>
      <c r="C1658" s="2" t="s">
        <v>594</v>
      </c>
      <c r="D1658" s="2" t="str">
        <f t="shared" si="24"/>
        <v>Error?</v>
      </c>
    </row>
    <row r="1659" spans="1:4" x14ac:dyDescent="0.2">
      <c r="A1659" s="5">
        <v>1598</v>
      </c>
      <c r="B1659" s="138">
        <f>'Acct Summary 7-8'!F79</f>
        <v>461047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861716</v>
      </c>
      <c r="C1672" s="2" t="s">
        <v>594</v>
      </c>
      <c r="D1672" s="2" t="str">
        <f t="shared" si="25"/>
        <v>Error?</v>
      </c>
    </row>
    <row r="1673" spans="1:4" x14ac:dyDescent="0.2">
      <c r="A1673" s="5">
        <v>1612</v>
      </c>
      <c r="B1673" s="138">
        <f>'Acct Summary 7-8'!G79</f>
        <v>52989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5436</v>
      </c>
      <c r="C1686" s="2" t="s">
        <v>594</v>
      </c>
      <c r="D1686" s="2" t="str">
        <f t="shared" si="25"/>
        <v>Error?</v>
      </c>
    </row>
    <row r="1687" spans="1:4" x14ac:dyDescent="0.2">
      <c r="A1687" s="5">
        <v>1626</v>
      </c>
      <c r="B1687" s="138">
        <f>'Acct Summary 7-8'!H79</f>
        <v>485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707201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9478975</v>
      </c>
      <c r="C1744" s="2" t="s">
        <v>594</v>
      </c>
      <c r="D1744" s="2" t="str">
        <f t="shared" si="26"/>
        <v>Error?</v>
      </c>
    </row>
    <row r="1745" spans="1:5" x14ac:dyDescent="0.2">
      <c r="A1745" s="5">
        <v>1684</v>
      </c>
      <c r="B1745" s="138">
        <f>'Tax Sched 23'!B5</f>
        <v>976876</v>
      </c>
      <c r="C1745" s="2" t="s">
        <v>594</v>
      </c>
      <c r="D1745" s="2" t="str">
        <f t="shared" si="26"/>
        <v>Error?</v>
      </c>
    </row>
    <row r="1746" spans="1:5" x14ac:dyDescent="0.2">
      <c r="A1746" s="5">
        <v>1685</v>
      </c>
      <c r="B1746" s="138">
        <f>'Tax Sched 23'!B6</f>
        <v>1280687</v>
      </c>
      <c r="C1746" s="2" t="s">
        <v>594</v>
      </c>
      <c r="D1746" s="2" t="str">
        <f t="shared" si="26"/>
        <v>Error?</v>
      </c>
    </row>
    <row r="1747" spans="1:5" x14ac:dyDescent="0.2">
      <c r="A1747" s="5">
        <v>1686</v>
      </c>
      <c r="B1747" s="138">
        <f>'Tax Sched 23'!B7</f>
        <v>586101</v>
      </c>
      <c r="C1747" s="2" t="s">
        <v>594</v>
      </c>
      <c r="D1747" s="2" t="str">
        <f t="shared" si="26"/>
        <v>Error?</v>
      </c>
    </row>
    <row r="1748" spans="1:5" x14ac:dyDescent="0.2">
      <c r="A1748" s="5">
        <v>1687</v>
      </c>
      <c r="B1748" s="138">
        <f>'Tax Sched 23'!B8</f>
        <v>268663</v>
      </c>
      <c r="C1748" s="2" t="s">
        <v>594</v>
      </c>
      <c r="D1748" s="2" t="str">
        <f t="shared" si="26"/>
        <v>Error?</v>
      </c>
    </row>
    <row r="1749" spans="1:5" x14ac:dyDescent="0.2">
      <c r="A1749" s="5">
        <v>1688</v>
      </c>
      <c r="B1749" s="138">
        <f>'Tax Sched 23'!B10</f>
        <v>309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293051</v>
      </c>
      <c r="C1752" s="2" t="s">
        <v>594</v>
      </c>
      <c r="D1752" s="2" t="str">
        <f t="shared" si="26"/>
        <v>Error?</v>
      </c>
    </row>
    <row r="1753" spans="1:5" x14ac:dyDescent="0.2">
      <c r="A1753" s="5">
        <v>1692</v>
      </c>
      <c r="B1753" s="138">
        <f>'Tax Sched 23'!B12</f>
        <v>170966</v>
      </c>
      <c r="C1753" s="2" t="s">
        <v>594</v>
      </c>
      <c r="D1753" s="2" t="str">
        <f t="shared" si="26"/>
        <v>Error?</v>
      </c>
    </row>
    <row r="1754" spans="1:5" x14ac:dyDescent="0.2">
      <c r="A1754" s="5">
        <v>1693</v>
      </c>
      <c r="B1754" s="138">
        <f>'Tax Sched 23'!B14</f>
        <v>175863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13451326</v>
      </c>
      <c r="C1759" s="2" t="s">
        <v>594</v>
      </c>
      <c r="D1759" s="2" t="str">
        <f t="shared" si="26"/>
        <v>Error?</v>
      </c>
    </row>
    <row r="1760" spans="1:5" x14ac:dyDescent="0.2">
      <c r="A1760" s="5">
        <v>1699</v>
      </c>
      <c r="B1760" s="138">
        <f>'Tax Sched 23'!D4</f>
        <v>9478975</v>
      </c>
      <c r="C1760" s="2" t="s">
        <v>594</v>
      </c>
      <c r="D1760" s="2" t="str">
        <f t="shared" si="26"/>
        <v>Error?</v>
      </c>
    </row>
    <row r="1761" spans="1:5" x14ac:dyDescent="0.2">
      <c r="A1761" s="5">
        <v>1700</v>
      </c>
      <c r="B1761" s="138">
        <f>'Tax Sched 23'!D5</f>
        <v>976876</v>
      </c>
      <c r="C1761" s="2" t="s">
        <v>594</v>
      </c>
      <c r="D1761" s="2" t="str">
        <f t="shared" si="26"/>
        <v>Error?</v>
      </c>
    </row>
    <row r="1762" spans="1:5" s="8" customFormat="1" x14ac:dyDescent="0.2">
      <c r="A1762" s="5">
        <v>1701</v>
      </c>
      <c r="B1762" s="138">
        <f>'Tax Sched 23'!D6</f>
        <v>1280687</v>
      </c>
      <c r="C1762" s="2" t="s">
        <v>594</v>
      </c>
      <c r="D1762" s="2" t="str">
        <f t="shared" si="26"/>
        <v>Error?</v>
      </c>
      <c r="E1762" s="9"/>
    </row>
    <row r="1763" spans="1:5" x14ac:dyDescent="0.2">
      <c r="A1763" s="5">
        <v>1702</v>
      </c>
      <c r="B1763" s="138">
        <f>'Tax Sched 23'!D7</f>
        <v>586101</v>
      </c>
      <c r="C1763" s="2" t="s">
        <v>594</v>
      </c>
      <c r="D1763" s="2" t="str">
        <f t="shared" si="26"/>
        <v>Error?</v>
      </c>
    </row>
    <row r="1764" spans="1:5" x14ac:dyDescent="0.2">
      <c r="A1764" s="5">
        <v>1703</v>
      </c>
      <c r="B1764" s="138">
        <f>'Tax Sched 23'!D8</f>
        <v>268663</v>
      </c>
      <c r="C1764" s="2" t="s">
        <v>594</v>
      </c>
      <c r="D1764" s="2" t="str">
        <f t="shared" si="26"/>
        <v>Error?</v>
      </c>
    </row>
    <row r="1765" spans="1:5" x14ac:dyDescent="0.2">
      <c r="A1765" s="5">
        <v>1704</v>
      </c>
      <c r="B1765" s="138">
        <f>'Tax Sched 23'!D10</f>
        <v>309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293051</v>
      </c>
      <c r="C1768" s="2" t="s">
        <v>594</v>
      </c>
      <c r="D1768" s="2" t="str">
        <f t="shared" si="26"/>
        <v>Error?</v>
      </c>
    </row>
    <row r="1769" spans="1:5" x14ac:dyDescent="0.2">
      <c r="A1769" s="5">
        <v>1708</v>
      </c>
      <c r="B1769" s="138">
        <f>'Tax Sched 23'!D12</f>
        <v>170966</v>
      </c>
      <c r="C1769" s="2" t="s">
        <v>594</v>
      </c>
      <c r="D1769" s="2" t="str">
        <f t="shared" si="26"/>
        <v>Error?</v>
      </c>
    </row>
    <row r="1770" spans="1:5" x14ac:dyDescent="0.2">
      <c r="A1770" s="5">
        <v>1709</v>
      </c>
      <c r="B1770" s="138">
        <f>'Tax Sched 23'!D14</f>
        <v>175863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13451326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9849538</v>
      </c>
      <c r="C1792" s="2" t="s">
        <v>594</v>
      </c>
      <c r="D1792" s="2" t="str">
        <f t="shared" si="27"/>
        <v>Error?</v>
      </c>
    </row>
    <row r="1793" spans="1:4" x14ac:dyDescent="0.2">
      <c r="A1793" s="5">
        <v>1732</v>
      </c>
      <c r="B1793" s="138">
        <f>'Tax Sched 23'!F5</f>
        <v>1085692</v>
      </c>
      <c r="C1793" s="2" t="s">
        <v>594</v>
      </c>
      <c r="D1793" s="2" t="str">
        <f t="shared" si="27"/>
        <v>Error?</v>
      </c>
    </row>
    <row r="1794" spans="1:4" x14ac:dyDescent="0.2">
      <c r="A1794" s="5">
        <v>1733</v>
      </c>
      <c r="B1794" s="138">
        <f>'Tax Sched 23'!F6</f>
        <v>1296897</v>
      </c>
      <c r="C1794" s="2" t="s">
        <v>594</v>
      </c>
      <c r="D1794" s="2" t="str">
        <f t="shared" si="27"/>
        <v>Error?</v>
      </c>
    </row>
    <row r="1795" spans="1:4" x14ac:dyDescent="0.2">
      <c r="A1795" s="5">
        <v>1734</v>
      </c>
      <c r="B1795" s="138">
        <f>'Tax Sched 23'!F7</f>
        <v>592227</v>
      </c>
      <c r="C1795" s="2" t="s">
        <v>594</v>
      </c>
      <c r="D1795" s="2" t="str">
        <f t="shared" si="27"/>
        <v>Error?</v>
      </c>
    </row>
    <row r="1796" spans="1:4" x14ac:dyDescent="0.2">
      <c r="A1796" s="5">
        <v>1735</v>
      </c>
      <c r="B1796" s="138">
        <f>'Tax Sched 23'!F8</f>
        <v>276382</v>
      </c>
      <c r="C1796" s="2" t="s">
        <v>594</v>
      </c>
      <c r="D1796" s="2" t="str">
        <f t="shared" si="27"/>
        <v>Error?</v>
      </c>
    </row>
    <row r="1797" spans="1:4" x14ac:dyDescent="0.2">
      <c r="A1797" s="5">
        <v>1736</v>
      </c>
      <c r="B1797" s="138">
        <f>'Tax Sched 23'!F10</f>
        <v>3678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296148</v>
      </c>
      <c r="C1800" s="2" t="s">
        <v>594</v>
      </c>
      <c r="D1800" s="2" t="str">
        <f t="shared" si="27"/>
        <v>Error?</v>
      </c>
    </row>
    <row r="1801" spans="1:4" x14ac:dyDescent="0.2">
      <c r="A1801" s="5">
        <v>1740</v>
      </c>
      <c r="B1801" s="138">
        <f>'Tax Sched 23'!F12</f>
        <v>172739</v>
      </c>
      <c r="C1801" s="2" t="s">
        <v>594</v>
      </c>
      <c r="D1801" s="2" t="str">
        <f t="shared" si="27"/>
        <v>Error?</v>
      </c>
    </row>
    <row r="1802" spans="1:4" x14ac:dyDescent="0.2">
      <c r="A1802" s="5">
        <v>1741</v>
      </c>
      <c r="B1802" s="138">
        <f>'Tax Sched 23'!F14</f>
        <v>177689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13973092</v>
      </c>
      <c r="C1807" s="2" t="s">
        <v>594</v>
      </c>
      <c r="D1807" s="2" t="str">
        <f t="shared" si="27"/>
        <v>Error?</v>
      </c>
    </row>
    <row r="1808" spans="1:4" x14ac:dyDescent="0.2">
      <c r="A1808" s="5">
        <v>1747</v>
      </c>
      <c r="B1808" s="138">
        <f>'Tax Sched 23'!E4</f>
        <v>9849538</v>
      </c>
      <c r="D1808" s="2" t="str">
        <f t="shared" si="27"/>
        <v>Error?</v>
      </c>
    </row>
    <row r="1809" spans="1:4" x14ac:dyDescent="0.2">
      <c r="A1809" s="5">
        <v>1748</v>
      </c>
      <c r="B1809" s="138">
        <f>'Tax Sched 23'!E5</f>
        <v>1085692</v>
      </c>
      <c r="D1809" s="2" t="str">
        <f t="shared" si="27"/>
        <v>Error?</v>
      </c>
    </row>
    <row r="1810" spans="1:4" x14ac:dyDescent="0.2">
      <c r="A1810" s="5">
        <v>1749</v>
      </c>
      <c r="B1810" s="138">
        <f>'Tax Sched 23'!E6</f>
        <v>1296897</v>
      </c>
      <c r="D1810" s="2" t="str">
        <f t="shared" si="27"/>
        <v>Error?</v>
      </c>
    </row>
    <row r="1811" spans="1:4" x14ac:dyDescent="0.2">
      <c r="A1811" s="5">
        <v>1750</v>
      </c>
      <c r="B1811" s="138">
        <f>'Tax Sched 23'!E7</f>
        <v>592227</v>
      </c>
      <c r="D1811" s="2" t="str">
        <f t="shared" si="27"/>
        <v>Error?</v>
      </c>
    </row>
    <row r="1812" spans="1:4" x14ac:dyDescent="0.2">
      <c r="A1812" s="5">
        <v>1751</v>
      </c>
      <c r="B1812" s="138">
        <f>'Tax Sched 23'!E8</f>
        <v>276382</v>
      </c>
      <c r="D1812" s="2" t="str">
        <f t="shared" si="27"/>
        <v>Error?</v>
      </c>
    </row>
    <row r="1813" spans="1:4" x14ac:dyDescent="0.2">
      <c r="A1813" s="5">
        <v>1752</v>
      </c>
      <c r="B1813" s="138">
        <f>'Tax Sched 23'!E10</f>
        <v>3678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296148</v>
      </c>
      <c r="D1816" s="2" t="str">
        <f t="shared" si="27"/>
        <v>Error?</v>
      </c>
    </row>
    <row r="1817" spans="1:4" x14ac:dyDescent="0.2">
      <c r="A1817" s="5">
        <v>1756</v>
      </c>
      <c r="B1817" s="138">
        <f>'Tax Sched 23'!E12</f>
        <v>172739</v>
      </c>
      <c r="D1817" s="2" t="str">
        <f t="shared" si="27"/>
        <v>Error?</v>
      </c>
    </row>
    <row r="1818" spans="1:4" x14ac:dyDescent="0.2">
      <c r="A1818" s="5">
        <v>1757</v>
      </c>
      <c r="B1818" s="138">
        <f>'Tax Sched 23'!E14</f>
        <v>177689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13973092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6497185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175863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175863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175863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341423</v>
      </c>
      <c r="D2008" s="2" t="str">
        <f t="shared" si="30"/>
        <v>Error?</v>
      </c>
    </row>
    <row r="2009" spans="1:4" x14ac:dyDescent="0.2">
      <c r="A2009" s="5">
        <v>1948</v>
      </c>
      <c r="B2009" s="138">
        <f>'Cap Outlay Deprec 26'!C8</f>
        <v>33476565</v>
      </c>
      <c r="D2009" s="2" t="str">
        <f t="shared" si="30"/>
        <v>Error?</v>
      </c>
    </row>
    <row r="2010" spans="1:4" x14ac:dyDescent="0.2">
      <c r="A2010" s="5">
        <v>1949</v>
      </c>
      <c r="B2010" s="138">
        <f>'Cap Outlay Deprec 26'!C10</f>
        <v>689409</v>
      </c>
      <c r="D2010" s="2" t="str">
        <f t="shared" si="30"/>
        <v>Error?</v>
      </c>
    </row>
    <row r="2011" spans="1:4" x14ac:dyDescent="0.2">
      <c r="A2011" s="5">
        <v>1950</v>
      </c>
      <c r="B2011" s="138">
        <f>'Cap Outlay Deprec 26'!C12</f>
        <v>3152248</v>
      </c>
      <c r="D2011" s="2" t="str">
        <f t="shared" si="30"/>
        <v>Error?</v>
      </c>
    </row>
    <row r="2012" spans="1:4" x14ac:dyDescent="0.2">
      <c r="A2012" s="5">
        <v>1951</v>
      </c>
      <c r="B2012" s="138">
        <f>'Cap Outlay Deprec 26'!C13</f>
        <v>95752</v>
      </c>
      <c r="D2012" s="2" t="str">
        <f t="shared" si="30"/>
        <v>Error?</v>
      </c>
    </row>
    <row r="2013" spans="1:4" x14ac:dyDescent="0.2">
      <c r="A2013" s="5">
        <v>1952</v>
      </c>
      <c r="B2013" s="138">
        <f>'Cap Outlay Deprec 26'!C16</f>
        <v>37755397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7297</v>
      </c>
      <c r="D2015" s="2" t="str">
        <f t="shared" si="30"/>
        <v>Error?</v>
      </c>
    </row>
    <row r="2016" spans="1:4" x14ac:dyDescent="0.2">
      <c r="A2016" s="5">
        <v>1955</v>
      </c>
      <c r="B2016" s="138">
        <f>'Cap Outlay Deprec 26'!D10</f>
        <v>2311</v>
      </c>
      <c r="D2016" s="2" t="str">
        <f t="shared" si="30"/>
        <v>Error?</v>
      </c>
    </row>
    <row r="2017" spans="1:4" x14ac:dyDescent="0.2">
      <c r="A2017" s="5">
        <v>1956</v>
      </c>
      <c r="B2017" s="138">
        <f>'Cap Outlay Deprec 26'!D12</f>
        <v>373664</v>
      </c>
      <c r="D2017" s="2" t="str">
        <f t="shared" si="30"/>
        <v>Error?</v>
      </c>
    </row>
    <row r="2018" spans="1:4" x14ac:dyDescent="0.2">
      <c r="A2018" s="5">
        <v>1957</v>
      </c>
      <c r="B2018" s="138">
        <f>'Cap Outlay Deprec 26'!D13</f>
        <v>29169</v>
      </c>
      <c r="D2018" s="2" t="str">
        <f t="shared" si="30"/>
        <v>Error?</v>
      </c>
    </row>
    <row r="2019" spans="1:4" x14ac:dyDescent="0.2">
      <c r="A2019" s="5">
        <v>1958</v>
      </c>
      <c r="B2019" s="138">
        <f>'Cap Outlay Deprec 26'!D16</f>
        <v>414951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341423</v>
      </c>
      <c r="C2026" s="2" t="s">
        <v>594</v>
      </c>
      <c r="D2026" s="2" t="str">
        <f t="shared" si="30"/>
        <v>Error?</v>
      </c>
    </row>
    <row r="2027" spans="1:4" x14ac:dyDescent="0.2">
      <c r="A2027" s="5">
        <v>1966</v>
      </c>
      <c r="B2027" s="138">
        <f>'Cap Outlay Deprec 26'!F8</f>
        <v>33483862</v>
      </c>
      <c r="C2027" s="2" t="s">
        <v>594</v>
      </c>
      <c r="D2027" s="2" t="str">
        <f t="shared" si="30"/>
        <v>Error?</v>
      </c>
    </row>
    <row r="2028" spans="1:4" x14ac:dyDescent="0.2">
      <c r="A2028" s="5">
        <v>1967</v>
      </c>
      <c r="B2028" s="138">
        <f>'Cap Outlay Deprec 26'!F10</f>
        <v>691720</v>
      </c>
      <c r="C2028" s="2" t="s">
        <v>594</v>
      </c>
      <c r="D2028" s="2" t="str">
        <f t="shared" si="30"/>
        <v>Error?</v>
      </c>
    </row>
    <row r="2029" spans="1:4" x14ac:dyDescent="0.2">
      <c r="A2029" s="5">
        <v>1968</v>
      </c>
      <c r="B2029" s="138">
        <f>'Cap Outlay Deprec 26'!F12</f>
        <v>3525912</v>
      </c>
      <c r="C2029" s="2" t="s">
        <v>594</v>
      </c>
      <c r="D2029" s="2" t="str">
        <f t="shared" si="30"/>
        <v>Error?</v>
      </c>
    </row>
    <row r="2030" spans="1:4" x14ac:dyDescent="0.2">
      <c r="A2030" s="5">
        <v>1969</v>
      </c>
      <c r="B2030" s="138">
        <f>'Cap Outlay Deprec 26'!F13</f>
        <v>124921</v>
      </c>
      <c r="C2030" s="2" t="s">
        <v>594</v>
      </c>
      <c r="D2030" s="2" t="str">
        <f t="shared" si="30"/>
        <v>Error?</v>
      </c>
    </row>
    <row r="2031" spans="1:4" x14ac:dyDescent="0.2">
      <c r="A2031" s="5">
        <v>1970</v>
      </c>
      <c r="B2031" s="138">
        <f>'Cap Outlay Deprec 26'!F16</f>
        <v>38170348</v>
      </c>
      <c r="C2031" s="2" t="s">
        <v>594</v>
      </c>
      <c r="D2031" s="2" t="str">
        <f t="shared" si="30"/>
        <v>Error?</v>
      </c>
    </row>
    <row r="2032" spans="1:4" x14ac:dyDescent="0.2">
      <c r="A2032" s="10">
        <v>1971</v>
      </c>
      <c r="D2032" s="2" t="str">
        <f t="shared" si="30"/>
        <v>OK</v>
      </c>
    </row>
    <row r="2033" spans="1:4" x14ac:dyDescent="0.2">
      <c r="A2033" s="5">
        <v>1972</v>
      </c>
      <c r="B2033" s="138">
        <f>'Cap Outlay Deprec 26'!H8</f>
        <v>12785186</v>
      </c>
      <c r="D2033" s="2" t="str">
        <f t="shared" si="30"/>
        <v>Error?</v>
      </c>
    </row>
    <row r="2034" spans="1:4" x14ac:dyDescent="0.2">
      <c r="A2034" s="5">
        <v>1973</v>
      </c>
      <c r="B2034" s="138">
        <f>'Cap Outlay Deprec 26'!H10</f>
        <v>578829</v>
      </c>
      <c r="D2034" s="2" t="str">
        <f t="shared" si="30"/>
        <v>Error?</v>
      </c>
    </row>
    <row r="2035" spans="1:4" x14ac:dyDescent="0.2">
      <c r="A2035" s="5">
        <v>1974</v>
      </c>
      <c r="B2035" s="138">
        <f>'Cap Outlay Deprec 26'!H12</f>
        <v>1929163</v>
      </c>
      <c r="D2035" s="2" t="str">
        <f t="shared" si="30"/>
        <v>Error?</v>
      </c>
    </row>
    <row r="2036" spans="1:4" x14ac:dyDescent="0.2">
      <c r="A2036" s="5">
        <v>1975</v>
      </c>
      <c r="B2036" s="138">
        <f>'Cap Outlay Deprec 26'!H13</f>
        <v>20067</v>
      </c>
      <c r="D2036" s="2" t="str">
        <f t="shared" si="30"/>
        <v>Error?</v>
      </c>
    </row>
    <row r="2037" spans="1:4" x14ac:dyDescent="0.2">
      <c r="A2037" s="5">
        <v>1976</v>
      </c>
      <c r="B2037" s="138">
        <f>'Cap Outlay Deprec 26'!H16</f>
        <v>15313245</v>
      </c>
      <c r="C2037" s="2" t="s">
        <v>594</v>
      </c>
      <c r="D2037" s="2" t="str">
        <f t="shared" si="30"/>
        <v>Error?</v>
      </c>
    </row>
    <row r="2038" spans="1:4" x14ac:dyDescent="0.2">
      <c r="A2038" s="10">
        <v>1977</v>
      </c>
      <c r="D2038" s="2" t="str">
        <f t="shared" si="30"/>
        <v>OK</v>
      </c>
    </row>
    <row r="2039" spans="1:4" x14ac:dyDescent="0.2">
      <c r="A2039" s="5">
        <v>1978</v>
      </c>
      <c r="B2039" s="138">
        <f>'Cap Outlay Deprec 26'!I8</f>
        <v>599698</v>
      </c>
      <c r="D2039" s="2" t="str">
        <f t="shared" si="30"/>
        <v>Error?</v>
      </c>
    </row>
    <row r="2040" spans="1:4" x14ac:dyDescent="0.2">
      <c r="A2040" s="5">
        <v>1979</v>
      </c>
      <c r="B2040" s="138">
        <f>'Cap Outlay Deprec 26'!I10</f>
        <v>11808</v>
      </c>
      <c r="D2040" s="2" t="str">
        <f t="shared" si="30"/>
        <v>Error?</v>
      </c>
    </row>
    <row r="2041" spans="1:4" x14ac:dyDescent="0.2">
      <c r="A2041" s="5">
        <v>1980</v>
      </c>
      <c r="B2041" s="138">
        <f>'Cap Outlay Deprec 26'!I12</f>
        <v>246931</v>
      </c>
      <c r="D2041" s="2" t="str">
        <f t="shared" si="30"/>
        <v>Error?</v>
      </c>
    </row>
    <row r="2042" spans="1:4" x14ac:dyDescent="0.2">
      <c r="A2042" s="5">
        <v>1981</v>
      </c>
      <c r="B2042" s="138">
        <f>'Cap Outlay Deprec 26'!I13</f>
        <v>19005</v>
      </c>
      <c r="D2042" s="2" t="str">
        <f t="shared" si="30"/>
        <v>Error?</v>
      </c>
    </row>
    <row r="2043" spans="1:4" x14ac:dyDescent="0.2">
      <c r="A2043" s="5">
        <v>1982</v>
      </c>
      <c r="B2043" s="138">
        <f>'Cap Outlay Deprec 26'!I16</f>
        <v>877463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13384884</v>
      </c>
      <c r="C2051" s="2" t="s">
        <v>594</v>
      </c>
      <c r="D2051" s="2" t="str">
        <f t="shared" si="31"/>
        <v>Error?</v>
      </c>
    </row>
    <row r="2052" spans="1:4" x14ac:dyDescent="0.2">
      <c r="A2052" s="5">
        <v>1991</v>
      </c>
      <c r="B2052" s="138">
        <f>'Cap Outlay Deprec 26'!K10</f>
        <v>590637</v>
      </c>
      <c r="C2052" s="2" t="s">
        <v>594</v>
      </c>
      <c r="D2052" s="2" t="str">
        <f t="shared" si="31"/>
        <v>Error?</v>
      </c>
    </row>
    <row r="2053" spans="1:4" x14ac:dyDescent="0.2">
      <c r="A2053" s="5">
        <v>1992</v>
      </c>
      <c r="B2053" s="138">
        <f>'Cap Outlay Deprec 26'!K12</f>
        <v>2176094</v>
      </c>
      <c r="C2053" s="2" t="s">
        <v>594</v>
      </c>
      <c r="D2053" s="2" t="str">
        <f t="shared" si="31"/>
        <v>Error?</v>
      </c>
    </row>
    <row r="2054" spans="1:4" x14ac:dyDescent="0.2">
      <c r="A2054" s="5">
        <v>1993</v>
      </c>
      <c r="B2054" s="138">
        <f>'Cap Outlay Deprec 26'!K13</f>
        <v>39072</v>
      </c>
      <c r="C2054" s="2" t="s">
        <v>594</v>
      </c>
      <c r="D2054" s="2" t="str">
        <f t="shared" si="31"/>
        <v>Error?</v>
      </c>
    </row>
    <row r="2055" spans="1:4" x14ac:dyDescent="0.2">
      <c r="A2055" s="5">
        <v>1994</v>
      </c>
      <c r="B2055" s="138">
        <f>'Cap Outlay Deprec 26'!K16</f>
        <v>16190708</v>
      </c>
      <c r="C2055" s="2" t="s">
        <v>594</v>
      </c>
      <c r="D2055" s="2" t="str">
        <f t="shared" si="31"/>
        <v>Error?</v>
      </c>
    </row>
    <row r="2056" spans="1:4" x14ac:dyDescent="0.2">
      <c r="A2056" s="5">
        <v>1995</v>
      </c>
      <c r="B2056" s="138">
        <f>'Cap Outlay Deprec 26'!L5</f>
        <v>341423</v>
      </c>
      <c r="C2056" s="2" t="s">
        <v>594</v>
      </c>
      <c r="D2056" s="2" t="str">
        <f t="shared" si="31"/>
        <v>Error?</v>
      </c>
    </row>
    <row r="2057" spans="1:4" x14ac:dyDescent="0.2">
      <c r="A2057" s="5">
        <v>1996</v>
      </c>
      <c r="B2057" s="138">
        <f>'Cap Outlay Deprec 26'!L8</f>
        <v>20098978</v>
      </c>
      <c r="C2057" s="2" t="s">
        <v>594</v>
      </c>
      <c r="D2057" s="2" t="str">
        <f t="shared" si="31"/>
        <v>Error?</v>
      </c>
    </row>
    <row r="2058" spans="1:4" x14ac:dyDescent="0.2">
      <c r="A2058" s="5">
        <v>1997</v>
      </c>
      <c r="B2058" s="138">
        <f>'Cap Outlay Deprec 26'!L10</f>
        <v>101083</v>
      </c>
      <c r="C2058" s="2" t="s">
        <v>594</v>
      </c>
      <c r="D2058" s="2" t="str">
        <f t="shared" si="31"/>
        <v>Error?</v>
      </c>
    </row>
    <row r="2059" spans="1:4" x14ac:dyDescent="0.2">
      <c r="A2059" s="5">
        <v>1998</v>
      </c>
      <c r="B2059" s="138">
        <f>'Cap Outlay Deprec 26'!L12</f>
        <v>1349818</v>
      </c>
      <c r="C2059" s="2" t="s">
        <v>594</v>
      </c>
      <c r="D2059" s="2" t="str">
        <f t="shared" si="31"/>
        <v>Error?</v>
      </c>
    </row>
    <row r="2060" spans="1:4" x14ac:dyDescent="0.2">
      <c r="A2060" s="5">
        <v>1999</v>
      </c>
      <c r="B2060" s="138">
        <f>'Cap Outlay Deprec 26'!L13</f>
        <v>85849</v>
      </c>
      <c r="C2060" s="2" t="s">
        <v>594</v>
      </c>
      <c r="D2060" s="2" t="str">
        <f t="shared" si="31"/>
        <v>Error?</v>
      </c>
    </row>
    <row r="2061" spans="1:4" x14ac:dyDescent="0.2">
      <c r="A2061" s="5">
        <v>2000</v>
      </c>
      <c r="B2061" s="138">
        <f>'Cap Outlay Deprec 26'!L16</f>
        <v>21979640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644831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649243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5436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60882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9961952</v>
      </c>
      <c r="C2551" s="2" t="s">
        <v>594</v>
      </c>
      <c r="D2551" s="2" t="str">
        <f t="shared" si="38"/>
        <v>Error?</v>
      </c>
    </row>
    <row r="2552" spans="1:4" x14ac:dyDescent="0.2">
      <c r="A2552" s="10">
        <v>2491</v>
      </c>
      <c r="D2552" s="2" t="str">
        <f t="shared" si="38"/>
        <v>OK</v>
      </c>
    </row>
    <row r="2553" spans="1:4" x14ac:dyDescent="0.2">
      <c r="A2553" s="5">
        <v>2492</v>
      </c>
      <c r="B2553" s="138">
        <f>'Acct Summary 7-8'!C6</f>
        <v>4347692</v>
      </c>
      <c r="C2553" s="2" t="s">
        <v>594</v>
      </c>
      <c r="D2553" s="2" t="str">
        <f t="shared" si="38"/>
        <v>Error?</v>
      </c>
    </row>
    <row r="2554" spans="1:4" x14ac:dyDescent="0.2">
      <c r="A2554" s="5">
        <v>2493</v>
      </c>
      <c r="B2554" s="138">
        <f>'Acct Summary 7-8'!C7</f>
        <v>2186040</v>
      </c>
      <c r="C2554" s="2" t="s">
        <v>594</v>
      </c>
      <c r="D2554" s="2" t="str">
        <f t="shared" si="38"/>
        <v>Error?</v>
      </c>
    </row>
    <row r="2555" spans="1:4" x14ac:dyDescent="0.2">
      <c r="A2555" s="5">
        <v>2494</v>
      </c>
      <c r="B2555" s="138">
        <f>'Acct Summary 7-8'!C8</f>
        <v>16706643</v>
      </c>
      <c r="C2555" s="2" t="s">
        <v>594</v>
      </c>
      <c r="D2555" s="2" t="str">
        <f t="shared" si="38"/>
        <v>Error?</v>
      </c>
    </row>
    <row r="2556" spans="1:4" x14ac:dyDescent="0.2">
      <c r="A2556" s="5">
        <v>2495</v>
      </c>
      <c r="B2556" s="138">
        <f>'Acct Summary 7-8'!C12</f>
        <v>11112307</v>
      </c>
      <c r="C2556" s="2" t="s">
        <v>594</v>
      </c>
      <c r="D2556" s="2" t="str">
        <f t="shared" si="38"/>
        <v>Error?</v>
      </c>
    </row>
    <row r="2557" spans="1:4" x14ac:dyDescent="0.2">
      <c r="A2557" s="5">
        <v>2496</v>
      </c>
      <c r="B2557" s="138">
        <f>'Acct Summary 7-8'!C13</f>
        <v>4724603</v>
      </c>
      <c r="C2557" s="2" t="s">
        <v>594</v>
      </c>
      <c r="D2557" s="2" t="str">
        <f t="shared" si="38"/>
        <v>Error?</v>
      </c>
    </row>
    <row r="2558" spans="1:4" x14ac:dyDescent="0.2">
      <c r="A2558" s="5">
        <v>2497</v>
      </c>
      <c r="B2558" s="138">
        <f>'Acct Summary 7-8'!C14</f>
        <v>208441</v>
      </c>
      <c r="C2558" s="2" t="s">
        <v>594</v>
      </c>
      <c r="D2558" s="2" t="str">
        <f t="shared" si="38"/>
        <v>Error?</v>
      </c>
    </row>
    <row r="2559" spans="1:4" x14ac:dyDescent="0.2">
      <c r="A2559" s="5">
        <v>2498</v>
      </c>
      <c r="B2559" s="138">
        <f>'Acct Summary 7-8'!C15</f>
        <v>649243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16694594</v>
      </c>
      <c r="C2561" s="2" t="s">
        <v>594</v>
      </c>
      <c r="D2561" s="2" t="str">
        <f t="shared" si="39"/>
        <v>Error?</v>
      </c>
    </row>
    <row r="2562" spans="1:4" x14ac:dyDescent="0.2">
      <c r="A2562" s="5">
        <v>2501</v>
      </c>
      <c r="B2562" s="138">
        <f>'Acct Summary 7-8'!C20</f>
        <v>12049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1096858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1096858</v>
      </c>
      <c r="C2568" s="2" t="s">
        <v>594</v>
      </c>
      <c r="D2568" s="2" t="str">
        <f t="shared" si="39"/>
        <v>Error?</v>
      </c>
    </row>
    <row r="2569" spans="1:4" x14ac:dyDescent="0.2">
      <c r="A2569" s="5">
        <v>2508</v>
      </c>
      <c r="B2569" s="138">
        <f>'Acct Summary 7-8'!D13</f>
        <v>1085001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1085001</v>
      </c>
      <c r="C2573" s="2" t="s">
        <v>594</v>
      </c>
      <c r="D2573" s="2" t="str">
        <f t="shared" si="39"/>
        <v>Error?</v>
      </c>
    </row>
    <row r="2574" spans="1:4" x14ac:dyDescent="0.2">
      <c r="A2574" s="5">
        <v>2513</v>
      </c>
      <c r="B2574" s="138">
        <f>'Acct Summary 7-8'!D20</f>
        <v>11857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791948</v>
      </c>
      <c r="C2591" s="2" t="s">
        <v>594</v>
      </c>
      <c r="D2591" s="2" t="str">
        <f t="shared" si="39"/>
        <v>Error?</v>
      </c>
    </row>
    <row r="2592" spans="1:4" x14ac:dyDescent="0.2">
      <c r="A2592" s="10">
        <v>2531</v>
      </c>
      <c r="D2592" s="2" t="str">
        <f t="shared" si="39"/>
        <v>OK</v>
      </c>
    </row>
    <row r="2593" spans="1:4" x14ac:dyDescent="0.2">
      <c r="A2593" s="5">
        <v>2532</v>
      </c>
      <c r="B2593" s="138">
        <f>'Acct Summary 7-8'!F6</f>
        <v>851311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1643259</v>
      </c>
      <c r="C2595" s="2" t="s">
        <v>594</v>
      </c>
      <c r="D2595" s="2" t="str">
        <f t="shared" si="39"/>
        <v>Error?</v>
      </c>
    </row>
    <row r="2596" spans="1:4" x14ac:dyDescent="0.2">
      <c r="A2596" s="5">
        <v>2535</v>
      </c>
      <c r="B2596" s="138">
        <f>'Acct Summary 7-8'!F13</f>
        <v>1242590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1242590</v>
      </c>
      <c r="C2600" s="2" t="s">
        <v>594</v>
      </c>
      <c r="D2600" s="2" t="str">
        <f t="shared" si="39"/>
        <v>Error?</v>
      </c>
    </row>
    <row r="2601" spans="1:4" x14ac:dyDescent="0.2">
      <c r="A2601" s="5">
        <v>2540</v>
      </c>
      <c r="B2601" s="138">
        <f>'Acct Summary 7-8'!F20</f>
        <v>400669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541568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541568</v>
      </c>
      <c r="C2606" s="2" t="s">
        <v>594</v>
      </c>
      <c r="D2606" s="2" t="str">
        <f t="shared" si="39"/>
        <v>Error?</v>
      </c>
    </row>
    <row r="2607" spans="1:4" x14ac:dyDescent="0.2">
      <c r="A2607" s="5">
        <v>2546</v>
      </c>
      <c r="B2607" s="138">
        <f>'Acct Summary 7-8'!G12</f>
        <v>291085</v>
      </c>
      <c r="C2607" s="2" t="s">
        <v>594</v>
      </c>
      <c r="D2607" s="2" t="str">
        <f t="shared" si="39"/>
        <v>Error?</v>
      </c>
    </row>
    <row r="2608" spans="1:4" x14ac:dyDescent="0.2">
      <c r="A2608" s="5">
        <v>2547</v>
      </c>
      <c r="B2608" s="138">
        <f>'Acct Summary 7-8'!G13</f>
        <v>291629</v>
      </c>
      <c r="C2608" s="2" t="s">
        <v>594</v>
      </c>
      <c r="D2608" s="2" t="str">
        <f t="shared" si="39"/>
        <v>Error?</v>
      </c>
    </row>
    <row r="2609" spans="1:4" x14ac:dyDescent="0.2">
      <c r="A2609" s="5">
        <v>2548</v>
      </c>
      <c r="B2609" s="138">
        <f>'Acct Summary 7-8'!G14</f>
        <v>6407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589121</v>
      </c>
      <c r="C2612" s="2" t="s">
        <v>594</v>
      </c>
      <c r="D2612" s="2" t="str">
        <f t="shared" si="39"/>
        <v>Error?</v>
      </c>
    </row>
    <row r="2613" spans="1:4" x14ac:dyDescent="0.2">
      <c r="A2613" s="5">
        <v>2552</v>
      </c>
      <c r="B2613" s="138">
        <f>'Acct Summary 7-8'!G20</f>
        <v>-47553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1289850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1289850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1278209</v>
      </c>
      <c r="C2634" s="2" t="s">
        <v>594</v>
      </c>
      <c r="D2634" s="2" t="str">
        <f t="shared" si="40"/>
        <v>Error?</v>
      </c>
    </row>
    <row r="2635" spans="1:4" x14ac:dyDescent="0.2">
      <c r="A2635" s="5">
        <v>2574</v>
      </c>
      <c r="B2635" s="138">
        <f>'Acct Summary 7-8'!E17</f>
        <v>1278209</v>
      </c>
      <c r="C2635" s="2" t="s">
        <v>594</v>
      </c>
      <c r="D2635" s="2" t="str">
        <f t="shared" si="40"/>
        <v>Error?</v>
      </c>
    </row>
    <row r="2636" spans="1:4" x14ac:dyDescent="0.2">
      <c r="A2636" s="5">
        <v>2575</v>
      </c>
      <c r="B2636" s="138">
        <f>'Acct Summary 7-8'!E20</f>
        <v>11641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796616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796616</v>
      </c>
      <c r="C2658" s="2" t="s">
        <v>594</v>
      </c>
      <c r="D2658" s="2" t="str">
        <f t="shared" si="40"/>
        <v>Error?</v>
      </c>
    </row>
    <row r="2659" spans="1:4" x14ac:dyDescent="0.2">
      <c r="A2659" s="5">
        <v>2598</v>
      </c>
      <c r="B2659" s="138">
        <f>'Acct Summary 7-8'!H13</f>
        <v>89900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89900</v>
      </c>
      <c r="C2661" s="2" t="s">
        <v>594</v>
      </c>
      <c r="D2661" s="2" t="str">
        <f t="shared" si="40"/>
        <v>Error?</v>
      </c>
    </row>
    <row r="2662" spans="1:4" x14ac:dyDescent="0.2">
      <c r="A2662" s="5">
        <v>2601</v>
      </c>
      <c r="B2662" s="138">
        <f>'Acct Summary 7-8'!H20</f>
        <v>706716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141156</v>
      </c>
      <c r="D2718" s="2" t="str">
        <f t="shared" si="41"/>
        <v>Error?</v>
      </c>
    </row>
    <row r="2719" spans="1:4" x14ac:dyDescent="0.2">
      <c r="A2719" s="5">
        <v>2658</v>
      </c>
      <c r="B2719" s="138">
        <f>'Expenditures 15-22'!D51</f>
        <v>30297</v>
      </c>
      <c r="D2719" s="2" t="str">
        <f t="shared" si="41"/>
        <v>Error?</v>
      </c>
    </row>
    <row r="2720" spans="1:4" x14ac:dyDescent="0.2">
      <c r="A2720" s="5">
        <v>2659</v>
      </c>
      <c r="B2720" s="138">
        <f>'Expenditures 15-22'!E51</f>
        <v>2395</v>
      </c>
      <c r="D2720" s="2" t="str">
        <f t="shared" si="41"/>
        <v>Error?</v>
      </c>
    </row>
    <row r="2721" spans="1:4" x14ac:dyDescent="0.2">
      <c r="A2721" s="5">
        <v>2660</v>
      </c>
      <c r="B2721" s="138">
        <f>'Expenditures 15-22'!F51</f>
        <v>884</v>
      </c>
      <c r="D2721" s="2" t="str">
        <f t="shared" si="41"/>
        <v>Error?</v>
      </c>
    </row>
    <row r="2722" spans="1:4" x14ac:dyDescent="0.2">
      <c r="A2722" s="5">
        <v>2661</v>
      </c>
      <c r="B2722" s="138">
        <f>'Expenditures 15-22'!G51</f>
        <v>1840</v>
      </c>
      <c r="D2722" s="2" t="str">
        <f t="shared" si="41"/>
        <v>Error?</v>
      </c>
    </row>
    <row r="2723" spans="1:4" x14ac:dyDescent="0.2">
      <c r="A2723" s="5">
        <v>2662</v>
      </c>
      <c r="B2723" s="138">
        <f>'Expenditures 15-22'!H51</f>
        <v>130</v>
      </c>
      <c r="D2723" s="2" t="str">
        <f t="shared" si="41"/>
        <v>Error?</v>
      </c>
    </row>
    <row r="2724" spans="1:4" x14ac:dyDescent="0.2">
      <c r="A2724" s="5">
        <v>2663</v>
      </c>
      <c r="B2724" s="138">
        <f>'Expenditures 15-22'!K51</f>
        <v>176702</v>
      </c>
      <c r="C2724" s="2" t="s">
        <v>594</v>
      </c>
      <c r="D2724" s="2" t="str">
        <f t="shared" si="41"/>
        <v>Error?</v>
      </c>
    </row>
    <row r="2725" spans="1:4" x14ac:dyDescent="0.2">
      <c r="A2725" s="5">
        <v>2664</v>
      </c>
      <c r="B2725" s="138">
        <f>'Expenditures 15-22'!D247</f>
        <v>10222</v>
      </c>
      <c r="D2725" s="2" t="str">
        <f t="shared" si="41"/>
        <v>Error?</v>
      </c>
    </row>
    <row r="2726" spans="1:4" x14ac:dyDescent="0.2">
      <c r="A2726" s="5">
        <v>2665</v>
      </c>
      <c r="B2726" s="138">
        <f>'Expenditures 15-22'!K247</f>
        <v>10222</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4412</v>
      </c>
      <c r="C2789" s="2" t="s">
        <v>594</v>
      </c>
      <c r="D2789" s="2" t="str">
        <f t="shared" si="42"/>
        <v>Error?</v>
      </c>
    </row>
    <row r="2790" spans="1:4" x14ac:dyDescent="0.2">
      <c r="A2790" s="5">
        <v>2729</v>
      </c>
      <c r="B2790" s="138">
        <f>'Expenditures 15-22'!E102</f>
        <v>4412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17142</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6390038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32983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6390038</v>
      </c>
      <c r="D2912" s="2" t="str">
        <f t="shared" si="44"/>
        <v>Error?</v>
      </c>
    </row>
    <row r="2913" spans="1:4" x14ac:dyDescent="0.2">
      <c r="A2913" s="5">
        <v>2852</v>
      </c>
      <c r="B2913" s="138">
        <f>'Assets-Liab 5-6'!I41</f>
        <v>6390038</v>
      </c>
      <c r="C2913" s="2" t="s">
        <v>594</v>
      </c>
      <c r="D2913" s="2" t="str">
        <f t="shared" si="44"/>
        <v>Error?</v>
      </c>
    </row>
    <row r="2914" spans="1:4" x14ac:dyDescent="0.2">
      <c r="A2914" s="5">
        <v>2853</v>
      </c>
      <c r="B2914" s="138">
        <f>'Assets-Liab 5-6'!L33</f>
        <v>32983</v>
      </c>
      <c r="D2914" s="2" t="str">
        <f t="shared" si="44"/>
        <v>Error?</v>
      </c>
    </row>
    <row r="2915" spans="1:4" x14ac:dyDescent="0.2">
      <c r="A2915" s="10">
        <v>2854</v>
      </c>
      <c r="D2915" s="2" t="str">
        <f t="shared" si="44"/>
        <v>OK</v>
      </c>
    </row>
    <row r="2916" spans="1:4" x14ac:dyDescent="0.2">
      <c r="A2916" s="5">
        <v>2855</v>
      </c>
      <c r="B2916" s="138">
        <f>'Assets-Liab 5-6'!L34</f>
        <v>32983</v>
      </c>
      <c r="C2916" s="2" t="s">
        <v>594</v>
      </c>
      <c r="D2916" s="2" t="str">
        <f t="shared" si="44"/>
        <v>Error?</v>
      </c>
    </row>
    <row r="2917" spans="1:4" x14ac:dyDescent="0.2">
      <c r="A2917" s="5">
        <v>2856</v>
      </c>
      <c r="B2917" s="138">
        <f>'Assets-Liab 5-6'!L41</f>
        <v>32983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4412</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3936</v>
      </c>
      <c r="D2955" s="2" t="str">
        <f t="shared" si="45"/>
        <v>Error?</v>
      </c>
    </row>
    <row r="2956" spans="1:4" x14ac:dyDescent="0.2">
      <c r="A2956" s="5">
        <v>2895</v>
      </c>
      <c r="B2956" s="138">
        <f>'Expenditures 15-22'!H79</f>
        <v>637188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3707</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8348</v>
      </c>
      <c r="C2973" s="2" t="s">
        <v>594</v>
      </c>
      <c r="D2973" s="2" t="str">
        <f t="shared" si="45"/>
        <v>Error?</v>
      </c>
    </row>
    <row r="2974" spans="1:4" x14ac:dyDescent="0.2">
      <c r="A2974" s="5">
        <v>2913</v>
      </c>
      <c r="B2974" s="138">
        <f>'Expenditures 15-22'!K79</f>
        <v>637188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3707</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536667</v>
      </c>
      <c r="D3055" s="2" t="str">
        <f t="shared" si="46"/>
        <v>Error?</v>
      </c>
    </row>
    <row r="3056" spans="1:4" x14ac:dyDescent="0.2">
      <c r="A3056" s="5">
        <v>2995</v>
      </c>
      <c r="B3056" s="138">
        <f>'Expenditures 15-22'!D10</f>
        <v>113909</v>
      </c>
      <c r="D3056" s="2" t="str">
        <f t="shared" si="46"/>
        <v>Error?</v>
      </c>
    </row>
    <row r="3057" spans="1:4" x14ac:dyDescent="0.2">
      <c r="A3057" s="5">
        <v>2996</v>
      </c>
      <c r="B3057" s="138">
        <f>'Expenditures 15-22'!E10</f>
        <v>63737</v>
      </c>
      <c r="D3057" s="2" t="str">
        <f t="shared" si="46"/>
        <v>Error?</v>
      </c>
    </row>
    <row r="3058" spans="1:4" x14ac:dyDescent="0.2">
      <c r="A3058" s="5">
        <v>2997</v>
      </c>
      <c r="B3058" s="138">
        <f>'Expenditures 15-22'!F10</f>
        <v>284974</v>
      </c>
      <c r="D3058" s="2" t="str">
        <f t="shared" si="46"/>
        <v>Error?</v>
      </c>
    </row>
    <row r="3059" spans="1:4" x14ac:dyDescent="0.2">
      <c r="A3059" s="5">
        <v>2998</v>
      </c>
      <c r="B3059" s="138">
        <f>'Expenditures 15-22'!G10</f>
        <v>80054</v>
      </c>
      <c r="D3059" s="2" t="str">
        <f t="shared" si="46"/>
        <v>Error?</v>
      </c>
    </row>
    <row r="3060" spans="1:4" x14ac:dyDescent="0.2">
      <c r="A3060" s="5">
        <v>2999</v>
      </c>
      <c r="B3060" s="138">
        <f>'Expenditures 15-22'!H10</f>
        <v>7293</v>
      </c>
      <c r="D3060" s="2" t="str">
        <f t="shared" si="46"/>
        <v>Error?</v>
      </c>
    </row>
    <row r="3061" spans="1:4" x14ac:dyDescent="0.2">
      <c r="A3061" s="10">
        <v>3000</v>
      </c>
      <c r="D3061" s="2" t="str">
        <f t="shared" si="46"/>
        <v>OK</v>
      </c>
    </row>
    <row r="3062" spans="1:4" x14ac:dyDescent="0.2">
      <c r="A3062" s="5">
        <v>3001</v>
      </c>
      <c r="B3062" s="138">
        <f>'Expenditures 15-22'!K10</f>
        <v>1086634</v>
      </c>
      <c r="C3062" s="2" t="s">
        <v>594</v>
      </c>
      <c r="D3062" s="2" t="str">
        <f t="shared" si="46"/>
        <v>Error?</v>
      </c>
    </row>
    <row r="3063" spans="1:4" x14ac:dyDescent="0.2">
      <c r="A3063" s="10">
        <v>3002</v>
      </c>
      <c r="D3063" s="2" t="str">
        <f t="shared" si="46"/>
        <v>OK</v>
      </c>
    </row>
    <row r="3064" spans="1:4" x14ac:dyDescent="0.2">
      <c r="A3064" s="5">
        <v>3003</v>
      </c>
      <c r="B3064" s="138">
        <f>'Expenditures 15-22'!D219</f>
        <v>37157</v>
      </c>
      <c r="D3064" s="2" t="str">
        <f t="shared" si="46"/>
        <v>Error?</v>
      </c>
    </row>
    <row r="3065" spans="1:4" x14ac:dyDescent="0.2">
      <c r="A3065" s="5">
        <v>3004</v>
      </c>
      <c r="B3065" s="138">
        <f>'Expenditures 15-22'!K219</f>
        <v>37157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17663</v>
      </c>
      <c r="C3225" s="2" t="s">
        <v>594</v>
      </c>
      <c r="D3225" s="2" t="str">
        <f t="shared" si="49"/>
        <v>Error?</v>
      </c>
    </row>
    <row r="3226" spans="1:4" x14ac:dyDescent="0.2">
      <c r="A3226" s="5">
        <v>3165</v>
      </c>
      <c r="B3226" s="138">
        <f>'Acct Summary 7-8'!I8</f>
        <v>17663</v>
      </c>
      <c r="C3226" s="2" t="s">
        <v>594</v>
      </c>
      <c r="D3226" s="2" t="str">
        <f t="shared" si="49"/>
        <v>Error?</v>
      </c>
    </row>
    <row r="3227" spans="1:4" x14ac:dyDescent="0.2">
      <c r="A3227" s="5">
        <v>3166</v>
      </c>
      <c r="B3227" s="138">
        <f>'Acct Summary 7-8'!I20</f>
        <v>17663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407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407</v>
      </c>
      <c r="C3232" s="2" t="s">
        <v>594</v>
      </c>
      <c r="D3232" s="2" t="str">
        <f t="shared" si="49"/>
        <v>Error?</v>
      </c>
    </row>
    <row r="3233" spans="1:4" x14ac:dyDescent="0.2">
      <c r="A3233" s="5">
        <v>3172</v>
      </c>
      <c r="B3233" s="138">
        <f>'Acct Summary 7-8'!C78</f>
        <v>12456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11857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400669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-47553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11641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706716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17663</v>
      </c>
      <c r="C3320" s="2" t="s">
        <v>594</v>
      </c>
      <c r="D3320" s="2" t="str">
        <f t="shared" si="50"/>
        <v>Error?</v>
      </c>
    </row>
    <row r="3321" spans="1:4" x14ac:dyDescent="0.2">
      <c r="A3321" s="5">
        <v>3260</v>
      </c>
      <c r="B3321" s="138">
        <f>'Acct Summary 7-8'!I79</f>
        <v>6372375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6390038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1422828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307918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39721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10636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1781103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110697</v>
      </c>
      <c r="D3387" s="2" t="str">
        <f t="shared" si="51"/>
        <v>Error?</v>
      </c>
    </row>
    <row r="3388" spans="1:4" x14ac:dyDescent="0.2">
      <c r="A3388" s="5">
        <v>3327</v>
      </c>
      <c r="B3388" s="138">
        <f>'Expenditures 15-22'!D217</f>
        <v>96803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110697</v>
      </c>
      <c r="C3390" s="2" t="s">
        <v>594</v>
      </c>
      <c r="D3390" s="2" t="str">
        <f t="shared" si="51"/>
        <v>Error?</v>
      </c>
    </row>
    <row r="3391" spans="1:4" x14ac:dyDescent="0.2">
      <c r="A3391" s="5">
        <v>3330</v>
      </c>
      <c r="B3391" s="138">
        <f>'Expenditures 15-22'!K217</f>
        <v>96803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210959</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2035564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421454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60882</v>
      </c>
      <c r="D3417" s="2" t="str">
        <f t="shared" si="52"/>
        <v>Error?</v>
      </c>
    </row>
    <row r="3418" spans="1:4" x14ac:dyDescent="0.2">
      <c r="A3418" s="10">
        <v>3357</v>
      </c>
      <c r="D3418" s="2" t="str">
        <f t="shared" si="52"/>
        <v>OK</v>
      </c>
    </row>
    <row r="3419" spans="1:4" x14ac:dyDescent="0.2">
      <c r="A3419" s="5">
        <v>3358</v>
      </c>
      <c r="B3419" s="138">
        <f>'Assets-Liab 5-6'!F4</f>
        <v>861716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7284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707201</v>
      </c>
      <c r="D3425" s="2" t="str">
        <f t="shared" si="52"/>
        <v>Error?</v>
      </c>
    </row>
    <row r="3426" spans="1:4" x14ac:dyDescent="0.2">
      <c r="A3426" s="10">
        <v>3365</v>
      </c>
      <c r="D3426" s="2" t="str">
        <f t="shared" si="52"/>
        <v>OK</v>
      </c>
    </row>
    <row r="3427" spans="1:4" x14ac:dyDescent="0.2">
      <c r="A3427" s="5">
        <v>3366</v>
      </c>
      <c r="B3427" s="138">
        <f>'Assets-Liab 5-6'!I4</f>
        <v>6390038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32983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219835</v>
      </c>
      <c r="C3446" s="2" t="s">
        <v>594</v>
      </c>
      <c r="D3446" s="2" t="str">
        <f t="shared" si="52"/>
        <v>Error?</v>
      </c>
    </row>
    <row r="3447" spans="1:4" x14ac:dyDescent="0.2">
      <c r="A3447" s="5">
        <v>3386</v>
      </c>
      <c r="B3447" s="138">
        <f>'Tax Sched 23'!D16</f>
        <v>219835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222102</v>
      </c>
      <c r="C3449" s="2" t="s">
        <v>594</v>
      </c>
      <c r="D3449" s="2" t="str">
        <f t="shared" si="52"/>
        <v>Error?</v>
      </c>
    </row>
    <row r="3450" spans="1:4" x14ac:dyDescent="0.2">
      <c r="A3450" s="5">
        <v>3389</v>
      </c>
      <c r="B3450" s="138">
        <f>'Tax Sched 23'!E16</f>
        <v>222102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407</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383868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383868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383868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383868</v>
      </c>
      <c r="C3568" s="2" t="s">
        <v>594</v>
      </c>
      <c r="D3568" s="2" t="str">
        <f t="shared" si="54"/>
        <v>Error?</v>
      </c>
    </row>
    <row r="3569" spans="1:4" x14ac:dyDescent="0.2">
      <c r="A3569" s="5">
        <v>3508</v>
      </c>
      <c r="B3569" s="138">
        <f>'Acct Summary 7-8'!K4</f>
        <v>173147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173147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173147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173147</v>
      </c>
      <c r="C3588" s="2" t="s">
        <v>594</v>
      </c>
      <c r="D3588" s="2" t="str">
        <f t="shared" si="55"/>
        <v>Error?</v>
      </c>
    </row>
    <row r="3589" spans="1:4" x14ac:dyDescent="0.2">
      <c r="A3589" s="5">
        <v>3528</v>
      </c>
      <c r="B3589" s="138">
        <f>'Acct Summary 7-8'!K79</f>
        <v>210721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383868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173147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447687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7696121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24402764</v>
      </c>
      <c r="C4122" s="2" t="s">
        <v>594</v>
      </c>
      <c r="D4122" s="2" t="str">
        <f t="shared" si="63"/>
        <v>Error?</v>
      </c>
    </row>
    <row r="4123" spans="1:4" x14ac:dyDescent="0.2">
      <c r="A4123" s="5">
        <v>4062</v>
      </c>
      <c r="B4123" s="138">
        <f>'Acct Summary 7-8'!D10</f>
        <v>1096858</v>
      </c>
      <c r="C4123" s="2" t="s">
        <v>594</v>
      </c>
      <c r="D4123" s="2" t="str">
        <f t="shared" si="63"/>
        <v>Error?</v>
      </c>
    </row>
    <row r="4124" spans="1:4" x14ac:dyDescent="0.2">
      <c r="A4124" s="5">
        <v>4063</v>
      </c>
      <c r="B4124" s="138">
        <f>'Acct Summary 7-8'!E10</f>
        <v>1289850</v>
      </c>
      <c r="C4124" s="2" t="s">
        <v>594</v>
      </c>
      <c r="D4124" s="2" t="str">
        <f t="shared" si="63"/>
        <v>Error?</v>
      </c>
    </row>
    <row r="4125" spans="1:4" x14ac:dyDescent="0.2">
      <c r="A4125" s="5">
        <v>4064</v>
      </c>
      <c r="B4125" s="138">
        <f>'Acct Summary 7-8'!F10</f>
        <v>1643259</v>
      </c>
      <c r="C4125" s="2" t="s">
        <v>594</v>
      </c>
      <c r="D4125" s="2" t="str">
        <f t="shared" si="63"/>
        <v>Error?</v>
      </c>
    </row>
    <row r="4126" spans="1:4" x14ac:dyDescent="0.2">
      <c r="A4126" s="5">
        <v>4065</v>
      </c>
      <c r="B4126" s="138">
        <f>'Acct Summary 7-8'!G10</f>
        <v>541568</v>
      </c>
      <c r="C4126" s="2" t="s">
        <v>594</v>
      </c>
      <c r="D4126" s="2" t="str">
        <f t="shared" si="63"/>
        <v>Error?</v>
      </c>
    </row>
    <row r="4127" spans="1:4" x14ac:dyDescent="0.2">
      <c r="A4127" s="5">
        <v>4066</v>
      </c>
      <c r="B4127" s="138">
        <f>'Acct Summary 7-8'!H10</f>
        <v>796616</v>
      </c>
      <c r="C4127" s="2" t="s">
        <v>594</v>
      </c>
      <c r="D4127" s="2" t="str">
        <f t="shared" si="63"/>
        <v>Error?</v>
      </c>
    </row>
    <row r="4128" spans="1:4" x14ac:dyDescent="0.2">
      <c r="A4128" s="5">
        <v>4067</v>
      </c>
      <c r="B4128" s="138">
        <f>'Acct Summary 7-8'!I10</f>
        <v>17663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173147</v>
      </c>
      <c r="C4130" s="2" t="s">
        <v>594</v>
      </c>
      <c r="D4130" s="2" t="str">
        <f t="shared" si="63"/>
        <v>Error?</v>
      </c>
    </row>
    <row r="4131" spans="1:4" x14ac:dyDescent="0.2">
      <c r="A4131" s="5">
        <v>4070</v>
      </c>
      <c r="B4131" s="138">
        <f>'Acct Summary 7-8'!C18</f>
        <v>7696121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24390715</v>
      </c>
      <c r="C4136" s="2" t="s">
        <v>594</v>
      </c>
      <c r="D4136" s="2" t="str">
        <f t="shared" si="63"/>
        <v>Error?</v>
      </c>
    </row>
    <row r="4137" spans="1:4" x14ac:dyDescent="0.2">
      <c r="A4137" s="5">
        <v>4076</v>
      </c>
      <c r="B4137" s="138">
        <f>'Acct Summary 7-8'!D19</f>
        <v>1085001</v>
      </c>
      <c r="C4137" s="2" t="s">
        <v>594</v>
      </c>
      <c r="D4137" s="2" t="str">
        <f t="shared" si="63"/>
        <v>Error?</v>
      </c>
    </row>
    <row r="4138" spans="1:4" x14ac:dyDescent="0.2">
      <c r="A4138" s="5">
        <v>4077</v>
      </c>
      <c r="B4138" s="138">
        <f>'Acct Summary 7-8'!E19</f>
        <v>1278209</v>
      </c>
      <c r="C4138" s="2" t="s">
        <v>594</v>
      </c>
      <c r="D4138" s="2" t="str">
        <f t="shared" si="63"/>
        <v>Error?</v>
      </c>
    </row>
    <row r="4139" spans="1:4" x14ac:dyDescent="0.2">
      <c r="A4139" s="5">
        <v>4078</v>
      </c>
      <c r="B4139" s="138">
        <f>'Acct Summary 7-8'!F19</f>
        <v>1242590</v>
      </c>
      <c r="C4139" s="2" t="s">
        <v>594</v>
      </c>
      <c r="D4139" s="2" t="str">
        <f t="shared" si="63"/>
        <v>Error?</v>
      </c>
    </row>
    <row r="4140" spans="1:4" x14ac:dyDescent="0.2">
      <c r="A4140" s="5">
        <v>4079</v>
      </c>
      <c r="B4140" s="138">
        <f>'Acct Summary 7-8'!G19</f>
        <v>589121</v>
      </c>
      <c r="C4140" s="2" t="s">
        <v>594</v>
      </c>
      <c r="D4140" s="2" t="str">
        <f t="shared" si="63"/>
        <v>Error?</v>
      </c>
    </row>
    <row r="4141" spans="1:4" x14ac:dyDescent="0.2">
      <c r="A4141" s="5">
        <v>4080</v>
      </c>
      <c r="B4141" s="138">
        <f>'Acct Summary 7-8'!H19</f>
        <v>89900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5416404</v>
      </c>
      <c r="C4171" s="2" t="s">
        <v>594</v>
      </c>
      <c r="D4171" s="2" t="str">
        <f t="shared" si="64"/>
        <v>Error?</v>
      </c>
    </row>
    <row r="4172" spans="1:4" x14ac:dyDescent="0.2">
      <c r="A4172" s="5">
        <v>4111</v>
      </c>
      <c r="B4172" s="138">
        <f>'Short-Term Long-Term Debt 24'!J49</f>
        <v>5355522</v>
      </c>
      <c r="C4172" s="2" t="s">
        <v>594</v>
      </c>
      <c r="D4172" s="2" t="str">
        <f t="shared" si="64"/>
        <v>Error?</v>
      </c>
    </row>
    <row r="4173" spans="1:4" x14ac:dyDescent="0.2">
      <c r="A4173" s="5">
        <v>4112</v>
      </c>
      <c r="B4173" s="138">
        <f>'Short-Term Long-Term Debt 24'!H49</f>
        <v>1080781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2865.25</v>
      </c>
      <c r="C4265" s="2" t="s">
        <v>594</v>
      </c>
      <c r="D4265" s="2" t="str">
        <f t="shared" si="65"/>
        <v>Error?</v>
      </c>
      <c r="E4265" s="128"/>
    </row>
    <row r="4266" spans="1:5" x14ac:dyDescent="0.2">
      <c r="A4266" s="12">
        <v>4205</v>
      </c>
      <c r="B4266" s="138">
        <f>('FP Info 3'!F10)*100000</f>
        <v>315.83000000000004</v>
      </c>
      <c r="C4266" s="2" t="s">
        <v>594</v>
      </c>
      <c r="D4266" s="2" t="str">
        <f t="shared" si="65"/>
        <v>Error?</v>
      </c>
      <c r="E4266" s="128"/>
    </row>
    <row r="4267" spans="1:5" x14ac:dyDescent="0.2">
      <c r="A4267" s="12">
        <v>4206</v>
      </c>
      <c r="B4267" s="138">
        <f>('FP Info 3'!H10)*100000</f>
        <v>172.28</v>
      </c>
      <c r="C4267" s="2" t="s">
        <v>594</v>
      </c>
      <c r="D4267" s="2" t="str">
        <f t="shared" si="65"/>
        <v>Error?</v>
      </c>
      <c r="E4267" s="128"/>
    </row>
    <row r="4268" spans="1:5" x14ac:dyDescent="0.2">
      <c r="A4268" s="12">
        <v>4207</v>
      </c>
      <c r="B4268" s="138">
        <f>('FP Info 3'!J10)*100000</f>
        <v>3352.9999999999995</v>
      </c>
      <c r="C4268" s="2" t="s">
        <v>594</v>
      </c>
      <c r="D4268" s="2" t="str">
        <f t="shared" si="65"/>
        <v>Error?</v>
      </c>
    </row>
    <row r="4269" spans="1:5" x14ac:dyDescent="0.2">
      <c r="A4269" s="12">
        <v>4208</v>
      </c>
      <c r="B4269" s="138">
        <f>'FP Info 3'!J16</f>
        <v>9716846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74063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105758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19756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146213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1.0699999999999998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1895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343758428</v>
      </c>
      <c r="D4995" s="2" t="str">
        <f t="shared" si="77"/>
        <v>Error?</v>
      </c>
    </row>
    <row r="4996" spans="1:4" x14ac:dyDescent="0.2">
      <c r="A4996" s="12">
        <v>4935</v>
      </c>
      <c r="B4996" s="138">
        <f>'FP Info 3'!H31</f>
        <v>23719331.532000002</v>
      </c>
      <c r="D4996" s="2" t="str">
        <f t="shared" si="77"/>
        <v>Error?</v>
      </c>
    </row>
    <row r="4997" spans="1:4" x14ac:dyDescent="0.2">
      <c r="A4997" s="12">
        <v>4936</v>
      </c>
      <c r="B4997" s="138">
        <f>'FP Info 3'!H37</f>
        <v>5416404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9478975</v>
      </c>
      <c r="D5061" s="2" t="str">
        <f t="shared" si="78"/>
        <v>Error?</v>
      </c>
    </row>
    <row r="5062" spans="1:4" x14ac:dyDescent="0.2">
      <c r="A5062" s="10">
        <v>5001</v>
      </c>
      <c r="D5062" s="2" t="str">
        <f t="shared" si="78"/>
        <v>OK</v>
      </c>
    </row>
    <row r="5063" spans="1:4" x14ac:dyDescent="0.2">
      <c r="A5063" s="5">
        <v>5002</v>
      </c>
      <c r="B5063" s="138">
        <f>'Revenues 9-14'!C7</f>
        <v>175863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9654838</v>
      </c>
      <c r="C5066" s="2" t="s">
        <v>594</v>
      </c>
      <c r="D5066" s="2" t="str">
        <f t="shared" si="78"/>
        <v>Error?</v>
      </c>
    </row>
    <row r="5067" spans="1:4" x14ac:dyDescent="0.2">
      <c r="A5067" s="5">
        <v>5006</v>
      </c>
      <c r="B5067" s="138">
        <f>'Revenues 9-14'!C14</f>
        <v>13876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13876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32870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32870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3936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3936</v>
      </c>
      <c r="C5096" s="2" t="s">
        <v>594</v>
      </c>
      <c r="D5096" s="2" t="str">
        <f t="shared" si="78"/>
        <v>Error?</v>
      </c>
    </row>
    <row r="5097" spans="1:4" x14ac:dyDescent="0.2">
      <c r="A5097" s="5">
        <v>5036</v>
      </c>
      <c r="B5097" s="138">
        <f>'Revenues 9-14'!C77</f>
        <v>6170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81092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87262</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670</v>
      </c>
      <c r="D5113" s="2" t="str">
        <f t="shared" si="78"/>
        <v>Error?</v>
      </c>
    </row>
    <row r="5114" spans="1:4" x14ac:dyDescent="0.2">
      <c r="A5114" s="5">
        <v>5053</v>
      </c>
      <c r="B5114" s="138">
        <f>'Revenues 9-14'!C96</f>
        <v>2825</v>
      </c>
      <c r="D5114" s="2" t="str">
        <f t="shared" si="78"/>
        <v>Error?</v>
      </c>
    </row>
    <row r="5115" spans="1:4" x14ac:dyDescent="0.2">
      <c r="A5115" s="5">
        <v>5054</v>
      </c>
      <c r="B5115" s="138">
        <f>'Revenues 9-14'!C98</f>
        <v>16554</v>
      </c>
      <c r="D5115" s="2" t="str">
        <f t="shared" si="78"/>
        <v>Error?</v>
      </c>
    </row>
    <row r="5116" spans="1:4" x14ac:dyDescent="0.2">
      <c r="A5116" s="5">
        <v>5055</v>
      </c>
      <c r="B5116" s="138">
        <f>'Revenues 9-14'!C99</f>
        <v>98744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50377</v>
      </c>
      <c r="D5119" s="2" t="str">
        <f t="shared" ref="D5119:D5182" si="79">IF(ISBLANK(B5119),"OK",IF(A5119-B5119=0,"OK","Error?"))</f>
        <v>Error?</v>
      </c>
    </row>
    <row r="5120" spans="1:4" x14ac:dyDescent="0.2">
      <c r="A5120" s="5">
        <v>5059</v>
      </c>
      <c r="B5120" s="138">
        <f>'Revenues 9-14'!C108</f>
        <v>169170</v>
      </c>
      <c r="C5120" s="2" t="s">
        <v>594</v>
      </c>
      <c r="D5120" s="2" t="str">
        <f t="shared" si="79"/>
        <v>Error?</v>
      </c>
    </row>
    <row r="5121" spans="1:4" x14ac:dyDescent="0.2">
      <c r="A5121" s="5">
        <v>5060</v>
      </c>
      <c r="B5121" s="138">
        <f>'Revenues 9-14'!C109</f>
        <v>9961952</v>
      </c>
      <c r="C5121" s="2" t="s">
        <v>594</v>
      </c>
      <c r="D5121" s="2" t="str">
        <f t="shared" si="79"/>
        <v>Error?</v>
      </c>
    </row>
    <row r="5122" spans="1:4" x14ac:dyDescent="0.2">
      <c r="A5122" s="5">
        <v>5061</v>
      </c>
      <c r="B5122" s="138">
        <f>'Revenues 9-14'!C111</f>
        <v>10959</v>
      </c>
      <c r="D5122" s="2" t="str">
        <f t="shared" si="79"/>
        <v>Error?</v>
      </c>
    </row>
    <row r="5123" spans="1:4" x14ac:dyDescent="0.2">
      <c r="A5123" s="5">
        <v>5062</v>
      </c>
      <c r="B5123" s="138">
        <f>'Revenues 9-14'!C112</f>
        <v>200000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210959</v>
      </c>
      <c r="C5125" s="2" t="s">
        <v>594</v>
      </c>
      <c r="D5125" s="2" t="str">
        <f t="shared" si="79"/>
        <v>Error?</v>
      </c>
    </row>
    <row r="5126" spans="1:4" x14ac:dyDescent="0.2">
      <c r="A5126" s="5">
        <v>5065</v>
      </c>
      <c r="B5126" s="138">
        <f>'Revenues 9-14'!C117</f>
        <v>3217646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3217646</v>
      </c>
      <c r="C5132" s="2" t="s">
        <v>594</v>
      </c>
      <c r="D5132" s="2" t="str">
        <f t="shared" si="79"/>
        <v>Error?</v>
      </c>
    </row>
    <row r="5133" spans="1:4" x14ac:dyDescent="0.2">
      <c r="A5133" s="5">
        <v>5072</v>
      </c>
      <c r="B5133" s="138">
        <f>'Revenues 9-14'!C124</f>
        <v>3811</v>
      </c>
      <c r="D5133" s="2" t="str">
        <f t="shared" si="79"/>
        <v>Error?</v>
      </c>
    </row>
    <row r="5134" spans="1:4" x14ac:dyDescent="0.2">
      <c r="A5134" s="5">
        <v>5073</v>
      </c>
      <c r="B5134" s="138">
        <f>'Revenues 9-14'!C125</f>
        <v>103102</v>
      </c>
      <c r="D5134" s="2" t="str">
        <f t="shared" si="79"/>
        <v>Error?</v>
      </c>
    </row>
    <row r="5135" spans="1:4" x14ac:dyDescent="0.2">
      <c r="A5135" s="5">
        <v>5074</v>
      </c>
      <c r="B5135" s="138">
        <f>'Revenues 9-14'!C126</f>
        <v>128329</v>
      </c>
      <c r="D5135" s="2" t="str">
        <f t="shared" si="79"/>
        <v>Error?</v>
      </c>
    </row>
    <row r="5136" spans="1:4" x14ac:dyDescent="0.2">
      <c r="A5136" s="10">
        <v>5075</v>
      </c>
      <c r="D5136" s="2" t="str">
        <f t="shared" si="79"/>
        <v>OK</v>
      </c>
    </row>
    <row r="5137" spans="1:4" x14ac:dyDescent="0.2">
      <c r="A5137" s="5">
        <v>5076</v>
      </c>
      <c r="B5137" s="138">
        <f>'Revenues 9-14'!C127</f>
        <v>51641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715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287598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73153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73153</v>
      </c>
      <c r="C5165" s="2" t="s">
        <v>594</v>
      </c>
      <c r="D5165" s="2" t="str">
        <f t="shared" si="79"/>
        <v>Error?</v>
      </c>
    </row>
    <row r="5166" spans="1:4" x14ac:dyDescent="0.2">
      <c r="A5166" s="10">
        <v>5105</v>
      </c>
      <c r="D5166" s="2" t="str">
        <f t="shared" si="79"/>
        <v>OK</v>
      </c>
    </row>
    <row r="5167" spans="1:4" x14ac:dyDescent="0.2">
      <c r="A5167" s="5">
        <v>5106</v>
      </c>
      <c r="B5167" s="138">
        <f>'Revenues 9-14'!C145</f>
        <v>12658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754742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1130046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4347692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605697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194266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811291</v>
      </c>
      <c r="C5246" s="2" t="s">
        <v>594</v>
      </c>
      <c r="D5246" s="2" t="str">
        <f t="shared" si="80"/>
        <v>Error?</v>
      </c>
    </row>
    <row r="5247" spans="1:4" x14ac:dyDescent="0.2">
      <c r="A5247" s="5">
        <v>5186</v>
      </c>
      <c r="B5247" s="138">
        <f>'Revenues 9-14'!C203</f>
        <v>1019985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1019985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8974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8974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2186040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2186040</v>
      </c>
      <c r="C5326" s="2" t="s">
        <v>594</v>
      </c>
      <c r="D5326" s="2" t="str">
        <f t="shared" si="82"/>
        <v>Error?</v>
      </c>
    </row>
    <row r="5327" spans="1:4" x14ac:dyDescent="0.2">
      <c r="A5327" s="5">
        <v>5266</v>
      </c>
      <c r="B5327" s="138">
        <f>'Revenues 9-14'!C275</f>
        <v>16706643</v>
      </c>
      <c r="C5327" s="2" t="s">
        <v>594</v>
      </c>
      <c r="D5327" s="2" t="str">
        <f t="shared" si="82"/>
        <v>Error?</v>
      </c>
    </row>
    <row r="5328" spans="1:4" x14ac:dyDescent="0.2">
      <c r="A5328" s="5">
        <v>5267</v>
      </c>
      <c r="B5328" s="138">
        <f>'Revenues 9-14'!D5</f>
        <v>976876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976876</v>
      </c>
      <c r="C5334" s="2" t="s">
        <v>594</v>
      </c>
      <c r="D5334" s="2" t="str">
        <f t="shared" si="82"/>
        <v>Error?</v>
      </c>
    </row>
    <row r="5335" spans="1:4" x14ac:dyDescent="0.2">
      <c r="A5335" s="5">
        <v>5274</v>
      </c>
      <c r="B5335" s="138">
        <f>'Revenues 9-14'!D14</f>
        <v>1404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108584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109988</v>
      </c>
      <c r="C5339" s="2" t="s">
        <v>594</v>
      </c>
      <c r="D5339" s="2" t="str">
        <f t="shared" si="82"/>
        <v>Error?</v>
      </c>
    </row>
    <row r="5340" spans="1:4" x14ac:dyDescent="0.2">
      <c r="A5340" s="5">
        <v>5279</v>
      </c>
      <c r="B5340" s="138">
        <f>'Revenues 9-14'!D65</f>
        <v>2659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2659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7335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7335</v>
      </c>
      <c r="C5355" s="2" t="s">
        <v>594</v>
      </c>
      <c r="D5355" s="2" t="str">
        <f t="shared" si="82"/>
        <v>Error?</v>
      </c>
    </row>
    <row r="5356" spans="1:4" x14ac:dyDescent="0.2">
      <c r="A5356" s="5">
        <v>5295</v>
      </c>
      <c r="B5356" s="138">
        <f>'Revenues 9-14'!D109</f>
        <v>1096858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1096858</v>
      </c>
      <c r="C5508" s="2" t="s">
        <v>594</v>
      </c>
      <c r="D5508" s="2" t="str">
        <f t="shared" si="85"/>
        <v>Error?</v>
      </c>
    </row>
    <row r="5509" spans="1:4" x14ac:dyDescent="0.2">
      <c r="A5509" s="5">
        <v>5448</v>
      </c>
      <c r="B5509" s="138">
        <f>'Revenues 9-14'!E5</f>
        <v>1280687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1280687</v>
      </c>
      <c r="C5513" s="2" t="s">
        <v>594</v>
      </c>
      <c r="D5513" s="2" t="str">
        <f t="shared" si="85"/>
        <v>Error?</v>
      </c>
    </row>
    <row r="5514" spans="1:4" x14ac:dyDescent="0.2">
      <c r="A5514" s="5">
        <v>5453</v>
      </c>
      <c r="B5514" s="138">
        <f>'Revenues 9-14'!E14</f>
        <v>1841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1841</v>
      </c>
      <c r="C5518" s="2" t="s">
        <v>594</v>
      </c>
      <c r="D5518" s="2" t="str">
        <f t="shared" si="85"/>
        <v>Error?</v>
      </c>
    </row>
    <row r="5519" spans="1:4" x14ac:dyDescent="0.2">
      <c r="A5519" s="5">
        <v>5458</v>
      </c>
      <c r="B5519" s="138">
        <f>'Revenues 9-14'!E65</f>
        <v>7322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7322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1289850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1289850</v>
      </c>
      <c r="C5552" s="2" t="s">
        <v>594</v>
      </c>
      <c r="D5552" s="2" t="str">
        <f t="shared" si="85"/>
        <v>Error?</v>
      </c>
    </row>
    <row r="5553" spans="1:4" x14ac:dyDescent="0.2">
      <c r="A5553" s="5">
        <v>5492</v>
      </c>
      <c r="B5553" s="138">
        <f>'Revenues 9-14'!F5</f>
        <v>586101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586101</v>
      </c>
      <c r="C5557" s="2" t="s">
        <v>594</v>
      </c>
      <c r="D5557" s="2" t="str">
        <f t="shared" si="85"/>
        <v>Error?</v>
      </c>
    </row>
    <row r="5558" spans="1:4" x14ac:dyDescent="0.2">
      <c r="A5558" s="5">
        <v>5497</v>
      </c>
      <c r="B5558" s="138">
        <f>'Revenues 9-14'!F14</f>
        <v>842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199876</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200718</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5129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5129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791948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623531</v>
      </c>
      <c r="D5615" s="2" t="str">
        <f t="shared" si="86"/>
        <v>Error?</v>
      </c>
    </row>
    <row r="5616" spans="1:4" x14ac:dyDescent="0.2">
      <c r="A5616" s="10">
        <v>5555</v>
      </c>
      <c r="D5616" s="2" t="str">
        <f t="shared" si="86"/>
        <v>OK</v>
      </c>
    </row>
    <row r="5617" spans="1:4" x14ac:dyDescent="0.2">
      <c r="A5617" s="5">
        <v>5556</v>
      </c>
      <c r="B5617" s="138">
        <f>'Revenues 9-14'!F152</f>
        <v>227780</v>
      </c>
      <c r="D5617" s="2" t="str">
        <f t="shared" si="86"/>
        <v>Error?</v>
      </c>
    </row>
    <row r="5618" spans="1:4" x14ac:dyDescent="0.2">
      <c r="A5618" s="5">
        <v>5557</v>
      </c>
      <c r="B5618" s="138">
        <f>'Revenues 9-14'!F154</f>
        <v>851311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851311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851311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1643259</v>
      </c>
      <c r="C5720" s="2" t="s">
        <v>594</v>
      </c>
      <c r="D5720" s="2" t="str">
        <f t="shared" si="88"/>
        <v>Error?</v>
      </c>
    </row>
    <row r="5721" spans="1:4" x14ac:dyDescent="0.2">
      <c r="A5721" s="5">
        <v>5660</v>
      </c>
      <c r="B5721" s="138">
        <f>'Revenues 9-14'!G5</f>
        <v>268663</v>
      </c>
      <c r="D5721" s="2" t="str">
        <f t="shared" si="88"/>
        <v>Error?</v>
      </c>
    </row>
    <row r="5722" spans="1:4" x14ac:dyDescent="0.2">
      <c r="A5722" s="5">
        <v>5661</v>
      </c>
      <c r="B5722" s="138">
        <f>'Revenues 9-14'!G7</f>
        <v>0</v>
      </c>
      <c r="D5722" s="2" t="str">
        <f t="shared" si="88"/>
        <v>Error?</v>
      </c>
    </row>
    <row r="5723" spans="1:4" x14ac:dyDescent="0.2">
      <c r="A5723" s="5">
        <v>5662</v>
      </c>
      <c r="B5723" s="138">
        <f>'Revenues 9-14'!G8</f>
        <v>219835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488498</v>
      </c>
      <c r="C5725" s="2" t="s">
        <v>594</v>
      </c>
      <c r="D5725" s="2" t="str">
        <f t="shared" si="88"/>
        <v>Error?</v>
      </c>
    </row>
    <row r="5726" spans="1:4" x14ac:dyDescent="0.2">
      <c r="A5726" s="5">
        <v>5665</v>
      </c>
      <c r="B5726" s="138">
        <f>'Revenues 9-14'!G14</f>
        <v>702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45702</v>
      </c>
      <c r="C5730" s="2" t="s">
        <v>594</v>
      </c>
      <c r="D5730" s="2" t="str">
        <f t="shared" si="88"/>
        <v>Error?</v>
      </c>
    </row>
    <row r="5731" spans="1:4" x14ac:dyDescent="0.2">
      <c r="A5731" s="5">
        <v>5670</v>
      </c>
      <c r="B5731" s="138">
        <f>'Revenues 9-14'!G65</f>
        <v>7368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7368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541568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884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884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795732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796616</v>
      </c>
      <c r="C5915" s="2" t="s">
        <v>594</v>
      </c>
      <c r="D5915" s="2" t="str">
        <f t="shared" si="91"/>
        <v>Error?</v>
      </c>
    </row>
    <row r="5916" spans="1:4" x14ac:dyDescent="0.2">
      <c r="A5916" s="5">
        <v>5855</v>
      </c>
      <c r="B5916" s="138">
        <f>'Revenues 9-14'!I5</f>
        <v>309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17354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17354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17663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170966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170966</v>
      </c>
      <c r="C5987" s="2" t="s">
        <v>594</v>
      </c>
      <c r="D5987" s="2" t="str">
        <f t="shared" si="92"/>
        <v>Error?</v>
      </c>
    </row>
    <row r="5988" spans="1:4" x14ac:dyDescent="0.2">
      <c r="A5988" s="5">
        <v>5927</v>
      </c>
      <c r="B5988" s="138">
        <f>'Revenues 9-14'!K14</f>
        <v>246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246</v>
      </c>
      <c r="C5992" s="2" t="s">
        <v>594</v>
      </c>
      <c r="D5992" s="2" t="str">
        <f t="shared" si="92"/>
        <v>Error?</v>
      </c>
    </row>
    <row r="5993" spans="1:4" x14ac:dyDescent="0.2">
      <c r="A5993" s="5">
        <v>5932</v>
      </c>
      <c r="B5993" s="138">
        <f>'Revenues 9-14'!K65</f>
        <v>1935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1935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173147</v>
      </c>
      <c r="C6023" s="2" t="s">
        <v>594</v>
      </c>
      <c r="D6023" s="2" t="str">
        <f t="shared" si="93"/>
        <v>Error?</v>
      </c>
    </row>
    <row r="6024" spans="1:5" x14ac:dyDescent="0.2">
      <c r="A6024" s="5">
        <v>5963</v>
      </c>
      <c r="B6024" s="138">
        <f>'Revenues 9-14'!G109</f>
        <v>541568</v>
      </c>
      <c r="C6024" s="2" t="s">
        <v>594</v>
      </c>
      <c r="D6024" s="2" t="str">
        <f t="shared" si="93"/>
        <v>Error?</v>
      </c>
    </row>
    <row r="6025" spans="1:5" x14ac:dyDescent="0.2">
      <c r="A6025" s="5">
        <v>5964</v>
      </c>
      <c r="B6025" s="138">
        <f>'Revenues 9-14'!H109</f>
        <v>796616</v>
      </c>
      <c r="C6025" s="2" t="s">
        <v>594</v>
      </c>
      <c r="D6025" s="2" t="str">
        <f t="shared" si="93"/>
        <v>Error?</v>
      </c>
    </row>
    <row r="6026" spans="1:5" x14ac:dyDescent="0.2">
      <c r="A6026" s="5">
        <v>5965</v>
      </c>
      <c r="B6026" s="138">
        <f>'Revenues 9-14'!I109</f>
        <v>17663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173147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40735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1325.81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79837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629</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79837</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79837</v>
      </c>
      <c r="D6216" s="2" t="str">
        <f t="shared" si="96"/>
        <v>Error?</v>
      </c>
      <c r="E6216" s="2" t="s">
        <v>199</v>
      </c>
    </row>
    <row r="6217" spans="1:5" x14ac:dyDescent="0.2">
      <c r="A6217">
        <v>6156</v>
      </c>
      <c r="B6217" s="138">
        <f>'Assets-Liab 5-6'!J4</f>
        <v>79837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374794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374794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374794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371483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371483</v>
      </c>
      <c r="D6229" s="2" t="str">
        <f t="shared" si="96"/>
        <v>Error?</v>
      </c>
      <c r="E6229" s="2" t="s">
        <v>199</v>
      </c>
    </row>
    <row r="6230" spans="1:5" x14ac:dyDescent="0.2">
      <c r="A6230">
        <v>6169</v>
      </c>
      <c r="B6230" s="138">
        <f>'Acct Summary 7-8'!J20</f>
        <v>3311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3311</v>
      </c>
      <c r="D6263" s="2" t="str">
        <f t="shared" si="96"/>
        <v>Error?</v>
      </c>
      <c r="E6263" s="2" t="s">
        <v>199</v>
      </c>
    </row>
    <row r="6264" spans="1:5" x14ac:dyDescent="0.2">
      <c r="A6264">
        <v>6203</v>
      </c>
      <c r="B6264" s="138">
        <f>'Acct Summary 7-8'!J79</f>
        <v>76526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79837</v>
      </c>
      <c r="D6266" s="2" t="str">
        <f t="shared" si="96"/>
        <v>Error?</v>
      </c>
      <c r="E6266" s="2" t="s">
        <v>199</v>
      </c>
    </row>
    <row r="6267" spans="1:5" x14ac:dyDescent="0.2">
      <c r="A6267">
        <v>6206</v>
      </c>
      <c r="B6267" s="138">
        <f>'Acct Summary 7-8'!C82</f>
        <v>12456</v>
      </c>
      <c r="D6267" s="2" t="str">
        <f t="shared" si="96"/>
        <v>Error?</v>
      </c>
      <c r="E6267" s="2" t="s">
        <v>199</v>
      </c>
    </row>
    <row r="6268" spans="1:5" x14ac:dyDescent="0.2">
      <c r="A6268">
        <v>6207</v>
      </c>
      <c r="B6268" s="138">
        <f>'Acct Summary 7-8'!D82</f>
        <v>11857</v>
      </c>
      <c r="D6268" s="2" t="str">
        <f t="shared" si="96"/>
        <v>Error?</v>
      </c>
      <c r="E6268" s="2" t="s">
        <v>199</v>
      </c>
    </row>
    <row r="6269" spans="1:5" x14ac:dyDescent="0.2">
      <c r="A6269">
        <v>6208</v>
      </c>
      <c r="B6269" s="138">
        <f>'Acct Summary 7-8'!E82</f>
        <v>11641</v>
      </c>
      <c r="D6269" s="2" t="str">
        <f t="shared" si="96"/>
        <v>Error?</v>
      </c>
      <c r="E6269" s="2" t="s">
        <v>199</v>
      </c>
    </row>
    <row r="6270" spans="1:5" x14ac:dyDescent="0.2">
      <c r="A6270">
        <v>6209</v>
      </c>
      <c r="B6270" s="138">
        <f>'Acct Summary 7-8'!F82</f>
        <v>400669</v>
      </c>
      <c r="D6270" s="2" t="str">
        <f t="shared" si="96"/>
        <v>Error?</v>
      </c>
      <c r="E6270" s="2" t="s">
        <v>199</v>
      </c>
    </row>
    <row r="6271" spans="1:5" x14ac:dyDescent="0.2">
      <c r="A6271">
        <v>6210</v>
      </c>
      <c r="B6271" s="138">
        <f>'Acct Summary 7-8'!G82</f>
        <v>-47553</v>
      </c>
      <c r="D6271" s="2" t="str">
        <f t="shared" ref="D6271:D6334" si="97">IF(ISBLANK(B6271),"OK",IF(A6271-B6271=0,"OK","Error?"))</f>
        <v>Error?</v>
      </c>
      <c r="E6271" s="2" t="s">
        <v>199</v>
      </c>
    </row>
    <row r="6272" spans="1:5" x14ac:dyDescent="0.2">
      <c r="A6272">
        <v>6211</v>
      </c>
      <c r="B6272" s="138">
        <f>'Acct Summary 7-8'!H82</f>
        <v>706716</v>
      </c>
      <c r="D6272" s="2" t="str">
        <f t="shared" si="97"/>
        <v>Error?</v>
      </c>
      <c r="E6272" s="2" t="s">
        <v>199</v>
      </c>
    </row>
    <row r="6273" spans="1:5" x14ac:dyDescent="0.2">
      <c r="A6273">
        <v>6212</v>
      </c>
      <c r="B6273" s="138">
        <f>'Acct Summary 7-8'!I82</f>
        <v>17663</v>
      </c>
      <c r="D6273" s="2" t="str">
        <f t="shared" si="97"/>
        <v>Error?</v>
      </c>
      <c r="E6273" s="2" t="s">
        <v>199</v>
      </c>
    </row>
    <row r="6274" spans="1:5" x14ac:dyDescent="0.2">
      <c r="A6274">
        <v>6213</v>
      </c>
      <c r="B6274" s="138">
        <f>'Acct Summary 7-8'!J82</f>
        <v>3311</v>
      </c>
      <c r="D6274" s="2" t="str">
        <f t="shared" si="97"/>
        <v>Error?</v>
      </c>
      <c r="E6274" s="2" t="s">
        <v>199</v>
      </c>
    </row>
    <row r="6275" spans="1:5" x14ac:dyDescent="0.2">
      <c r="A6275">
        <v>6214</v>
      </c>
      <c r="B6275" s="138">
        <f>'Acct Summary 7-8'!K82</f>
        <v>173147</v>
      </c>
      <c r="D6275" s="2" t="str">
        <f t="shared" si="97"/>
        <v>Error?</v>
      </c>
      <c r="E6275" s="2" t="s">
        <v>199</v>
      </c>
    </row>
    <row r="6276" spans="1:5" x14ac:dyDescent="0.2">
      <c r="A6276">
        <v>6215</v>
      </c>
      <c r="B6276" s="138">
        <f>'Acct Summary 7-8'!C83</f>
        <v>6.093137540252814E-3</v>
      </c>
      <c r="D6276" s="2" t="str">
        <f t="shared" si="97"/>
        <v>Error?</v>
      </c>
      <c r="E6276" s="2" t="s">
        <v>199</v>
      </c>
    </row>
    <row r="6277" spans="1:5" x14ac:dyDescent="0.2">
      <c r="A6277">
        <v>6216</v>
      </c>
      <c r="B6277" s="138">
        <f>'Acct Summary 7-8'!D83</f>
        <v>2.8175607437771043E-2</v>
      </c>
      <c r="D6277" s="2" t="str">
        <f t="shared" si="97"/>
        <v>Error?</v>
      </c>
      <c r="E6277" s="2" t="s">
        <v>199</v>
      </c>
    </row>
    <row r="6278" spans="1:5" x14ac:dyDescent="0.2">
      <c r="A6278">
        <v>6217</v>
      </c>
      <c r="B6278" s="138">
        <f>'Acct Summary 7-8'!E83</f>
        <v>0.19120593935810257</v>
      </c>
      <c r="D6278" s="2" t="str">
        <f t="shared" si="97"/>
        <v>Error?</v>
      </c>
      <c r="E6278" s="2" t="s">
        <v>199</v>
      </c>
    </row>
    <row r="6279" spans="1:5" x14ac:dyDescent="0.2">
      <c r="A6279">
        <v>6218</v>
      </c>
      <c r="B6279" s="138">
        <f>'Acct Summary 7-8'!F83</f>
        <v>0.46496641584930531</v>
      </c>
      <c r="D6279" s="2" t="str">
        <f t="shared" si="97"/>
        <v>Error?</v>
      </c>
      <c r="E6279" s="2" t="s">
        <v>199</v>
      </c>
    </row>
    <row r="6280" spans="1:5" x14ac:dyDescent="0.2">
      <c r="A6280">
        <v>6219</v>
      </c>
      <c r="B6280" s="138">
        <f>'Acct Summary 7-8'!G83</f>
        <v>-8.7477924944812369</v>
      </c>
      <c r="D6280" s="2" t="str">
        <f t="shared" si="97"/>
        <v>Error?</v>
      </c>
      <c r="E6280" s="2" t="s">
        <v>199</v>
      </c>
    </row>
    <row r="6281" spans="1:5" x14ac:dyDescent="0.2">
      <c r="A6281">
        <v>6220</v>
      </c>
      <c r="B6281" s="138">
        <f>'Acct Summary 7-8'!H83</f>
        <v>0.99931419780232211</v>
      </c>
      <c r="D6281" s="2" t="str">
        <f t="shared" si="97"/>
        <v>Error?</v>
      </c>
      <c r="E6281" s="2" t="s">
        <v>199</v>
      </c>
    </row>
    <row r="6282" spans="1:5" x14ac:dyDescent="0.2">
      <c r="A6282">
        <v>6221</v>
      </c>
      <c r="B6282" s="138">
        <f>'Acct Summary 7-8'!I83</f>
        <v>2.7641463165007782E-3</v>
      </c>
      <c r="D6282" s="2" t="str">
        <f t="shared" si="97"/>
        <v>Error?</v>
      </c>
      <c r="E6282" s="2" t="s">
        <v>199</v>
      </c>
    </row>
    <row r="6283" spans="1:5" x14ac:dyDescent="0.2">
      <c r="A6283">
        <v>6222</v>
      </c>
      <c r="B6283" s="138">
        <f>'Acct Summary 7-8'!J83</f>
        <v>4.1471999198366673E-2</v>
      </c>
      <c r="D6283" s="2" t="str">
        <f t="shared" si="97"/>
        <v>Error?</v>
      </c>
      <c r="E6283" s="2" t="s">
        <v>199</v>
      </c>
    </row>
    <row r="6284" spans="1:5" x14ac:dyDescent="0.2">
      <c r="A6284">
        <v>6223</v>
      </c>
      <c r="B6284" s="138">
        <f>'Acct Summary 7-8'!K83</f>
        <v>0.45105869726051662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293051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293051</v>
      </c>
      <c r="D6301" s="2" t="str">
        <f t="shared" si="97"/>
        <v>Error?</v>
      </c>
      <c r="E6301" s="2" t="s">
        <v>199</v>
      </c>
    </row>
    <row r="6302" spans="1:5" x14ac:dyDescent="0.2">
      <c r="A6302">
        <v>6241</v>
      </c>
      <c r="B6302" s="138">
        <f>'Revenues 9-14'!J14</f>
        <v>421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80000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80421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1322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1322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374794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319212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407296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7100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371483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374794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19989</v>
      </c>
      <c r="D7073" s="2" t="str">
        <f t="shared" si="109"/>
        <v>Error?</v>
      </c>
    </row>
    <row r="7074" spans="1:4" x14ac:dyDescent="0.2">
      <c r="A7074">
        <v>7013</v>
      </c>
      <c r="B7074" s="138">
        <f>'Expenditures 15-22'!K216</f>
        <v>19989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15463</v>
      </c>
      <c r="D7093" s="2" t="str">
        <f t="shared" si="109"/>
        <v>Error?</v>
      </c>
    </row>
    <row r="7094" spans="1:4" x14ac:dyDescent="0.2">
      <c r="A7094">
        <v>7033</v>
      </c>
      <c r="B7094" s="138">
        <f>'Expenditures 15-22'!K254</f>
        <v>15463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74249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74249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991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1995</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2986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104549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104549</v>
      </c>
      <c r="D7153" s="2" t="str">
        <f t="shared" si="110"/>
        <v>Error?</v>
      </c>
    </row>
    <row r="7154" spans="1:4" x14ac:dyDescent="0.2">
      <c r="A7154">
        <v>7093</v>
      </c>
      <c r="B7154" s="138">
        <f>'Expenditures 15-22'!C323</f>
        <v>102273</v>
      </c>
      <c r="D7154" s="2" t="str">
        <f t="shared" si="110"/>
        <v>Error?</v>
      </c>
    </row>
    <row r="7155" spans="1:4" x14ac:dyDescent="0.2">
      <c r="A7155">
        <v>7094</v>
      </c>
      <c r="B7155" s="138">
        <f>'Expenditures 15-22'!D323</f>
        <v>11130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366</v>
      </c>
      <c r="D7157" s="2" t="str">
        <f t="shared" si="110"/>
        <v>Error?</v>
      </c>
    </row>
    <row r="7158" spans="1:4" x14ac:dyDescent="0.2">
      <c r="A7158">
        <v>7097</v>
      </c>
      <c r="B7158" s="138">
        <f>'Expenditures 15-22'!G323</f>
        <v>1594</v>
      </c>
      <c r="D7158" s="2" t="str">
        <f t="shared" si="110"/>
        <v>Error?</v>
      </c>
    </row>
    <row r="7159" spans="1:4" x14ac:dyDescent="0.2">
      <c r="A7159">
        <v>7098</v>
      </c>
      <c r="B7159" s="138">
        <f>'Expenditures 15-22'!H323</f>
        <v>500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115863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57571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57571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16265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16265</v>
      </c>
      <c r="D7198" s="2" t="str">
        <f t="shared" si="111"/>
        <v>Error?</v>
      </c>
    </row>
    <row r="7199" spans="1:4" x14ac:dyDescent="0.2">
      <c r="A7199">
        <v>7138</v>
      </c>
      <c r="B7199" s="138">
        <f>'Expenditures 15-22'!C330</f>
        <v>102273</v>
      </c>
      <c r="D7199" s="2" t="str">
        <f t="shared" si="111"/>
        <v>Error?</v>
      </c>
    </row>
    <row r="7200" spans="1:4" x14ac:dyDescent="0.2">
      <c r="A7200">
        <v>7139</v>
      </c>
      <c r="B7200" s="138">
        <f>'Expenditures 15-22'!D330</f>
        <v>11130</v>
      </c>
      <c r="D7200" s="2" t="str">
        <f t="shared" si="111"/>
        <v>Error?</v>
      </c>
    </row>
    <row r="7201" spans="1:4" x14ac:dyDescent="0.2">
      <c r="A7201">
        <v>7140</v>
      </c>
      <c r="B7201" s="138">
        <f>'Expenditures 15-22'!E330</f>
        <v>253625</v>
      </c>
      <c r="D7201" s="2" t="str">
        <f t="shared" si="111"/>
        <v>Error?</v>
      </c>
    </row>
    <row r="7202" spans="1:4" x14ac:dyDescent="0.2">
      <c r="A7202">
        <v>7141</v>
      </c>
      <c r="B7202" s="138">
        <f>'Expenditures 15-22'!F330</f>
        <v>366</v>
      </c>
      <c r="D7202" s="2" t="str">
        <f t="shared" si="111"/>
        <v>Error?</v>
      </c>
    </row>
    <row r="7203" spans="1:4" x14ac:dyDescent="0.2">
      <c r="A7203">
        <v>7142</v>
      </c>
      <c r="B7203" s="138">
        <f>'Expenditures 15-22'!G330</f>
        <v>1594</v>
      </c>
      <c r="D7203" s="2" t="str">
        <f t="shared" si="111"/>
        <v>Error?</v>
      </c>
    </row>
    <row r="7204" spans="1:4" x14ac:dyDescent="0.2">
      <c r="A7204">
        <v>7143</v>
      </c>
      <c r="B7204" s="138">
        <f>'Expenditures 15-22'!H330</f>
        <v>2495</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371483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102273</v>
      </c>
      <c r="D7216" s="2" t="str">
        <f t="shared" si="111"/>
        <v>Error?</v>
      </c>
    </row>
    <row r="7217" spans="1:4" x14ac:dyDescent="0.2">
      <c r="A7217">
        <v>7156</v>
      </c>
      <c r="B7217" s="138">
        <f>'Expenditures 15-22'!D342</f>
        <v>11130</v>
      </c>
      <c r="D7217" s="2" t="str">
        <f t="shared" si="111"/>
        <v>Error?</v>
      </c>
    </row>
    <row r="7218" spans="1:4" x14ac:dyDescent="0.2">
      <c r="A7218">
        <v>7157</v>
      </c>
      <c r="B7218" s="138">
        <f>'Expenditures 15-22'!E342</f>
        <v>253625</v>
      </c>
      <c r="D7218" s="2" t="str">
        <f t="shared" si="111"/>
        <v>Error?</v>
      </c>
    </row>
    <row r="7219" spans="1:4" x14ac:dyDescent="0.2">
      <c r="A7219">
        <v>7158</v>
      </c>
      <c r="B7219" s="138">
        <f>'Expenditures 15-22'!F342</f>
        <v>366</v>
      </c>
      <c r="D7219" s="2" t="str">
        <f t="shared" si="111"/>
        <v>Error?</v>
      </c>
    </row>
    <row r="7220" spans="1:4" x14ac:dyDescent="0.2">
      <c r="A7220">
        <v>7159</v>
      </c>
      <c r="B7220" s="138">
        <f>'Expenditures 15-22'!G342</f>
        <v>1594</v>
      </c>
      <c r="D7220" s="2" t="str">
        <f t="shared" si="111"/>
        <v>Error?</v>
      </c>
    </row>
    <row r="7221" spans="1:4" x14ac:dyDescent="0.2">
      <c r="A7221">
        <v>7160</v>
      </c>
      <c r="B7221" s="138">
        <f>'Expenditures 15-22'!H342</f>
        <v>2495</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371483</v>
      </c>
      <c r="D7224" s="2" t="str">
        <f t="shared" si="111"/>
        <v>Error?</v>
      </c>
    </row>
    <row r="7225" spans="1:4" x14ac:dyDescent="0.2">
      <c r="A7225">
        <v>7164</v>
      </c>
      <c r="B7225" s="138">
        <f>'Expenditures 15-22'!K343</f>
        <v>3311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77076</v>
      </c>
      <c r="D7246" s="2" t="str">
        <f t="shared" si="112"/>
        <v>Error?</v>
      </c>
    </row>
    <row r="7247" spans="1:4" x14ac:dyDescent="0.2">
      <c r="A7247">
        <f t="shared" si="113"/>
        <v>7186</v>
      </c>
      <c r="B7247" s="138">
        <f>'Expenditures 15-22'!E7</f>
        <v>6615</v>
      </c>
      <c r="D7247" s="2" t="str">
        <f t="shared" si="112"/>
        <v>Error?</v>
      </c>
    </row>
    <row r="7248" spans="1:4" x14ac:dyDescent="0.2">
      <c r="A7248">
        <f t="shared" si="113"/>
        <v>7187</v>
      </c>
      <c r="B7248" s="138">
        <f>'Expenditures 15-22'!F7</f>
        <v>4393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2510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2510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21</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21</v>
      </c>
      <c r="D7613" s="2" t="str">
        <f t="shared" si="122"/>
        <v>Error?</v>
      </c>
      <c r="E7613" s="2" t="s">
        <v>19</v>
      </c>
    </row>
    <row r="7614" spans="1:5" x14ac:dyDescent="0.2">
      <c r="A7614">
        <f t="shared" si="123"/>
        <v>7553</v>
      </c>
      <c r="B7614" s="138">
        <f>'Cap Outlay Deprec 26'!L9</f>
        <v>2489</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877463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11328</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175863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795732</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2557407</v>
      </c>
      <c r="D7797" s="2" t="str">
        <f t="shared" si="127"/>
        <v>Error?</v>
      </c>
      <c r="E7797" s="4" t="s">
        <v>2017</v>
      </c>
    </row>
    <row r="7798" spans="1:5" x14ac:dyDescent="0.2">
      <c r="A7798">
        <v>7737</v>
      </c>
      <c r="B7798" s="138">
        <f>'Contracts Paid in CY 29'!F141</f>
        <v>225000</v>
      </c>
      <c r="D7798" s="2" t="str">
        <f t="shared" si="127"/>
        <v>Error?</v>
      </c>
      <c r="E7798" s="4" t="s">
        <v>2017</v>
      </c>
    </row>
    <row r="7799" spans="1:5" x14ac:dyDescent="0.2">
      <c r="A7799">
        <v>7738</v>
      </c>
      <c r="B7799" s="138">
        <f>'Contracts Paid in CY 29'!G141</f>
        <v>2332407</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8" t="s">
        <v>1253</v>
      </c>
      <c r="B2" s="2428"/>
      <c r="C2" s="2428"/>
      <c r="D2" s="2428"/>
      <c r="E2" s="2428"/>
      <c r="F2" s="2428"/>
      <c r="G2" s="2428"/>
      <c r="H2" s="2428"/>
      <c r="I2" s="2428"/>
      <c r="J2" s="2428"/>
      <c r="K2" s="2428"/>
      <c r="L2" s="2428"/>
    </row>
    <row r="3" spans="1:29" ht="13.5" customHeight="1" x14ac:dyDescent="0.2">
      <c r="A3" s="2414" t="s">
        <v>1252</v>
      </c>
      <c r="B3" s="2414"/>
      <c r="C3" s="2414"/>
      <c r="D3" s="2414"/>
      <c r="E3" s="2414"/>
      <c r="F3" s="2414"/>
      <c r="G3" s="2414"/>
      <c r="H3" s="2414"/>
      <c r="I3" s="2414"/>
      <c r="J3" s="2414"/>
      <c r="K3" s="2414"/>
      <c r="L3" s="2414"/>
    </row>
    <row r="4" spans="1:29" ht="13.5" customHeight="1" x14ac:dyDescent="0.2">
      <c r="A4" s="2428" t="s">
        <v>1799</v>
      </c>
      <c r="B4" s="2445"/>
      <c r="C4" s="2445"/>
      <c r="D4" s="2445"/>
      <c r="E4" s="2445"/>
      <c r="F4" s="2445"/>
      <c r="G4" s="2445"/>
      <c r="H4" s="2445"/>
      <c r="I4" s="2445"/>
      <c r="J4" s="2445"/>
      <c r="K4" s="2445"/>
      <c r="L4" s="244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8" t="str">
        <f>COVER!A17</f>
        <v>Carbondale ESD 95</v>
      </c>
      <c r="B7" s="2409"/>
      <c r="C7" s="2409"/>
      <c r="D7" s="2446"/>
      <c r="E7" s="2447">
        <f>COVER!A13</f>
        <v>30039095002</v>
      </c>
      <c r="F7" s="2448"/>
      <c r="G7" s="2415" t="str">
        <f>COVER!T23</f>
        <v>066-003889</v>
      </c>
      <c r="H7" s="2416"/>
      <c r="I7" s="2416"/>
      <c r="J7" s="2416"/>
      <c r="K7" s="2416"/>
      <c r="L7" s="241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8"/>
      <c r="B9" s="2419"/>
      <c r="C9" s="2419"/>
      <c r="D9" s="2419"/>
      <c r="E9" s="2419"/>
      <c r="F9" s="2420"/>
      <c r="G9" s="2421" t="str">
        <f>COVER!T13</f>
        <v>Beussink, Hey, Roe &amp; Stroder, L.L.C.</v>
      </c>
      <c r="H9" s="2422"/>
      <c r="I9" s="2422"/>
      <c r="J9" s="2422"/>
      <c r="K9" s="2422"/>
      <c r="L9" s="2423"/>
    </row>
    <row r="10" spans="1:29" ht="13.5" customHeight="1" x14ac:dyDescent="0.2">
      <c r="A10" s="2405" t="str">
        <f>COVER!A38</f>
        <v>Justin Miller, Assistant Superintendent</v>
      </c>
      <c r="B10" s="2406"/>
      <c r="C10" s="2406"/>
      <c r="D10" s="2406"/>
      <c r="E10" s="2406"/>
      <c r="F10" s="2407"/>
      <c r="G10" s="2421" t="str">
        <f>COVER!T17</f>
        <v>16 S. Silver Springs Road</v>
      </c>
      <c r="H10" s="2434"/>
      <c r="I10" s="2434"/>
      <c r="J10" s="2434"/>
      <c r="K10" s="2434"/>
      <c r="L10" s="2435"/>
    </row>
    <row r="11" spans="1:29" ht="13.5" customHeight="1" x14ac:dyDescent="0.2">
      <c r="A11" s="1185" t="s">
        <v>1599</v>
      </c>
      <c r="B11" s="1186"/>
      <c r="C11" s="1187"/>
      <c r="D11" s="1192"/>
      <c r="E11" s="1187"/>
      <c r="F11" s="1191"/>
      <c r="G11" s="2421" t="str">
        <f>COVER!T19</f>
        <v>Cape Girardeau</v>
      </c>
      <c r="H11" s="2434"/>
      <c r="I11" s="2434"/>
      <c r="J11" s="2434"/>
      <c r="K11" s="2434"/>
      <c r="L11" s="2435"/>
    </row>
    <row r="12" spans="1:29" ht="13.5" customHeight="1" x14ac:dyDescent="0.2">
      <c r="A12" s="2439" t="s">
        <v>1598</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1600</v>
      </c>
      <c r="H13" s="2430"/>
      <c r="I13" s="2442" t="str">
        <f>COVER!T25</f>
        <v>jstroder@bhrcpas.com</v>
      </c>
      <c r="J13" s="2443"/>
      <c r="K13" s="2443"/>
      <c r="L13" s="2444"/>
    </row>
    <row r="14" spans="1:29" ht="13.5" customHeight="1" x14ac:dyDescent="0.2">
      <c r="A14" s="2421" t="str">
        <f>COVER!A19</f>
        <v>925 S. Giant City Road</v>
      </c>
      <c r="B14" s="2434"/>
      <c r="C14" s="2434"/>
      <c r="D14" s="2434"/>
      <c r="E14" s="2434"/>
      <c r="F14" s="2435"/>
      <c r="G14" s="1196" t="s">
        <v>1247</v>
      </c>
      <c r="H14" s="1194"/>
      <c r="I14" s="1194"/>
      <c r="J14" s="1194"/>
      <c r="K14" s="1194"/>
      <c r="L14" s="1195"/>
    </row>
    <row r="15" spans="1:29" ht="13.5" customHeight="1" x14ac:dyDescent="0.2">
      <c r="A15" s="2421" t="str">
        <f>COVER!A21</f>
        <v xml:space="preserve">Carbondale  </v>
      </c>
      <c r="B15" s="2434"/>
      <c r="C15" s="2434"/>
      <c r="D15" s="2434"/>
      <c r="E15" s="2434"/>
      <c r="F15" s="2435"/>
      <c r="G15" s="2431" t="str">
        <f>COVER!T15</f>
        <v>Jeffrey C. Stroder, CPA</v>
      </c>
      <c r="H15" s="2432"/>
      <c r="I15" s="2432"/>
      <c r="J15" s="2432"/>
      <c r="K15" s="2432"/>
      <c r="L15" s="2433"/>
    </row>
    <row r="16" spans="1:29" ht="12.2" customHeight="1" x14ac:dyDescent="0.2">
      <c r="A16" s="2411">
        <f>COVER!A25</f>
        <v>0</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6" t="s">
        <v>1246</v>
      </c>
      <c r="H17" s="1194"/>
      <c r="I17" s="1194"/>
      <c r="J17" s="1194"/>
      <c r="K17" s="1198" t="s">
        <v>1245</v>
      </c>
      <c r="L17" s="1191"/>
      <c r="M17" s="1184"/>
    </row>
    <row r="18" spans="1:13" ht="12.2" customHeight="1" x14ac:dyDescent="0.2">
      <c r="A18" s="2405"/>
      <c r="B18" s="2406"/>
      <c r="C18" s="2406"/>
      <c r="D18" s="2406"/>
      <c r="E18" s="2406"/>
      <c r="F18" s="2407"/>
      <c r="G18" s="2408" t="str">
        <f>COVER!T21</f>
        <v>573-334-7971</v>
      </c>
      <c r="H18" s="2409"/>
      <c r="I18" s="2409"/>
      <c r="J18" s="2409"/>
      <c r="K18" s="2408" t="str">
        <f>COVER!X21</f>
        <v>573-334-8875</v>
      </c>
      <c r="L18" s="241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verticalCentered="1"/>
  <pageMargins left="1" right="1" top="1" bottom="1" header="0.5"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Carbondale ESD 95</v>
      </c>
      <c r="B1" s="2445"/>
      <c r="C1" s="2445"/>
      <c r="D1" s="2445"/>
    </row>
    <row r="2" spans="1:11" s="1215" customFormat="1" ht="12.75" x14ac:dyDescent="0.2">
      <c r="A2" s="2450">
        <f>'Single Audit Cover'!E7</f>
        <v>30039095002</v>
      </c>
      <c r="B2" s="2451"/>
      <c r="C2" s="2451"/>
      <c r="D2" s="2451"/>
    </row>
    <row r="3" spans="1:11" s="1215" customFormat="1" ht="12.75" x14ac:dyDescent="0.2">
      <c r="A3" s="2449" t="s">
        <v>1593</v>
      </c>
      <c r="B3" s="2445"/>
      <c r="C3" s="2445"/>
      <c r="D3" s="244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activeCell="D50" sqref="D50"/>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Carbondale ESD 95</v>
      </c>
      <c r="B1" s="2453"/>
      <c r="C1" s="2453"/>
      <c r="D1" s="2453"/>
      <c r="E1" s="2453"/>
    </row>
    <row r="2" spans="1:5" x14ac:dyDescent="0.2">
      <c r="A2" s="2454">
        <f>'Single Audit Cover'!E7</f>
        <v>30039095002</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60" t="s">
        <v>1305</v>
      </c>
    </row>
    <row r="10" spans="1:5" x14ac:dyDescent="0.2">
      <c r="A10" s="1261" t="s">
        <v>1304</v>
      </c>
      <c r="B10" s="1262" t="s">
        <v>1303</v>
      </c>
      <c r="C10" s="1262"/>
      <c r="D10" s="1263">
        <f>SUM('Acct Summary 7-8'!C7:K7)</f>
        <v>2186040</v>
      </c>
    </row>
    <row r="11" spans="1:5" ht="18" customHeight="1" x14ac:dyDescent="0.2">
      <c r="A11" s="1261" t="s">
        <v>1302</v>
      </c>
      <c r="B11" s="1262"/>
      <c r="C11" s="1262"/>
    </row>
    <row r="12" spans="1:5" x14ac:dyDescent="0.2">
      <c r="A12" s="1261" t="s">
        <v>1301</v>
      </c>
      <c r="B12" s="1262" t="s">
        <v>1300</v>
      </c>
      <c r="C12" s="1262"/>
      <c r="D12" s="1264">
        <f>SUM('Revenues 9-14'!C112:D112,'Revenues 9-14'!F112:G112)</f>
        <v>200000</v>
      </c>
    </row>
    <row r="13" spans="1:5" x14ac:dyDescent="0.2">
      <c r="A13" s="1261" t="s">
        <v>1299</v>
      </c>
      <c r="B13" s="1262"/>
      <c r="C13" s="1262"/>
    </row>
    <row r="14" spans="1:5" x14ac:dyDescent="0.2">
      <c r="A14" s="1261" t="s">
        <v>1830</v>
      </c>
      <c r="B14" s="1262"/>
      <c r="C14" s="1262"/>
      <c r="D14" s="1264">
        <f>'ICR Computation 30'!E11</f>
        <v>40735</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-105758</v>
      </c>
    </row>
    <row r="19" spans="1:4" ht="13.5" thickBot="1" x14ac:dyDescent="0.25">
      <c r="A19" s="1265" t="s">
        <v>1297</v>
      </c>
      <c r="D19" s="1266">
        <f>SUM(D10:D17)</f>
        <v>2321017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1295</v>
      </c>
      <c r="D32" s="1263">
        <f>SUM(D19:D30)</f>
        <v>2321017</v>
      </c>
    </row>
    <row r="33" spans="1:4" x14ac:dyDescent="0.2">
      <c r="D33" s="1269"/>
    </row>
    <row r="34" spans="1:4" x14ac:dyDescent="0.2">
      <c r="A34" s="317" t="s">
        <v>1294</v>
      </c>
    </row>
    <row r="35" spans="1:4" x14ac:dyDescent="0.2">
      <c r="A35" s="317" t="s">
        <v>1293</v>
      </c>
      <c r="B35" s="1258" t="s">
        <v>1292</v>
      </c>
      <c r="D35" s="1270">
        <v>2321017</v>
      </c>
    </row>
    <row r="37" spans="1:4" x14ac:dyDescent="0.2">
      <c r="A37" s="1260" t="s">
        <v>1291</v>
      </c>
    </row>
    <row r="39" spans="1:4" ht="13.35" customHeight="1" x14ac:dyDescent="0.2">
      <c r="A39" s="1267" t="s">
        <v>1290</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1289</v>
      </c>
      <c r="C47" s="1272"/>
      <c r="D47" s="1273">
        <f>SUM(D35:D45)</f>
        <v>2321017</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verticalCentered="1"/>
  <pageMargins left="0.75" right="0.75" top="1" bottom="1" header="0.5" footer="0.75"/>
  <pageSetup scale="98"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4" zoomScaleNormal="100" workbookViewId="0">
      <selection activeCell="F27" sqref="F27"/>
    </sheetView>
  </sheetViews>
  <sheetFormatPr defaultColWidth="33.5703125" defaultRowHeight="12.75" x14ac:dyDescent="0.2"/>
  <cols>
    <col min="1" max="1" width="0.140625" style="317" customWidth="1"/>
    <col min="2" max="2" width="44.285156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Carbondale ESD 95</v>
      </c>
      <c r="C1" s="2457"/>
      <c r="D1" s="2457"/>
      <c r="E1" s="2457"/>
      <c r="F1" s="2457"/>
      <c r="G1" s="2457"/>
      <c r="H1" s="2457"/>
      <c r="I1" s="2457"/>
      <c r="J1" s="2457"/>
      <c r="K1" s="2457"/>
      <c r="L1" s="2457"/>
      <c r="M1" s="2457"/>
    </row>
    <row r="2" spans="2:14" ht="15" x14ac:dyDescent="0.2">
      <c r="B2" s="2458">
        <f>'Single Audit Cover'!E7</f>
        <v>30039095002</v>
      </c>
      <c r="C2" s="2458"/>
      <c r="D2" s="2458"/>
      <c r="E2" s="2458"/>
      <c r="F2" s="2458"/>
      <c r="G2" s="2458"/>
      <c r="H2" s="2458"/>
      <c r="I2" s="2458"/>
      <c r="J2" s="2458"/>
      <c r="K2" s="2458"/>
      <c r="L2" s="2458"/>
      <c r="M2" s="2458"/>
      <c r="N2" s="1302"/>
    </row>
    <row r="3" spans="2:14" ht="15" x14ac:dyDescent="0.2">
      <c r="B3" s="2459" t="s">
        <v>1281</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2125</v>
      </c>
      <c r="C11" s="1338"/>
      <c r="D11" s="1339"/>
      <c r="E11" s="1340"/>
      <c r="F11" s="1340"/>
      <c r="G11" s="1340"/>
      <c r="H11" s="1340"/>
      <c r="I11" s="1340"/>
      <c r="J11" s="1340"/>
      <c r="K11" s="1340"/>
      <c r="L11" s="1340"/>
      <c r="M11" s="1340"/>
    </row>
    <row r="12" spans="2:14" ht="20.100000000000001" customHeight="1" x14ac:dyDescent="0.2">
      <c r="B12" s="1337" t="s">
        <v>2126</v>
      </c>
      <c r="C12" s="1341"/>
      <c r="D12" s="1342"/>
      <c r="E12" s="1343"/>
      <c r="F12" s="1343"/>
      <c r="G12" s="1343"/>
      <c r="H12" s="1343"/>
      <c r="I12" s="1343"/>
      <c r="J12" s="1343"/>
      <c r="K12" s="1343"/>
      <c r="L12" s="1340"/>
      <c r="M12" s="1343"/>
    </row>
    <row r="13" spans="2:14" ht="20.100000000000001" customHeight="1" x14ac:dyDescent="0.2">
      <c r="B13" s="1337" t="s">
        <v>2127</v>
      </c>
      <c r="C13" s="1341">
        <v>10.553000000000001</v>
      </c>
      <c r="D13" s="1342" t="s">
        <v>2128</v>
      </c>
      <c r="E13" s="1343">
        <v>149730</v>
      </c>
      <c r="F13" s="1343">
        <v>33969</v>
      </c>
      <c r="G13" s="1343">
        <v>149730</v>
      </c>
      <c r="H13" s="1343"/>
      <c r="I13" s="1343">
        <v>33969</v>
      </c>
      <c r="J13" s="1343"/>
      <c r="K13" s="1343"/>
      <c r="L13" s="1340">
        <f t="shared" ref="L13:L25" si="0">+G13+I13+K13</f>
        <v>183699</v>
      </c>
      <c r="M13" s="1343"/>
    </row>
    <row r="14" spans="2:14" ht="20.100000000000001" customHeight="1" x14ac:dyDescent="0.2">
      <c r="B14" s="1337" t="s">
        <v>2127</v>
      </c>
      <c r="C14" s="1341">
        <v>10.553000000000001</v>
      </c>
      <c r="D14" s="1342" t="s">
        <v>2129</v>
      </c>
      <c r="E14" s="1343"/>
      <c r="F14" s="1343">
        <v>160297</v>
      </c>
      <c r="G14" s="1343"/>
      <c r="H14" s="1343"/>
      <c r="I14" s="1343">
        <v>160297</v>
      </c>
      <c r="J14" s="1343"/>
      <c r="K14" s="1343"/>
      <c r="L14" s="1340">
        <f t="shared" si="0"/>
        <v>160297</v>
      </c>
      <c r="M14" s="1343"/>
    </row>
    <row r="15" spans="2:14" ht="20.100000000000001" customHeight="1" x14ac:dyDescent="0.2">
      <c r="B15" s="1337" t="s">
        <v>2130</v>
      </c>
      <c r="C15" s="1341"/>
      <c r="D15" s="1342"/>
      <c r="E15" s="1343">
        <f t="shared" ref="E15:K15" si="1">SUM(E13:E14)</f>
        <v>149730</v>
      </c>
      <c r="F15" s="1343">
        <f t="shared" si="1"/>
        <v>194266</v>
      </c>
      <c r="G15" s="1343">
        <f t="shared" si="1"/>
        <v>149730</v>
      </c>
      <c r="H15" s="1343">
        <f t="shared" si="1"/>
        <v>0</v>
      </c>
      <c r="I15" s="1343">
        <f t="shared" si="1"/>
        <v>194266</v>
      </c>
      <c r="J15" s="1343">
        <f t="shared" si="1"/>
        <v>0</v>
      </c>
      <c r="K15" s="1343">
        <f t="shared" si="1"/>
        <v>0</v>
      </c>
      <c r="L15" s="1340">
        <f t="shared" si="0"/>
        <v>343996</v>
      </c>
      <c r="M15" s="1343">
        <f>SUM(M13:M14)</f>
        <v>0</v>
      </c>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2126</v>
      </c>
      <c r="C17" s="1341"/>
      <c r="D17" s="1342"/>
      <c r="E17" s="1343"/>
      <c r="F17" s="1343"/>
      <c r="G17" s="1343"/>
      <c r="H17" s="1343"/>
      <c r="I17" s="1343"/>
      <c r="J17" s="1343"/>
      <c r="K17" s="1343"/>
      <c r="L17" s="1340"/>
      <c r="M17" s="1343"/>
    </row>
    <row r="18" spans="2:14" ht="20.100000000000001" customHeight="1" x14ac:dyDescent="0.2">
      <c r="B18" s="1337" t="s">
        <v>2131</v>
      </c>
      <c r="C18" s="1341">
        <v>10.555</v>
      </c>
      <c r="D18" s="1342" t="s">
        <v>2134</v>
      </c>
      <c r="E18" s="1343">
        <v>516345</v>
      </c>
      <c r="F18" s="1343">
        <v>106757</v>
      </c>
      <c r="G18" s="1343">
        <v>516345</v>
      </c>
      <c r="H18" s="1343"/>
      <c r="I18" s="1343">
        <v>106757</v>
      </c>
      <c r="J18" s="1343"/>
      <c r="K18" s="1343"/>
      <c r="L18" s="1340">
        <f t="shared" si="0"/>
        <v>623102</v>
      </c>
      <c r="M18" s="1343"/>
    </row>
    <row r="19" spans="2:14" ht="20.100000000000001" customHeight="1" x14ac:dyDescent="0.2">
      <c r="B19" s="1337" t="s">
        <v>2131</v>
      </c>
      <c r="C19" s="1341">
        <v>10.555</v>
      </c>
      <c r="D19" s="1342" t="s">
        <v>2135</v>
      </c>
      <c r="E19" s="1343"/>
      <c r="F19" s="1343">
        <v>498940</v>
      </c>
      <c r="G19" s="1343"/>
      <c r="H19" s="1343"/>
      <c r="I19" s="1343">
        <v>498940</v>
      </c>
      <c r="J19" s="1343"/>
      <c r="K19" s="1343"/>
      <c r="L19" s="1340">
        <f t="shared" si="0"/>
        <v>498940</v>
      </c>
      <c r="M19" s="1343"/>
    </row>
    <row r="20" spans="2:14" ht="20.100000000000001" customHeight="1" x14ac:dyDescent="0.2">
      <c r="B20" s="1337" t="s">
        <v>2132</v>
      </c>
      <c r="C20" s="1341">
        <v>10.555</v>
      </c>
      <c r="D20" s="1342" t="s">
        <v>2136</v>
      </c>
      <c r="E20" s="1343">
        <v>44295</v>
      </c>
      <c r="F20" s="1343"/>
      <c r="G20" s="1343">
        <v>44295</v>
      </c>
      <c r="H20" s="1343"/>
      <c r="I20" s="1343"/>
      <c r="J20" s="1343"/>
      <c r="K20" s="1343"/>
      <c r="L20" s="1340">
        <f t="shared" si="0"/>
        <v>44295</v>
      </c>
      <c r="M20" s="1343"/>
    </row>
    <row r="21" spans="2:14" ht="20.100000000000001" customHeight="1" x14ac:dyDescent="0.2">
      <c r="B21" s="1337" t="s">
        <v>2133</v>
      </c>
      <c r="C21" s="1341">
        <v>10.555</v>
      </c>
      <c r="D21" s="1342" t="s">
        <v>2136</v>
      </c>
      <c r="E21" s="1343">
        <v>49652</v>
      </c>
      <c r="F21" s="1343"/>
      <c r="G21" s="1343">
        <v>49652</v>
      </c>
      <c r="H21" s="1343"/>
      <c r="I21" s="1343"/>
      <c r="J21" s="1343"/>
      <c r="K21" s="1343"/>
      <c r="L21" s="1340">
        <f t="shared" si="0"/>
        <v>49652</v>
      </c>
      <c r="M21" s="1343"/>
    </row>
    <row r="22" spans="2:14" ht="20.100000000000001" customHeight="1" x14ac:dyDescent="0.2">
      <c r="B22" s="1337" t="s">
        <v>2133</v>
      </c>
      <c r="C22" s="1341">
        <v>10.555</v>
      </c>
      <c r="D22" s="1342" t="s">
        <v>2137</v>
      </c>
      <c r="E22" s="1343"/>
      <c r="F22" s="1343">
        <v>40735</v>
      </c>
      <c r="G22" s="1343"/>
      <c r="H22" s="1343"/>
      <c r="I22" s="1343">
        <v>40735</v>
      </c>
      <c r="J22" s="1343"/>
      <c r="K22" s="1343"/>
      <c r="L22" s="1340">
        <f t="shared" si="0"/>
        <v>40735</v>
      </c>
      <c r="M22" s="1343"/>
    </row>
    <row r="23" spans="2:14" ht="20.100000000000001" customHeight="1" x14ac:dyDescent="0.2">
      <c r="B23" s="1337" t="s">
        <v>2138</v>
      </c>
      <c r="C23" s="1341"/>
      <c r="D23" s="1342"/>
      <c r="E23" s="1343">
        <f t="shared" ref="E23:K23" si="2">SUM(E18:E22)</f>
        <v>610292</v>
      </c>
      <c r="F23" s="1343">
        <f t="shared" si="2"/>
        <v>646432</v>
      </c>
      <c r="G23" s="1343">
        <f t="shared" si="2"/>
        <v>610292</v>
      </c>
      <c r="H23" s="1343">
        <f t="shared" si="2"/>
        <v>0</v>
      </c>
      <c r="I23" s="1343">
        <f t="shared" si="2"/>
        <v>646432</v>
      </c>
      <c r="J23" s="1343">
        <f t="shared" si="2"/>
        <v>0</v>
      </c>
      <c r="K23" s="1343">
        <f t="shared" si="2"/>
        <v>0</v>
      </c>
      <c r="L23" s="1340">
        <f t="shared" si="0"/>
        <v>1256724</v>
      </c>
      <c r="M23" s="1343">
        <f>SUM(M18:M22)</f>
        <v>0</v>
      </c>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t="s">
        <v>2139</v>
      </c>
      <c r="C25" s="1341"/>
      <c r="D25" s="1342"/>
      <c r="E25" s="1343">
        <f t="shared" ref="E25:K25" si="3">E23+E15</f>
        <v>760022</v>
      </c>
      <c r="F25" s="1343">
        <f t="shared" si="3"/>
        <v>840698</v>
      </c>
      <c r="G25" s="1343">
        <f t="shared" si="3"/>
        <v>760022</v>
      </c>
      <c r="H25" s="1343">
        <f t="shared" si="3"/>
        <v>0</v>
      </c>
      <c r="I25" s="1343">
        <f t="shared" si="3"/>
        <v>840698</v>
      </c>
      <c r="J25" s="1343">
        <f t="shared" si="3"/>
        <v>0</v>
      </c>
      <c r="K25" s="1343">
        <f t="shared" si="3"/>
        <v>0</v>
      </c>
      <c r="L25" s="1340">
        <f t="shared" si="0"/>
        <v>1600720</v>
      </c>
      <c r="M25" s="1343">
        <f>M23+M15</f>
        <v>0</v>
      </c>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1" right="1" top="1" bottom="1" header="0.25" footer="0.75"/>
  <pageSetup scale="66"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5" zoomScaleNormal="100" workbookViewId="0">
      <selection activeCell="F27" sqref="F27"/>
    </sheetView>
  </sheetViews>
  <sheetFormatPr defaultColWidth="33.5703125" defaultRowHeight="12.75" x14ac:dyDescent="0.2"/>
  <cols>
    <col min="1" max="1" width="0.140625" style="317" customWidth="1"/>
    <col min="2" max="2" width="40"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Carbondale ESD 95</v>
      </c>
      <c r="C1" s="2457"/>
      <c r="D1" s="2457"/>
      <c r="E1" s="2457"/>
      <c r="F1" s="2457"/>
      <c r="G1" s="2457"/>
      <c r="H1" s="2457"/>
      <c r="I1" s="2457"/>
      <c r="J1" s="2457"/>
      <c r="K1" s="2457"/>
      <c r="L1" s="2457"/>
      <c r="M1" s="2457"/>
    </row>
    <row r="2" spans="2:14" ht="15" x14ac:dyDescent="0.2">
      <c r="B2" s="2458">
        <f>'Single Audit Cover'!E7</f>
        <v>30039095002</v>
      </c>
      <c r="C2" s="2458"/>
      <c r="D2" s="2458"/>
      <c r="E2" s="2458"/>
      <c r="F2" s="2458"/>
      <c r="G2" s="2458"/>
      <c r="H2" s="2458"/>
      <c r="I2" s="2458"/>
      <c r="J2" s="2458"/>
      <c r="K2" s="2458"/>
      <c r="L2" s="2458"/>
      <c r="M2" s="2458"/>
      <c r="N2" s="1302"/>
    </row>
    <row r="3" spans="2:14" ht="15" x14ac:dyDescent="0.2">
      <c r="B3" s="2459" t="s">
        <v>1281</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2125</v>
      </c>
      <c r="C11" s="1338"/>
      <c r="D11" s="1339"/>
      <c r="E11" s="1340"/>
      <c r="F11" s="1340"/>
      <c r="G11" s="1340"/>
      <c r="H11" s="1340"/>
      <c r="I11" s="1340"/>
      <c r="J11" s="1340"/>
      <c r="K11" s="1340"/>
      <c r="L11" s="1340"/>
      <c r="M11" s="1340"/>
    </row>
    <row r="12" spans="2:14" ht="20.100000000000001" customHeight="1" x14ac:dyDescent="0.2">
      <c r="B12" s="1337" t="s">
        <v>2126</v>
      </c>
      <c r="C12" s="1341"/>
      <c r="D12" s="1342"/>
      <c r="E12" s="1343"/>
      <c r="F12" s="1343"/>
      <c r="G12" s="1343"/>
      <c r="H12" s="1343"/>
      <c r="I12" s="1343"/>
      <c r="J12" s="1343"/>
      <c r="K12" s="1343"/>
      <c r="L12" s="1340"/>
      <c r="M12" s="1343"/>
    </row>
    <row r="13" spans="2:14" ht="20.100000000000001" customHeight="1" x14ac:dyDescent="0.2">
      <c r="B13" s="1337" t="s">
        <v>2140</v>
      </c>
      <c r="C13" s="1341">
        <v>10.582000000000001</v>
      </c>
      <c r="D13" s="1342" t="s">
        <v>2141</v>
      </c>
      <c r="E13" s="1343"/>
      <c r="F13" s="1343">
        <v>11328</v>
      </c>
      <c r="G13" s="1343"/>
      <c r="H13" s="1343"/>
      <c r="I13" s="1343">
        <v>14519</v>
      </c>
      <c r="J13" s="1343"/>
      <c r="K13" s="1343"/>
      <c r="L13" s="1340">
        <f t="shared" ref="L13:L25" si="0">+G13+I13+K13</f>
        <v>14519</v>
      </c>
      <c r="M13" s="1343"/>
    </row>
    <row r="14" spans="2:14" ht="20.100000000000001" customHeight="1" x14ac:dyDescent="0.2">
      <c r="B14" s="1337" t="s">
        <v>2142</v>
      </c>
      <c r="C14" s="1341"/>
      <c r="D14" s="1342"/>
      <c r="E14" s="1343">
        <f t="shared" ref="E14:K14" si="1">E13</f>
        <v>0</v>
      </c>
      <c r="F14" s="1343">
        <f t="shared" si="1"/>
        <v>11328</v>
      </c>
      <c r="G14" s="1343">
        <f t="shared" si="1"/>
        <v>0</v>
      </c>
      <c r="H14" s="1343">
        <f t="shared" si="1"/>
        <v>0</v>
      </c>
      <c r="I14" s="1343">
        <f t="shared" si="1"/>
        <v>14519</v>
      </c>
      <c r="J14" s="1343">
        <f t="shared" si="1"/>
        <v>0</v>
      </c>
      <c r="K14" s="1343">
        <f t="shared" si="1"/>
        <v>0</v>
      </c>
      <c r="L14" s="1340">
        <f t="shared" si="0"/>
        <v>14519</v>
      </c>
      <c r="M14" s="1343">
        <f>M13</f>
        <v>0</v>
      </c>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337" t="s">
        <v>2143</v>
      </c>
      <c r="C16" s="1341"/>
      <c r="D16" s="1342"/>
      <c r="E16" s="1343">
        <f>E14+' SEFA-1'!E25</f>
        <v>760022</v>
      </c>
      <c r="F16" s="1343">
        <f>F14+' SEFA-1'!F25</f>
        <v>852026</v>
      </c>
      <c r="G16" s="1343">
        <f>G14+' SEFA-1'!G25</f>
        <v>760022</v>
      </c>
      <c r="H16" s="1343">
        <f>H14+' SEFA-1'!H25</f>
        <v>0</v>
      </c>
      <c r="I16" s="1343">
        <f>I14+' SEFA-1'!I25</f>
        <v>855217</v>
      </c>
      <c r="J16" s="1343">
        <f>J14+' SEFA-1'!J25</f>
        <v>0</v>
      </c>
      <c r="K16" s="1343">
        <f>K14+' SEFA-1'!K25</f>
        <v>0</v>
      </c>
      <c r="L16" s="1340">
        <f t="shared" si="0"/>
        <v>1615239</v>
      </c>
      <c r="M16" s="1343">
        <f>M14+' SEFA-1'!M25</f>
        <v>0</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2144</v>
      </c>
      <c r="C18" s="1341"/>
      <c r="D18" s="1342"/>
      <c r="E18" s="1343"/>
      <c r="F18" s="1343"/>
      <c r="G18" s="1343"/>
      <c r="H18" s="1343"/>
      <c r="I18" s="1343"/>
      <c r="J18" s="1343"/>
      <c r="K18" s="1343"/>
      <c r="L18" s="1340"/>
      <c r="M18" s="1343"/>
    </row>
    <row r="19" spans="2:14" ht="20.100000000000001" customHeight="1" x14ac:dyDescent="0.2">
      <c r="B19" s="1337" t="s">
        <v>2126</v>
      </c>
      <c r="C19" s="1341"/>
      <c r="D19" s="1342"/>
      <c r="E19" s="1343"/>
      <c r="F19" s="1343"/>
      <c r="G19" s="1343"/>
      <c r="H19" s="1343"/>
      <c r="I19" s="1343"/>
      <c r="J19" s="1343"/>
      <c r="K19" s="1343"/>
      <c r="L19" s="1340"/>
      <c r="M19" s="1343"/>
    </row>
    <row r="20" spans="2:14" ht="20.100000000000001" customHeight="1" x14ac:dyDescent="0.2">
      <c r="B20" s="1337" t="s">
        <v>2145</v>
      </c>
      <c r="C20" s="1341">
        <v>84.01</v>
      </c>
      <c r="D20" s="1342" t="s">
        <v>2146</v>
      </c>
      <c r="E20" s="1343">
        <v>843836</v>
      </c>
      <c r="F20" s="1343">
        <v>140990</v>
      </c>
      <c r="G20" s="1343">
        <v>859897</v>
      </c>
      <c r="H20" s="1343"/>
      <c r="I20" s="1343">
        <v>124929</v>
      </c>
      <c r="J20" s="1343"/>
      <c r="K20" s="1343"/>
      <c r="L20" s="1340">
        <f t="shared" si="0"/>
        <v>984826</v>
      </c>
      <c r="M20" s="1343">
        <v>1012042</v>
      </c>
    </row>
    <row r="21" spans="2:14" ht="20.100000000000001" customHeight="1" x14ac:dyDescent="0.2">
      <c r="B21" s="1337" t="s">
        <v>2145</v>
      </c>
      <c r="C21" s="1341">
        <v>84.01</v>
      </c>
      <c r="D21" s="1342" t="s">
        <v>2147</v>
      </c>
      <c r="E21" s="1343"/>
      <c r="F21" s="1343">
        <v>878995</v>
      </c>
      <c r="G21" s="1343"/>
      <c r="H21" s="1343"/>
      <c r="I21" s="1343">
        <v>906552</v>
      </c>
      <c r="J21" s="1343"/>
      <c r="K21" s="1343"/>
      <c r="L21" s="1340">
        <f t="shared" si="0"/>
        <v>906552</v>
      </c>
      <c r="M21" s="1343">
        <v>976179</v>
      </c>
    </row>
    <row r="22" spans="2:14" ht="20.100000000000001" customHeight="1" x14ac:dyDescent="0.2">
      <c r="B22" s="1337" t="s">
        <v>2148</v>
      </c>
      <c r="C22" s="1341"/>
      <c r="D22" s="1342"/>
      <c r="E22" s="1343">
        <f t="shared" ref="E22:K22" si="2">SUM(E20:E21)</f>
        <v>843836</v>
      </c>
      <c r="F22" s="1343">
        <f t="shared" si="2"/>
        <v>1019985</v>
      </c>
      <c r="G22" s="1343">
        <f t="shared" si="2"/>
        <v>859897</v>
      </c>
      <c r="H22" s="1343">
        <f t="shared" si="2"/>
        <v>0</v>
      </c>
      <c r="I22" s="1343">
        <f t="shared" si="2"/>
        <v>1031481</v>
      </c>
      <c r="J22" s="1343">
        <f t="shared" si="2"/>
        <v>0</v>
      </c>
      <c r="K22" s="1343">
        <f t="shared" si="2"/>
        <v>0</v>
      </c>
      <c r="L22" s="1340">
        <f t="shared" si="0"/>
        <v>1891378</v>
      </c>
      <c r="M22" s="1343">
        <f>SUM(M20:M21)</f>
        <v>1988221</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2126</v>
      </c>
      <c r="C24" s="1341"/>
      <c r="D24" s="1342"/>
      <c r="E24" s="1343"/>
      <c r="F24" s="1343"/>
      <c r="G24" s="1343"/>
      <c r="H24" s="1343"/>
      <c r="I24" s="1343"/>
      <c r="J24" s="1343"/>
      <c r="K24" s="1343"/>
      <c r="L24" s="1340"/>
      <c r="M24" s="1343"/>
    </row>
    <row r="25" spans="2:14" ht="20.100000000000001" customHeight="1" x14ac:dyDescent="0.2">
      <c r="B25" s="1337" t="s">
        <v>2149</v>
      </c>
      <c r="C25" s="1341">
        <v>84.027000000000001</v>
      </c>
      <c r="D25" s="1342" t="s">
        <v>2152</v>
      </c>
      <c r="E25" s="1343"/>
      <c r="F25" s="1343">
        <v>8974</v>
      </c>
      <c r="G25" s="1343"/>
      <c r="H25" s="1343"/>
      <c r="I25" s="1343">
        <v>8974</v>
      </c>
      <c r="J25" s="1343"/>
      <c r="K25" s="1343"/>
      <c r="L25" s="1340">
        <f t="shared" si="0"/>
        <v>8974</v>
      </c>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2078</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2078</v>
      </c>
      <c r="C53" s="179">
        <v>22</v>
      </c>
      <c r="D53" s="247" t="s">
        <v>1537</v>
      </c>
      <c r="E53" s="248"/>
      <c r="F53" s="249"/>
      <c r="G53" s="249" t="s">
        <v>1536</v>
      </c>
      <c r="H53" s="250">
        <v>35735</v>
      </c>
      <c r="I53" s="237" t="s">
        <v>1562</v>
      </c>
    </row>
    <row r="54" spans="1:10" s="181" customFormat="1" x14ac:dyDescent="0.2">
      <c r="A54" s="219"/>
      <c r="B54" s="220" t="s">
        <v>2078</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t="s">
        <v>2091</v>
      </c>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1" bottom="0.5" header="0.4" footer="0.35"/>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zoomScaleNormal="100" workbookViewId="0">
      <selection activeCell="F27" sqref="F27"/>
    </sheetView>
  </sheetViews>
  <sheetFormatPr defaultColWidth="33.5703125" defaultRowHeight="12.75" x14ac:dyDescent="0.2"/>
  <cols>
    <col min="1" max="1" width="0.140625" style="317" customWidth="1"/>
    <col min="2" max="2" width="37.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Carbondale ESD 95</v>
      </c>
      <c r="C1" s="2457"/>
      <c r="D1" s="2457"/>
      <c r="E1" s="2457"/>
      <c r="F1" s="2457"/>
      <c r="G1" s="2457"/>
      <c r="H1" s="2457"/>
      <c r="I1" s="2457"/>
      <c r="J1" s="2457"/>
      <c r="K1" s="2457"/>
      <c r="L1" s="2457"/>
      <c r="M1" s="2457"/>
    </row>
    <row r="2" spans="2:14" ht="15" x14ac:dyDescent="0.2">
      <c r="B2" s="2458">
        <f>'Single Audit Cover'!E7</f>
        <v>30039095002</v>
      </c>
      <c r="C2" s="2458"/>
      <c r="D2" s="2458"/>
      <c r="E2" s="2458"/>
      <c r="F2" s="2458"/>
      <c r="G2" s="2458"/>
      <c r="H2" s="2458"/>
      <c r="I2" s="2458"/>
      <c r="J2" s="2458"/>
      <c r="K2" s="2458"/>
      <c r="L2" s="2458"/>
      <c r="M2" s="2458"/>
      <c r="N2" s="1302"/>
    </row>
    <row r="3" spans="2:14" ht="15" x14ac:dyDescent="0.2">
      <c r="B3" s="2459" t="s">
        <v>1281</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2144</v>
      </c>
      <c r="C11" s="1338"/>
      <c r="D11" s="1339"/>
      <c r="E11" s="1340"/>
      <c r="F11" s="1340"/>
      <c r="G11" s="1340"/>
      <c r="H11" s="1340"/>
      <c r="I11" s="1340"/>
      <c r="J11" s="1340"/>
      <c r="K11" s="1340"/>
      <c r="L11" s="1340"/>
      <c r="M11" s="1340"/>
    </row>
    <row r="12" spans="2:14" ht="20.100000000000001" customHeight="1" x14ac:dyDescent="0.2">
      <c r="B12" s="1337" t="s">
        <v>2126</v>
      </c>
      <c r="C12" s="1341"/>
      <c r="D12" s="1342"/>
      <c r="E12" s="1343"/>
      <c r="F12" s="1343"/>
      <c r="G12" s="1343"/>
      <c r="H12" s="1343"/>
      <c r="I12" s="1343"/>
      <c r="J12" s="1343"/>
      <c r="K12" s="1343"/>
      <c r="L12" s="1340"/>
      <c r="M12" s="1343"/>
    </row>
    <row r="13" spans="2:14" ht="20.100000000000001" customHeight="1" x14ac:dyDescent="0.2">
      <c r="B13" s="1337" t="s">
        <v>2150</v>
      </c>
      <c r="C13" s="1341"/>
      <c r="D13" s="1342"/>
      <c r="E13" s="1343"/>
      <c r="F13" s="1343"/>
      <c r="G13" s="1343"/>
      <c r="H13" s="1343"/>
      <c r="I13" s="1343"/>
      <c r="J13" s="1343"/>
      <c r="K13" s="1343"/>
      <c r="L13" s="1340"/>
      <c r="M13" s="1343"/>
    </row>
    <row r="14" spans="2:14" ht="20.100000000000001" customHeight="1" x14ac:dyDescent="0.2">
      <c r="B14" s="1337" t="s">
        <v>2151</v>
      </c>
      <c r="C14" s="1341">
        <v>84.027000000000001</v>
      </c>
      <c r="D14" s="1342" t="s">
        <v>2153</v>
      </c>
      <c r="E14" s="1343">
        <v>200000</v>
      </c>
      <c r="F14" s="1343"/>
      <c r="G14" s="1343">
        <v>200000</v>
      </c>
      <c r="H14" s="1343"/>
      <c r="I14" s="1343"/>
      <c r="J14" s="1343"/>
      <c r="K14" s="1343"/>
      <c r="L14" s="1340">
        <f t="shared" ref="L14:L27" si="0">+G14+I14+K14</f>
        <v>200000</v>
      </c>
      <c r="M14" s="1343"/>
    </row>
    <row r="15" spans="2:14" ht="20.100000000000001" customHeight="1" x14ac:dyDescent="0.2">
      <c r="B15" s="1337" t="s">
        <v>2151</v>
      </c>
      <c r="C15" s="1341">
        <v>84.027000000000001</v>
      </c>
      <c r="D15" s="1342" t="s">
        <v>2154</v>
      </c>
      <c r="E15" s="1343"/>
      <c r="F15" s="1343">
        <v>200000</v>
      </c>
      <c r="G15" s="1343"/>
      <c r="H15" s="1343"/>
      <c r="I15" s="1343">
        <v>200000</v>
      </c>
      <c r="J15" s="1343"/>
      <c r="K15" s="1343"/>
      <c r="L15" s="1340">
        <f t="shared" si="0"/>
        <v>200000</v>
      </c>
      <c r="M15" s="1343"/>
    </row>
    <row r="16" spans="2:14" ht="20.100000000000001" customHeight="1" x14ac:dyDescent="0.2">
      <c r="B16" s="1337" t="s">
        <v>2155</v>
      </c>
      <c r="C16" s="1341"/>
      <c r="D16" s="1342"/>
      <c r="E16" s="1343">
        <f>E15+E14+'SEFA-2'!E25</f>
        <v>200000</v>
      </c>
      <c r="F16" s="1343">
        <f>F15+F14+'SEFA-2'!F25</f>
        <v>208974</v>
      </c>
      <c r="G16" s="1343">
        <f>G15+G14+'SEFA-2'!G25</f>
        <v>200000</v>
      </c>
      <c r="H16" s="1343">
        <f>H15+H14+'SEFA-2'!H25</f>
        <v>0</v>
      </c>
      <c r="I16" s="1343">
        <f>I15+I14+'SEFA-2'!I25</f>
        <v>208974</v>
      </c>
      <c r="J16" s="1343">
        <f>J15+J14+'SEFA-2'!J25</f>
        <v>0</v>
      </c>
      <c r="K16" s="1343">
        <f>K15+K14+'SEFA-2'!K25</f>
        <v>0</v>
      </c>
      <c r="L16" s="1340">
        <f t="shared" si="0"/>
        <v>408974</v>
      </c>
      <c r="M16" s="1343">
        <f>M15+M14+'SEFA-2'!M25</f>
        <v>0</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2126</v>
      </c>
      <c r="C18" s="1341"/>
      <c r="D18" s="1342"/>
      <c r="E18" s="1343"/>
      <c r="F18" s="1343"/>
      <c r="G18" s="1343"/>
      <c r="H18" s="1343"/>
      <c r="I18" s="1343"/>
      <c r="J18" s="1343"/>
      <c r="K18" s="1343"/>
      <c r="L18" s="1340"/>
      <c r="M18" s="1343"/>
    </row>
    <row r="19" spans="2:14" ht="20.100000000000001" customHeight="1" x14ac:dyDescent="0.2">
      <c r="B19" s="1337" t="s">
        <v>2156</v>
      </c>
      <c r="C19" s="1341">
        <v>84.364999999999995</v>
      </c>
      <c r="D19" s="1342" t="s">
        <v>2158</v>
      </c>
      <c r="E19" s="1343">
        <v>19782</v>
      </c>
      <c r="F19" s="1343">
        <v>1630</v>
      </c>
      <c r="G19" s="1343">
        <v>21412</v>
      </c>
      <c r="H19" s="1343"/>
      <c r="I19" s="1343"/>
      <c r="J19" s="1343"/>
      <c r="K19" s="1343"/>
      <c r="L19" s="1340">
        <f t="shared" si="0"/>
        <v>21412</v>
      </c>
      <c r="M19" s="1343">
        <v>21412</v>
      </c>
    </row>
    <row r="20" spans="2:14" ht="20.100000000000001" customHeight="1" x14ac:dyDescent="0.2">
      <c r="B20" s="1337" t="s">
        <v>2156</v>
      </c>
      <c r="C20" s="1341">
        <v>84.364999999999995</v>
      </c>
      <c r="D20" s="1342" t="s">
        <v>2159</v>
      </c>
      <c r="E20" s="1343"/>
      <c r="F20" s="1343">
        <v>18126</v>
      </c>
      <c r="G20" s="1343"/>
      <c r="H20" s="1343"/>
      <c r="I20" s="1343">
        <v>18126</v>
      </c>
      <c r="J20" s="1343"/>
      <c r="K20" s="1343"/>
      <c r="L20" s="1340">
        <f t="shared" si="0"/>
        <v>18126</v>
      </c>
      <c r="M20" s="1343">
        <v>18126</v>
      </c>
    </row>
    <row r="21" spans="2:14" ht="20.100000000000001" customHeight="1" x14ac:dyDescent="0.2">
      <c r="B21" s="1337" t="s">
        <v>2157</v>
      </c>
      <c r="C21" s="1341">
        <v>84.364999999999995</v>
      </c>
      <c r="D21" s="1342" t="s">
        <v>2160</v>
      </c>
      <c r="E21" s="1343">
        <v>6183</v>
      </c>
      <c r="F21" s="1343"/>
      <c r="G21" s="1343">
        <v>6183</v>
      </c>
      <c r="H21" s="1343"/>
      <c r="I21" s="1343"/>
      <c r="J21" s="1343"/>
      <c r="K21" s="1343"/>
      <c r="L21" s="1340">
        <f t="shared" si="0"/>
        <v>6183</v>
      </c>
      <c r="M21" s="1343">
        <v>6183</v>
      </c>
    </row>
    <row r="22" spans="2:14" ht="20.100000000000001" customHeight="1" x14ac:dyDescent="0.2">
      <c r="B22" s="1337" t="s">
        <v>2161</v>
      </c>
      <c r="C22" s="1341"/>
      <c r="D22" s="1342"/>
      <c r="E22" s="1343">
        <f t="shared" ref="E22:K22" si="1">SUM(E19:E21)</f>
        <v>25965</v>
      </c>
      <c r="F22" s="1343">
        <f t="shared" si="1"/>
        <v>19756</v>
      </c>
      <c r="G22" s="1343">
        <f t="shared" si="1"/>
        <v>27595</v>
      </c>
      <c r="H22" s="1343">
        <f t="shared" si="1"/>
        <v>0</v>
      </c>
      <c r="I22" s="1343">
        <f t="shared" si="1"/>
        <v>18126</v>
      </c>
      <c r="J22" s="1343">
        <f t="shared" si="1"/>
        <v>0</v>
      </c>
      <c r="K22" s="1343">
        <f t="shared" si="1"/>
        <v>0</v>
      </c>
      <c r="L22" s="1340">
        <f t="shared" si="0"/>
        <v>45721</v>
      </c>
      <c r="M22" s="1343">
        <f>SUM(M19:M21)</f>
        <v>45721</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2126</v>
      </c>
      <c r="C24" s="1341"/>
      <c r="D24" s="1342"/>
      <c r="E24" s="1343"/>
      <c r="F24" s="1343"/>
      <c r="G24" s="1343"/>
      <c r="H24" s="1343"/>
      <c r="I24" s="1343"/>
      <c r="J24" s="1343"/>
      <c r="K24" s="1343"/>
      <c r="L24" s="1340">
        <f t="shared" si="0"/>
        <v>0</v>
      </c>
      <c r="M24" s="1343"/>
    </row>
    <row r="25" spans="2:14" ht="20.100000000000001" customHeight="1" x14ac:dyDescent="0.2">
      <c r="B25" s="1337" t="s">
        <v>2162</v>
      </c>
      <c r="C25" s="1341">
        <v>84.367000000000004</v>
      </c>
      <c r="D25" s="1342" t="s">
        <v>2164</v>
      </c>
      <c r="E25" s="1343">
        <v>84878</v>
      </c>
      <c r="F25" s="1343">
        <v>55129</v>
      </c>
      <c r="G25" s="1343">
        <v>85528</v>
      </c>
      <c r="H25" s="1343"/>
      <c r="I25" s="1343">
        <v>54479</v>
      </c>
      <c r="J25" s="1343"/>
      <c r="K25" s="1343"/>
      <c r="L25" s="1340">
        <f t="shared" si="0"/>
        <v>140007</v>
      </c>
      <c r="M25" s="1343">
        <v>152812</v>
      </c>
    </row>
    <row r="26" spans="2:14" ht="20.100000000000001" customHeight="1" x14ac:dyDescent="0.2">
      <c r="B26" s="1337" t="s">
        <v>2162</v>
      </c>
      <c r="C26" s="1341">
        <v>84.367000000000004</v>
      </c>
      <c r="D26" s="1342" t="s">
        <v>2165</v>
      </c>
      <c r="E26" s="1343"/>
      <c r="F26" s="1343">
        <v>91084</v>
      </c>
      <c r="G26" s="1343"/>
      <c r="H26" s="1343"/>
      <c r="I26" s="1343">
        <v>98943</v>
      </c>
      <c r="J26" s="1343"/>
      <c r="K26" s="1343"/>
      <c r="L26" s="1340">
        <f t="shared" si="0"/>
        <v>98943</v>
      </c>
      <c r="M26" s="1343">
        <v>116803</v>
      </c>
    </row>
    <row r="27" spans="2:14" ht="20.100000000000001" customHeight="1" x14ac:dyDescent="0.2">
      <c r="B27" s="1337" t="s">
        <v>2163</v>
      </c>
      <c r="C27" s="1341"/>
      <c r="D27" s="1342"/>
      <c r="E27" s="1343">
        <f t="shared" ref="E27:K27" si="2">SUM(E25:E26)</f>
        <v>84878</v>
      </c>
      <c r="F27" s="1343">
        <f t="shared" si="2"/>
        <v>146213</v>
      </c>
      <c r="G27" s="1343">
        <f t="shared" si="2"/>
        <v>85528</v>
      </c>
      <c r="H27" s="1343">
        <f t="shared" si="2"/>
        <v>0</v>
      </c>
      <c r="I27" s="1343">
        <f t="shared" si="2"/>
        <v>153422</v>
      </c>
      <c r="J27" s="1343">
        <f t="shared" si="2"/>
        <v>0</v>
      </c>
      <c r="K27" s="1343">
        <f t="shared" si="2"/>
        <v>0</v>
      </c>
      <c r="L27" s="1340">
        <f t="shared" si="0"/>
        <v>238950</v>
      </c>
      <c r="M27" s="1343">
        <f>SUM(M25:M26)</f>
        <v>269615</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6" zoomScaleNormal="100" workbookViewId="0">
      <selection activeCell="F27" sqref="F27"/>
    </sheetView>
  </sheetViews>
  <sheetFormatPr defaultColWidth="33.5703125" defaultRowHeight="12.75" x14ac:dyDescent="0.2"/>
  <cols>
    <col min="1" max="1" width="0.140625" style="317" customWidth="1"/>
    <col min="2" max="2" width="49.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Carbondale ESD 95</v>
      </c>
      <c r="C1" s="2457"/>
      <c r="D1" s="2457"/>
      <c r="E1" s="2457"/>
      <c r="F1" s="2457"/>
      <c r="G1" s="2457"/>
      <c r="H1" s="2457"/>
      <c r="I1" s="2457"/>
      <c r="J1" s="2457"/>
      <c r="K1" s="2457"/>
      <c r="L1" s="2457"/>
      <c r="M1" s="2457"/>
    </row>
    <row r="2" spans="2:14" ht="15" x14ac:dyDescent="0.2">
      <c r="B2" s="2458">
        <f>'Single Audit Cover'!E7</f>
        <v>30039095002</v>
      </c>
      <c r="C2" s="2458"/>
      <c r="D2" s="2458"/>
      <c r="E2" s="2458"/>
      <c r="F2" s="2458"/>
      <c r="G2" s="2458"/>
      <c r="H2" s="2458"/>
      <c r="I2" s="2458"/>
      <c r="J2" s="2458"/>
      <c r="K2" s="2458"/>
      <c r="L2" s="2458"/>
      <c r="M2" s="2458"/>
      <c r="N2" s="1302"/>
    </row>
    <row r="3" spans="2:14" ht="15" x14ac:dyDescent="0.2">
      <c r="B3" s="2459" t="s">
        <v>1281</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2144</v>
      </c>
      <c r="C11" s="1338"/>
      <c r="D11" s="1339"/>
      <c r="E11" s="1340"/>
      <c r="F11" s="1340"/>
      <c r="G11" s="1340"/>
      <c r="H11" s="1340"/>
      <c r="I11" s="1340"/>
      <c r="J11" s="1340"/>
      <c r="K11" s="1340"/>
      <c r="L11" s="1340"/>
      <c r="M11" s="1340"/>
    </row>
    <row r="12" spans="2:14" ht="20.100000000000001" customHeight="1" x14ac:dyDescent="0.2">
      <c r="B12" s="1337"/>
      <c r="C12" s="1341"/>
      <c r="D12" s="1342"/>
      <c r="E12" s="1343"/>
      <c r="F12" s="1343"/>
      <c r="G12" s="1343"/>
      <c r="H12" s="1343"/>
      <c r="I12" s="1343"/>
      <c r="J12" s="1343"/>
      <c r="K12" s="1343"/>
      <c r="L12" s="1340"/>
      <c r="M12" s="1343"/>
    </row>
    <row r="13" spans="2:14" ht="20.100000000000001" customHeight="1" x14ac:dyDescent="0.2">
      <c r="B13" s="1337" t="s">
        <v>2166</v>
      </c>
      <c r="C13" s="1341"/>
      <c r="D13" s="1342"/>
      <c r="E13" s="1343">
        <f>'SEFA-3'!E27+'SEFA-3'!E22+'SEFA-3'!E16+'SEFA-2'!E22</f>
        <v>1154679</v>
      </c>
      <c r="F13" s="1343">
        <f>'SEFA-3'!F27+'SEFA-3'!F22+'SEFA-3'!F16+'SEFA-2'!F22</f>
        <v>1394928</v>
      </c>
      <c r="G13" s="1343">
        <f>'SEFA-3'!G27+'SEFA-3'!G22+'SEFA-3'!G16+'SEFA-2'!G22</f>
        <v>1173020</v>
      </c>
      <c r="H13" s="1343">
        <f>'SEFA-3'!H27+'SEFA-3'!H22+'SEFA-3'!H16+'SEFA-2'!H22</f>
        <v>0</v>
      </c>
      <c r="I13" s="1343">
        <f>'SEFA-3'!I27+'SEFA-3'!I22+'SEFA-3'!I16+'SEFA-2'!I22</f>
        <v>1412003</v>
      </c>
      <c r="J13" s="1343">
        <f>'SEFA-3'!J27+'SEFA-3'!J22+'SEFA-3'!J16+'SEFA-2'!J22</f>
        <v>0</v>
      </c>
      <c r="K13" s="1343">
        <f>'SEFA-3'!K27+'SEFA-3'!K22+'SEFA-3'!K16+'SEFA-2'!K22</f>
        <v>0</v>
      </c>
      <c r="L13" s="1340">
        <f t="shared" ref="L13:L23" si="0">+G13+I13+K13</f>
        <v>2585023</v>
      </c>
      <c r="M13" s="1343">
        <f>'SEFA-3'!M27+'SEFA-3'!M22+'SEFA-3'!M16+'SEFA-2'!M22</f>
        <v>2303557</v>
      </c>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2167</v>
      </c>
      <c r="C15" s="1341"/>
      <c r="D15" s="1342"/>
      <c r="E15" s="1343"/>
      <c r="F15" s="1343"/>
      <c r="G15" s="1343"/>
      <c r="H15" s="1343"/>
      <c r="I15" s="1343"/>
      <c r="J15" s="1343"/>
      <c r="K15" s="1343"/>
      <c r="L15" s="1340"/>
      <c r="M15" s="1343"/>
    </row>
    <row r="16" spans="2:14" ht="20.100000000000001" customHeight="1" x14ac:dyDescent="0.2">
      <c r="B16" s="1337" t="s">
        <v>2168</v>
      </c>
      <c r="C16" s="1341"/>
      <c r="D16" s="1342"/>
      <c r="E16" s="1343"/>
      <c r="F16" s="1343"/>
      <c r="G16" s="1343"/>
      <c r="H16" s="1343"/>
      <c r="I16" s="1343"/>
      <c r="J16" s="1343"/>
      <c r="K16" s="1343"/>
      <c r="L16" s="1340"/>
      <c r="M16" s="1343"/>
    </row>
    <row r="17" spans="2:14" ht="20.100000000000001" customHeight="1" x14ac:dyDescent="0.2">
      <c r="B17" s="1337" t="s">
        <v>2169</v>
      </c>
      <c r="C17" s="1341">
        <v>93.778000000000006</v>
      </c>
      <c r="D17" s="1342" t="s">
        <v>2170</v>
      </c>
      <c r="E17" s="1343">
        <v>41845</v>
      </c>
      <c r="F17" s="1343">
        <v>20039</v>
      </c>
      <c r="G17" s="1343">
        <v>64463</v>
      </c>
      <c r="H17" s="1343"/>
      <c r="I17" s="1343"/>
      <c r="J17" s="1343"/>
      <c r="K17" s="1343"/>
      <c r="L17" s="1340">
        <f t="shared" si="0"/>
        <v>64463</v>
      </c>
      <c r="M17" s="1343"/>
    </row>
    <row r="18" spans="2:14" ht="20.100000000000001" customHeight="1" x14ac:dyDescent="0.2">
      <c r="B18" s="1337" t="s">
        <v>2169</v>
      </c>
      <c r="C18" s="1341">
        <v>93.778000000000006</v>
      </c>
      <c r="D18" s="1342" t="s">
        <v>2171</v>
      </c>
      <c r="E18" s="1343"/>
      <c r="F18" s="1343">
        <v>54024</v>
      </c>
      <c r="G18" s="1343"/>
      <c r="H18" s="1343"/>
      <c r="I18" s="1343">
        <v>74890</v>
      </c>
      <c r="J18" s="1343"/>
      <c r="K18" s="1343"/>
      <c r="L18" s="1340">
        <f t="shared" si="0"/>
        <v>74890</v>
      </c>
      <c r="M18" s="1343"/>
    </row>
    <row r="19" spans="2:14" ht="20.100000000000001" customHeight="1" x14ac:dyDescent="0.2">
      <c r="B19" s="1337" t="s">
        <v>2172</v>
      </c>
      <c r="C19" s="1341"/>
      <c r="D19" s="1342"/>
      <c r="E19" s="1343">
        <f t="shared" ref="E19:K19" si="1">E17+E18</f>
        <v>41845</v>
      </c>
      <c r="F19" s="1343">
        <f t="shared" si="1"/>
        <v>74063</v>
      </c>
      <c r="G19" s="1343">
        <f t="shared" si="1"/>
        <v>64463</v>
      </c>
      <c r="H19" s="1343">
        <f t="shared" si="1"/>
        <v>0</v>
      </c>
      <c r="I19" s="1343">
        <f t="shared" si="1"/>
        <v>74890</v>
      </c>
      <c r="J19" s="1343">
        <f t="shared" si="1"/>
        <v>0</v>
      </c>
      <c r="K19" s="1343">
        <f t="shared" si="1"/>
        <v>0</v>
      </c>
      <c r="L19" s="1340">
        <f t="shared" si="0"/>
        <v>139353</v>
      </c>
      <c r="M19" s="1343">
        <f>M17+M18</f>
        <v>0</v>
      </c>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2173</v>
      </c>
      <c r="C21" s="1341"/>
      <c r="D21" s="1342"/>
      <c r="E21" s="1343">
        <f t="shared" ref="E21:K21" si="2">E19</f>
        <v>41845</v>
      </c>
      <c r="F21" s="1343">
        <f t="shared" si="2"/>
        <v>74063</v>
      </c>
      <c r="G21" s="1343">
        <f t="shared" si="2"/>
        <v>64463</v>
      </c>
      <c r="H21" s="1343">
        <f t="shared" si="2"/>
        <v>0</v>
      </c>
      <c r="I21" s="1343">
        <f t="shared" si="2"/>
        <v>74890</v>
      </c>
      <c r="J21" s="1343">
        <f t="shared" si="2"/>
        <v>0</v>
      </c>
      <c r="K21" s="1343">
        <f t="shared" si="2"/>
        <v>0</v>
      </c>
      <c r="L21" s="1340">
        <f t="shared" si="0"/>
        <v>139353</v>
      </c>
      <c r="M21" s="1343">
        <f>M19</f>
        <v>0</v>
      </c>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t="s">
        <v>2174</v>
      </c>
      <c r="C23" s="1341"/>
      <c r="D23" s="1342"/>
      <c r="E23" s="1343">
        <f>E21+E13+'SEFA-2'!E16</f>
        <v>1956546</v>
      </c>
      <c r="F23" s="1343">
        <f>F21+F13+'SEFA-2'!F16</f>
        <v>2321017</v>
      </c>
      <c r="G23" s="1343">
        <f>G21+G13+'SEFA-2'!G16</f>
        <v>1997505</v>
      </c>
      <c r="H23" s="1343">
        <f>H21+H13+'SEFA-2'!H16</f>
        <v>0</v>
      </c>
      <c r="I23" s="1343">
        <f>I21+I13+'SEFA-2'!I16</f>
        <v>2342110</v>
      </c>
      <c r="J23" s="1343">
        <f>J21+J13+'SEFA-2'!J16</f>
        <v>0</v>
      </c>
      <c r="K23" s="1343">
        <f>K21+K13+'SEFA-2'!K16</f>
        <v>0</v>
      </c>
      <c r="L23" s="1340">
        <f t="shared" si="0"/>
        <v>4339615</v>
      </c>
      <c r="M23" s="1343">
        <f>M21+M13+'SEFA-2'!M16</f>
        <v>2303557</v>
      </c>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6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6" zoomScale="120" zoomScaleNormal="120" workbookViewId="0">
      <selection activeCell="F27" sqref="F2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Carbondale ESD 95</v>
      </c>
      <c r="B1" s="2462"/>
      <c r="C1" s="2462"/>
      <c r="D1" s="2462"/>
      <c r="E1" s="2462"/>
      <c r="F1" s="2462"/>
    </row>
    <row r="2" spans="1:7" ht="13.5" customHeight="1" x14ac:dyDescent="0.2">
      <c r="A2" s="2458">
        <f>'Single Audit Cover'!E7</f>
        <v>30039095002</v>
      </c>
      <c r="B2" s="2458"/>
      <c r="C2" s="2458"/>
      <c r="D2" s="2458"/>
      <c r="E2" s="2458"/>
      <c r="F2" s="2458"/>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1" t="s">
        <v>2175</v>
      </c>
      <c r="B7" s="2461"/>
      <c r="C7" s="2461"/>
      <c r="D7" s="2461"/>
      <c r="E7" s="2461"/>
      <c r="F7" s="246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2078</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61" t="s">
        <v>2176</v>
      </c>
      <c r="B13" s="2461"/>
      <c r="C13" s="2461"/>
      <c r="D13" s="2461"/>
      <c r="E13" s="2461"/>
      <c r="F13" s="2461"/>
    </row>
    <row r="14" spans="1:7" ht="9.75" customHeight="1" x14ac:dyDescent="0.2">
      <c r="C14" s="1260"/>
      <c r="D14" s="1260"/>
    </row>
    <row r="15" spans="1:7" ht="13.5" customHeight="1" x14ac:dyDescent="0.2">
      <c r="C15" s="1870" t="s">
        <v>1332</v>
      </c>
      <c r="D15" s="2466" t="s">
        <v>1331</v>
      </c>
      <c r="E15" s="2466"/>
      <c r="F15" s="2466"/>
    </row>
    <row r="16" spans="1:7" ht="13.5" customHeight="1" x14ac:dyDescent="0.2">
      <c r="A16" s="1282"/>
      <c r="B16" s="1276" t="s">
        <v>1330</v>
      </c>
      <c r="C16" s="1870" t="s">
        <v>1329</v>
      </c>
      <c r="D16" s="2467" t="s">
        <v>1670</v>
      </c>
      <c r="E16" s="2467"/>
      <c r="F16" s="2467"/>
    </row>
    <row r="17" spans="1:6" ht="20.45" customHeight="1" x14ac:dyDescent="0.2">
      <c r="A17" s="1283"/>
      <c r="B17" s="1284" t="s">
        <v>2177</v>
      </c>
      <c r="C17" s="1285"/>
      <c r="D17" s="2465"/>
      <c r="E17" s="2465"/>
      <c r="F17" s="2465"/>
    </row>
    <row r="18" spans="1:6" ht="20.65" customHeight="1" x14ac:dyDescent="0.2">
      <c r="A18" s="1283"/>
      <c r="B18" s="1284"/>
      <c r="C18" s="1285"/>
      <c r="D18" s="2465"/>
      <c r="E18" s="2465"/>
      <c r="F18" s="2465"/>
    </row>
    <row r="19" spans="1:6" ht="20.65" customHeight="1" x14ac:dyDescent="0.2">
      <c r="A19" s="1283"/>
      <c r="B19" s="1284"/>
      <c r="C19" s="1285"/>
      <c r="D19" s="2465"/>
      <c r="E19" s="2465"/>
      <c r="F19" s="2465"/>
    </row>
    <row r="20" spans="1:6" ht="20.65" customHeight="1" x14ac:dyDescent="0.2">
      <c r="A20" s="1283"/>
      <c r="B20" s="1284"/>
      <c r="C20" s="1285"/>
      <c r="D20" s="2465"/>
      <c r="E20" s="2465"/>
      <c r="F20" s="2465"/>
    </row>
    <row r="21" spans="1:6" ht="20.65" customHeight="1" x14ac:dyDescent="0.2">
      <c r="A21" s="1283"/>
      <c r="B21" s="1284"/>
      <c r="C21" s="1285"/>
      <c r="D21" s="2465"/>
      <c r="E21" s="2465"/>
      <c r="F21" s="2465"/>
    </row>
    <row r="22" spans="1:6" ht="20.65" customHeight="1" x14ac:dyDescent="0.2">
      <c r="A22" s="1283"/>
      <c r="B22" s="1284"/>
      <c r="C22" s="1285"/>
      <c r="D22" s="2465"/>
      <c r="E22" s="2465"/>
      <c r="F22" s="2465"/>
    </row>
    <row r="23" spans="1:6" ht="20.65" customHeight="1" x14ac:dyDescent="0.2">
      <c r="A23" s="1283"/>
      <c r="B23" s="1284"/>
      <c r="C23" s="1285"/>
      <c r="D23" s="2465"/>
      <c r="E23" s="2465"/>
      <c r="F23" s="2465"/>
    </row>
    <row r="24" spans="1:6" ht="20.65" customHeight="1" x14ac:dyDescent="0.2">
      <c r="A24" s="1283"/>
      <c r="B24" s="1284"/>
      <c r="C24" s="1285"/>
      <c r="D24" s="2465"/>
      <c r="E24" s="2465"/>
      <c r="F24" s="2465"/>
    </row>
    <row r="25" spans="1:6" ht="20.65" customHeight="1" x14ac:dyDescent="0.2">
      <c r="A25" s="1283"/>
      <c r="B25" s="1284"/>
      <c r="C25" s="1285"/>
      <c r="D25" s="2465"/>
      <c r="E25" s="2465"/>
      <c r="F25" s="2465"/>
    </row>
    <row r="26" spans="1:6" ht="20.65" customHeight="1" x14ac:dyDescent="0.2">
      <c r="A26" s="1283"/>
      <c r="B26" s="1284"/>
      <c r="C26" s="1285"/>
      <c r="D26" s="2465"/>
      <c r="E26" s="2465"/>
      <c r="F26" s="2465"/>
    </row>
    <row r="27" spans="1:6" ht="20.65" customHeight="1" x14ac:dyDescent="0.2">
      <c r="A27" s="1283"/>
      <c r="B27" s="1284"/>
      <c r="C27" s="1285"/>
      <c r="D27" s="2465"/>
      <c r="E27" s="2465"/>
      <c r="F27" s="2465"/>
    </row>
    <row r="28" spans="1:6" ht="20.65" customHeight="1" x14ac:dyDescent="0.2">
      <c r="A28" s="1283"/>
      <c r="B28" s="1284"/>
      <c r="C28" s="1285"/>
      <c r="D28" s="2465"/>
      <c r="E28" s="2465"/>
      <c r="F28" s="2465"/>
    </row>
    <row r="29" spans="1:6" ht="20.65" customHeight="1" x14ac:dyDescent="0.2">
      <c r="A29" s="1283"/>
      <c r="B29" s="1284"/>
      <c r="C29" s="1285"/>
      <c r="D29" s="2465"/>
      <c r="E29" s="2465"/>
      <c r="F29" s="2465"/>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9" t="s">
        <v>2178</v>
      </c>
      <c r="B32" s="2469"/>
      <c r="C32" s="2469"/>
      <c r="D32" s="2469"/>
      <c r="E32" s="2469"/>
      <c r="F32" s="2469"/>
    </row>
    <row r="33" spans="1:6" ht="13.5" customHeight="1" x14ac:dyDescent="0.2">
      <c r="A33" s="328" t="s">
        <v>1509</v>
      </c>
      <c r="B33" s="328"/>
      <c r="C33" s="1288">
        <v>0</v>
      </c>
      <c r="D33" s="1927"/>
      <c r="E33" s="1286"/>
    </row>
    <row r="34" spans="1:6" ht="13.5" customHeight="1" x14ac:dyDescent="0.2">
      <c r="A34" s="328" t="s">
        <v>1946</v>
      </c>
      <c r="B34" s="328"/>
      <c r="C34" s="1289">
        <v>40735</v>
      </c>
      <c r="D34" s="1927" t="s">
        <v>1671</v>
      </c>
      <c r="E34" s="2470">
        <f>+C33+C34</f>
        <v>40735</v>
      </c>
      <c r="F34" s="2471"/>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v>0</v>
      </c>
      <c r="D38" s="1927"/>
      <c r="E38" s="1286"/>
    </row>
    <row r="39" spans="1:6" ht="14.25" customHeight="1" x14ac:dyDescent="0.2">
      <c r="A39" s="328"/>
      <c r="B39" s="328" t="s">
        <v>1511</v>
      </c>
      <c r="C39" s="1292">
        <v>0</v>
      </c>
      <c r="D39" s="1927"/>
      <c r="E39" s="1286"/>
    </row>
    <row r="40" spans="1:6" ht="14.25" customHeight="1" x14ac:dyDescent="0.2">
      <c r="A40" s="328"/>
      <c r="B40" s="328" t="s">
        <v>1512</v>
      </c>
      <c r="C40" s="1292">
        <v>0</v>
      </c>
      <c r="D40" s="1927"/>
      <c r="E40" s="1286"/>
    </row>
    <row r="41" spans="1:6" ht="14.25" customHeight="1" x14ac:dyDescent="0.2">
      <c r="A41" s="328"/>
      <c r="B41" s="328" t="s">
        <v>1513</v>
      </c>
      <c r="C41" s="1292">
        <v>0</v>
      </c>
      <c r="D41" s="1927"/>
      <c r="E41" s="1286"/>
    </row>
    <row r="42" spans="1:6" ht="14.25" customHeight="1" x14ac:dyDescent="0.2">
      <c r="A42" s="328" t="s">
        <v>1514</v>
      </c>
      <c r="B42" s="328"/>
      <c r="C42" s="1925">
        <v>0</v>
      </c>
      <c r="D42" s="1927"/>
      <c r="E42" s="1286"/>
    </row>
    <row r="43" spans="1:6" ht="14.25" customHeight="1" x14ac:dyDescent="0.2">
      <c r="A43" s="328" t="s">
        <v>1515</v>
      </c>
      <c r="B43" s="328"/>
      <c r="C43" s="1293" t="s">
        <v>401</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2" t="s">
        <v>1672</v>
      </c>
      <c r="C49" s="2472"/>
      <c r="D49" s="2472"/>
      <c r="E49" s="1399"/>
    </row>
    <row r="50" spans="1:5" s="1300" customFormat="1" ht="3.75" customHeight="1" x14ac:dyDescent="0.2">
      <c r="A50" s="1299"/>
      <c r="B50" s="1869"/>
      <c r="C50" s="1869"/>
      <c r="D50" s="1869"/>
      <c r="E50" s="1399"/>
    </row>
    <row r="51" spans="1:5" s="1300" customFormat="1" ht="20.25" customHeight="1" x14ac:dyDescent="0.2">
      <c r="A51" s="1301">
        <v>6</v>
      </c>
      <c r="B51" s="2468" t="s">
        <v>1632</v>
      </c>
      <c r="C51" s="2468"/>
      <c r="D51" s="2468"/>
    </row>
    <row r="52" spans="1:5" ht="14.25" customHeight="1" x14ac:dyDescent="0.2">
      <c r="A52" s="1301"/>
      <c r="B52" s="2468"/>
      <c r="C52" s="2468"/>
      <c r="D52" s="246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verticalCentered="1"/>
  <pageMargins left="1" right="1" top="1" bottom="1" header="0.75" footer="0.75"/>
  <pageSetup scale="78"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G24" sqref="G24"/>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Carbondale ESD 95</v>
      </c>
      <c r="C1" s="2478"/>
      <c r="D1" s="2478"/>
      <c r="E1" s="2478"/>
      <c r="F1" s="2478"/>
      <c r="G1" s="2478"/>
      <c r="H1" s="2478"/>
      <c r="I1" s="2478"/>
      <c r="J1" s="1422"/>
    </row>
    <row r="2" spans="2:10" s="317" customFormat="1" ht="12.75" customHeight="1" x14ac:dyDescent="0.2">
      <c r="B2" s="2479">
        <f>'Single Audit Cover'!E7</f>
        <v>30039095002</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t="s">
        <v>1226</v>
      </c>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2078</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2078</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2078</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t="s">
        <v>2078</v>
      </c>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t="s">
        <v>2078</v>
      </c>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t="s">
        <v>2179</v>
      </c>
      <c r="E29" s="2484"/>
      <c r="F29" s="2484"/>
      <c r="G29" s="2484"/>
      <c r="H29" s="2484"/>
      <c r="I29" s="2484"/>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2078</v>
      </c>
      <c r="F33" s="1300" t="s">
        <v>940</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5" t="s">
        <v>1851</v>
      </c>
      <c r="D37" s="2486"/>
      <c r="E37" s="2486"/>
      <c r="F37" s="2487"/>
      <c r="G37" s="2485" t="s">
        <v>1674</v>
      </c>
      <c r="H37" s="2486"/>
      <c r="I37" s="2487"/>
    </row>
    <row r="38" spans="2:9" ht="16.5" customHeight="1" x14ac:dyDescent="0.2">
      <c r="B38" s="1444" t="s">
        <v>2180</v>
      </c>
      <c r="C38" s="2473" t="s">
        <v>2181</v>
      </c>
      <c r="D38" s="2474"/>
      <c r="E38" s="2474"/>
      <c r="F38" s="2475"/>
      <c r="G38" s="2488">
        <v>840698</v>
      </c>
      <c r="H38" s="2489"/>
      <c r="I38" s="2490"/>
    </row>
    <row r="39" spans="2:9" ht="16.5" customHeight="1" x14ac:dyDescent="0.2">
      <c r="B39" s="1444">
        <v>84.01</v>
      </c>
      <c r="C39" s="2473" t="s">
        <v>2182</v>
      </c>
      <c r="D39" s="2474"/>
      <c r="E39" s="2474"/>
      <c r="F39" s="2475"/>
      <c r="G39" s="2476">
        <v>1031481</v>
      </c>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91" t="s">
        <v>1675</v>
      </c>
      <c r="D43" s="2492"/>
      <c r="E43" s="2492"/>
      <c r="F43" s="2493"/>
      <c r="G43" s="2494">
        <f>SUM(G38:I42)</f>
        <v>1872179</v>
      </c>
      <c r="H43" s="2494"/>
      <c r="I43" s="2494"/>
    </row>
    <row r="44" spans="2:9" ht="12.75" customHeight="1" x14ac:dyDescent="0.2"/>
    <row r="45" spans="2:9" ht="12.75" customHeight="1" x14ac:dyDescent="0.2">
      <c r="B45" s="1435" t="s">
        <v>1949</v>
      </c>
      <c r="D45" s="2495">
        <v>2342110</v>
      </c>
      <c r="E45" s="2496"/>
    </row>
    <row r="46" spans="2:9" ht="5.25" customHeight="1" x14ac:dyDescent="0.2">
      <c r="B46" s="1445"/>
      <c r="D46" s="1446"/>
      <c r="E46" s="1447"/>
    </row>
    <row r="47" spans="2:9" ht="12.75" customHeight="1" x14ac:dyDescent="0.2">
      <c r="B47" s="1300" t="s">
        <v>1676</v>
      </c>
      <c r="C47" s="1300"/>
      <c r="D47" s="1448">
        <f>+G43/D45</f>
        <v>0.79935570916822862</v>
      </c>
      <c r="E47" s="1449"/>
      <c r="F47" s="1450"/>
      <c r="I47" s="1451"/>
    </row>
    <row r="48" spans="2:9" ht="9.9499999999999993" customHeight="1" x14ac:dyDescent="0.2"/>
    <row r="49" spans="1:9" x14ac:dyDescent="0.2">
      <c r="B49" s="1368" t="s">
        <v>1335</v>
      </c>
      <c r="C49" s="1282"/>
      <c r="D49" s="1282"/>
      <c r="E49" s="2497">
        <v>750000</v>
      </c>
      <c r="F49" s="2497"/>
      <c r="G49" s="2497"/>
      <c r="H49" s="322"/>
    </row>
    <row r="51" spans="1:9" ht="13.5" customHeight="1" x14ac:dyDescent="0.2">
      <c r="B51" s="1368" t="s">
        <v>1334</v>
      </c>
      <c r="C51" s="1282"/>
      <c r="E51" s="1438"/>
      <c r="F51" s="1300" t="s">
        <v>940</v>
      </c>
      <c r="G51" s="1438" t="s">
        <v>2078</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verticalCentered="1"/>
  <pageMargins left="1" right="1" top="1" bottom="1" header="0.51" footer="0.28999999999999998"/>
  <pageSetup scale="83"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G24" sqref="G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Carbondale ESD 95</v>
      </c>
      <c r="C1" s="2477"/>
      <c r="D1" s="2477"/>
      <c r="E1" s="2477"/>
      <c r="F1" s="2477"/>
      <c r="G1" s="2477"/>
      <c r="H1" s="2477"/>
      <c r="I1" s="2477"/>
      <c r="J1" s="2477"/>
      <c r="K1" s="2477"/>
      <c r="L1" s="1374"/>
      <c r="M1" s="1374"/>
    </row>
    <row r="2" spans="1:13" ht="12" customHeight="1" x14ac:dyDescent="0.2">
      <c r="B2" s="2479">
        <f>'Single Audit Cover'!E7</f>
        <v>30039095002</v>
      </c>
      <c r="C2" s="2479"/>
      <c r="D2" s="2479"/>
      <c r="E2" s="2479"/>
      <c r="F2" s="2479"/>
      <c r="G2" s="2479"/>
      <c r="H2" s="2479"/>
      <c r="I2" s="2479"/>
      <c r="J2" s="2479"/>
      <c r="K2" s="2479"/>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9"/>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9"/>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3"/>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9"/>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9"/>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8"/>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Carbondale ESD 95</v>
      </c>
      <c r="C1" s="2504"/>
      <c r="D1" s="2504"/>
      <c r="E1" s="2504"/>
      <c r="F1" s="2504"/>
      <c r="G1" s="2504"/>
      <c r="H1" s="2504"/>
      <c r="I1" s="2504"/>
      <c r="J1" s="2504"/>
      <c r="K1" s="2504"/>
      <c r="L1" s="1465"/>
    </row>
    <row r="2" spans="1:12" ht="12.75" customHeight="1" x14ac:dyDescent="0.2">
      <c r="B2" s="2505">
        <f>'Single Audit Cover'!E7</f>
        <v>30039095002</v>
      </c>
      <c r="C2" s="2505"/>
      <c r="D2" s="2505"/>
      <c r="E2" s="2505"/>
      <c r="F2" s="2505"/>
      <c r="G2" s="2505"/>
      <c r="H2" s="2505"/>
      <c r="I2" s="2505"/>
      <c r="J2" s="2505"/>
      <c r="K2" s="2505"/>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1</v>
      </c>
      <c r="E8" s="322"/>
      <c r="F8" s="1384" t="s">
        <v>1362</v>
      </c>
      <c r="G8" s="1469"/>
      <c r="H8" s="1470" t="s">
        <v>1374</v>
      </c>
      <c r="I8" s="1469" t="s">
        <v>2078</v>
      </c>
      <c r="J8" s="1471" t="s">
        <v>1373</v>
      </c>
      <c r="L8" s="322"/>
    </row>
    <row r="9" spans="1:12" ht="13.5" customHeight="1" x14ac:dyDescent="0.2">
      <c r="D9" s="322"/>
      <c r="E9" s="322"/>
      <c r="F9" s="322"/>
      <c r="G9" s="1383"/>
      <c r="H9" s="322"/>
      <c r="I9" s="1472" t="s">
        <v>1359</v>
      </c>
      <c r="J9" s="322"/>
      <c r="K9" s="1473">
        <v>2017</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t="s">
        <v>2192</v>
      </c>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7" t="s">
        <v>2193</v>
      </c>
      <c r="E14" s="2507"/>
      <c r="F14" s="2507"/>
      <c r="H14" s="1475" t="s">
        <v>1370</v>
      </c>
      <c r="I14" s="2508" t="s">
        <v>2180</v>
      </c>
      <c r="J14" s="2508"/>
      <c r="K14" s="250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8" t="s">
        <v>2194</v>
      </c>
      <c r="E16" s="2508"/>
      <c r="F16" s="2508"/>
      <c r="G16" s="2508"/>
      <c r="H16" s="2508"/>
      <c r="I16" s="2508"/>
      <c r="J16" s="2508"/>
      <c r="K16" s="2508"/>
      <c r="L16" s="322"/>
    </row>
    <row r="17" spans="2:12" ht="13.5" customHeight="1" x14ac:dyDescent="0.2">
      <c r="B17" s="1387" t="s">
        <v>1368</v>
      </c>
      <c r="C17" s="1387"/>
      <c r="D17" s="2509" t="s">
        <v>2195</v>
      </c>
      <c r="E17" s="2509"/>
      <c r="F17" s="2509"/>
      <c r="G17" s="2509"/>
      <c r="H17" s="2509"/>
      <c r="I17" s="2509"/>
      <c r="J17" s="2509"/>
      <c r="K17" s="250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t="s">
        <v>2196</v>
      </c>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9" t="s">
        <v>2222</v>
      </c>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9" t="s">
        <v>2197</v>
      </c>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9" t="s">
        <v>2198</v>
      </c>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t="s">
        <v>2199</v>
      </c>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t="s">
        <v>2201</v>
      </c>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t="s">
        <v>2200</v>
      </c>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9" t="s">
        <v>2223</v>
      </c>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1" right="1" top="1" bottom="1" header="0.5" footer="0.18"/>
  <pageSetup scale="85"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zoomScaleNormal="10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Carbondale ESD 95</v>
      </c>
      <c r="C1" s="2504"/>
      <c r="D1" s="2504"/>
      <c r="E1" s="2504"/>
      <c r="F1" s="2504"/>
      <c r="G1" s="2504"/>
      <c r="H1" s="2504"/>
      <c r="I1" s="2504"/>
      <c r="J1" s="2504"/>
      <c r="K1" s="2504"/>
      <c r="L1" s="1465"/>
    </row>
    <row r="2" spans="1:12" ht="12.75" customHeight="1" x14ac:dyDescent="0.2">
      <c r="B2" s="2505">
        <f>'Single Audit Cover'!E7</f>
        <v>30039095002</v>
      </c>
      <c r="C2" s="2505"/>
      <c r="D2" s="2505"/>
      <c r="E2" s="2505"/>
      <c r="F2" s="2505"/>
      <c r="G2" s="2505"/>
      <c r="H2" s="2505"/>
      <c r="I2" s="2505"/>
      <c r="J2" s="2505"/>
      <c r="K2" s="2505"/>
      <c r="L2" s="1466"/>
    </row>
    <row r="3" spans="1:12" ht="12.75" customHeight="1" x14ac:dyDescent="0.2">
      <c r="B3" s="2500" t="s">
        <v>1347</v>
      </c>
      <c r="C3" s="2500"/>
      <c r="D3" s="2500"/>
      <c r="E3" s="2500"/>
      <c r="F3" s="2500"/>
      <c r="G3" s="2500"/>
      <c r="H3" s="2500"/>
      <c r="I3" s="2500"/>
      <c r="J3" s="2500"/>
      <c r="K3" s="2500"/>
      <c r="L3" s="1953"/>
    </row>
    <row r="4" spans="1:12" ht="12.75" customHeight="1" x14ac:dyDescent="0.2">
      <c r="B4" s="2500" t="str">
        <f>'Single Audit Cover'!A4</f>
        <v>Year Ending June 30, 2018</v>
      </c>
      <c r="C4" s="2500"/>
      <c r="D4" s="2500"/>
      <c r="E4" s="2500"/>
      <c r="F4" s="2500"/>
      <c r="G4" s="2500"/>
      <c r="H4" s="2500"/>
      <c r="I4" s="2500"/>
      <c r="J4" s="2500"/>
      <c r="K4" s="2500"/>
      <c r="L4" s="1953"/>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2</v>
      </c>
      <c r="E8" s="322"/>
      <c r="F8" s="1384" t="s">
        <v>1362</v>
      </c>
      <c r="G8" s="1469" t="s">
        <v>2078</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t="s">
        <v>2192</v>
      </c>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7" t="s">
        <v>2193</v>
      </c>
      <c r="E14" s="2507"/>
      <c r="F14" s="2507"/>
      <c r="H14" s="1475" t="s">
        <v>1370</v>
      </c>
      <c r="I14" s="2508" t="s">
        <v>2180</v>
      </c>
      <c r="J14" s="2508"/>
      <c r="K14" s="250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8" t="s">
        <v>2194</v>
      </c>
      <c r="E16" s="2508"/>
      <c r="F16" s="2508"/>
      <c r="G16" s="2508"/>
      <c r="H16" s="2508"/>
      <c r="I16" s="2508"/>
      <c r="J16" s="2508"/>
      <c r="K16" s="2508"/>
      <c r="L16" s="322"/>
    </row>
    <row r="17" spans="2:12" ht="13.5" customHeight="1" x14ac:dyDescent="0.2">
      <c r="B17" s="1387" t="s">
        <v>1368</v>
      </c>
      <c r="C17" s="1387"/>
      <c r="D17" s="2509" t="s">
        <v>2202</v>
      </c>
      <c r="E17" s="2509"/>
      <c r="F17" s="2509"/>
      <c r="G17" s="2509"/>
      <c r="H17" s="2509"/>
      <c r="I17" s="2509"/>
      <c r="J17" s="2509"/>
      <c r="K17" s="250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t="s">
        <v>2216</v>
      </c>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9" t="s">
        <v>2217</v>
      </c>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9" t="s">
        <v>2197</v>
      </c>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9" t="s">
        <v>2218</v>
      </c>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t="s">
        <v>2219</v>
      </c>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t="s">
        <v>2220</v>
      </c>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t="s">
        <v>2221</v>
      </c>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9" t="s">
        <v>2224</v>
      </c>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7" right="0.7" top="0.75" bottom="0.75" header="0.3" footer="0.3"/>
  <pageSetup scale="91"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B1" sqref="B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Carbondale ESD 95</v>
      </c>
      <c r="C1" s="2477"/>
      <c r="D1" s="2477"/>
      <c r="E1" s="1491"/>
    </row>
    <row r="2" spans="2:5" s="1282" customFormat="1" ht="12.75" customHeight="1" x14ac:dyDescent="0.2">
      <c r="B2" s="2479">
        <f>'Single Audit Cover'!E7</f>
        <v>30039095002</v>
      </c>
      <c r="C2" s="2479"/>
      <c r="D2" s="2479"/>
      <c r="E2" s="1492"/>
    </row>
    <row r="3" spans="2:5" ht="12.75" customHeight="1" x14ac:dyDescent="0.2">
      <c r="B3" s="2500" t="s">
        <v>1866</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2183</v>
      </c>
      <c r="C8" s="324" t="s">
        <v>2184</v>
      </c>
      <c r="D8" s="324" t="s">
        <v>2215</v>
      </c>
      <c r="E8" s="324"/>
    </row>
    <row r="9" spans="2:5" ht="13.5" customHeight="1" x14ac:dyDescent="0.2">
      <c r="B9" s="1497"/>
      <c r="C9" s="323" t="s">
        <v>2185</v>
      </c>
      <c r="D9" s="323"/>
      <c r="E9" s="323"/>
    </row>
    <row r="10" spans="2:5" ht="13.5" customHeight="1" x14ac:dyDescent="0.2">
      <c r="B10" s="1496"/>
      <c r="C10" s="323" t="s">
        <v>2186</v>
      </c>
      <c r="D10" s="323"/>
      <c r="E10" s="323"/>
    </row>
    <row r="11" spans="2:5" ht="13.5" customHeight="1" x14ac:dyDescent="0.2">
      <c r="B11" s="1496"/>
      <c r="C11" s="323"/>
      <c r="D11" s="323"/>
      <c r="E11" s="323"/>
    </row>
    <row r="12" spans="2:5" ht="13.5" customHeight="1" x14ac:dyDescent="0.2">
      <c r="B12" s="1496" t="s">
        <v>2187</v>
      </c>
      <c r="C12" s="323" t="s">
        <v>2188</v>
      </c>
      <c r="D12" s="323" t="s">
        <v>2191</v>
      </c>
      <c r="E12" s="323"/>
    </row>
    <row r="13" spans="2:5" ht="13.5" customHeight="1" x14ac:dyDescent="0.2">
      <c r="B13" s="1496"/>
      <c r="C13" s="323" t="s">
        <v>2189</v>
      </c>
      <c r="D13" s="323"/>
      <c r="E13" s="323"/>
    </row>
    <row r="14" spans="2:5" ht="13.5" customHeight="1" x14ac:dyDescent="0.2">
      <c r="B14" s="1496"/>
      <c r="C14" s="323" t="s">
        <v>2190</v>
      </c>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verticalCentered="1"/>
  <pageMargins left="1" right="1" top="1" bottom="1" header="0.5" footer="0.75"/>
  <pageSetup scale="85"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343758428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2.8652500000000001E-2</v>
      </c>
      <c r="E10" s="356" t="s">
        <v>1062</v>
      </c>
      <c r="F10" s="355">
        <v>3.1583000000000002E-3</v>
      </c>
      <c r="G10" s="356" t="s">
        <v>1062</v>
      </c>
      <c r="H10" s="355">
        <v>1.7228E-3</v>
      </c>
      <c r="I10" s="356" t="s">
        <v>1063</v>
      </c>
      <c r="J10" s="1754">
        <f>ROUND(D10+F10+H10,5)</f>
        <v>3.3529999999999997E-2</v>
      </c>
      <c r="K10" s="222"/>
      <c r="L10" s="355">
        <v>1.0699999999999999E-5</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19464423</v>
      </c>
      <c r="E16" s="356"/>
      <c r="F16" s="1755">
        <f>SUM('Acct Summary 7-8'!C17,'Acct Summary 7-8'!D17,'Acct Summary 7-8'!F17)</f>
        <v>19022185</v>
      </c>
      <c r="G16" s="356"/>
      <c r="H16" s="1755">
        <f>SUM(D16-F16)</f>
        <v>442238</v>
      </c>
      <c r="I16" s="222"/>
      <c r="J16" s="1755">
        <f>SUM('Acct Summary 7-8'!C81,'Acct Summary 7-8'!D81,'Acct Summary 7-8'!F81,'Acct Summary 7-8'!I81)</f>
        <v>9716846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2078</v>
      </c>
      <c r="C31" s="367" t="s">
        <v>607</v>
      </c>
      <c r="D31" s="237" t="s">
        <v>1132</v>
      </c>
      <c r="E31" s="222"/>
      <c r="F31" s="222"/>
      <c r="G31" s="363"/>
      <c r="H31" s="1757">
        <f>IF(B31="X",(J7*0.069),IF(B32="X",(J7*0.138),"Enter x in a.or b."))</f>
        <v>23719331.532000002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5416404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verticalCentered="1"/>
  <pageMargins left="0.75" right="0.75" top="0.59" bottom="1" header="0.35" footer="0.75"/>
  <pageSetup scale="8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M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Carbondale ESD 95</v>
      </c>
      <c r="E7" s="391"/>
      <c r="G7" s="252"/>
      <c r="H7" s="387"/>
      <c r="I7" s="387"/>
      <c r="J7" s="387"/>
      <c r="K7" s="387"/>
      <c r="L7" s="329"/>
      <c r="M7" s="329"/>
      <c r="N7" s="329"/>
      <c r="O7" s="329"/>
      <c r="P7" s="329"/>
    </row>
    <row r="8" spans="1:18" ht="12.75" x14ac:dyDescent="0.2">
      <c r="A8" s="329"/>
      <c r="B8" s="329"/>
      <c r="C8" s="389" t="s">
        <v>1187</v>
      </c>
      <c r="D8" s="392">
        <f>COVER!A13</f>
        <v>30039095002</v>
      </c>
      <c r="E8" s="393"/>
      <c r="G8" s="329"/>
      <c r="H8" s="329"/>
      <c r="I8" s="329"/>
      <c r="J8" s="329"/>
      <c r="K8" s="329"/>
      <c r="L8" s="329"/>
      <c r="M8" s="329"/>
      <c r="N8" s="329"/>
      <c r="O8" s="329"/>
      <c r="P8" s="329"/>
    </row>
    <row r="9" spans="1:18" ht="12.75" x14ac:dyDescent="0.2">
      <c r="A9" s="329"/>
      <c r="B9" s="329"/>
      <c r="C9" s="389" t="s">
        <v>737</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9716846</v>
      </c>
      <c r="I12" s="404"/>
      <c r="J12" s="404"/>
      <c r="K12" s="405">
        <f>TRUNC((H12/H13*100000),5)/100000</f>
        <v>0.49921058530000001</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19464423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19022185</v>
      </c>
      <c r="I17" s="404"/>
      <c r="J17" s="416"/>
      <c r="K17" s="405">
        <f>TRUNC((H17/H18*100000),5)/100000</f>
        <v>0.97727967579999997</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19464423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9708772</v>
      </c>
      <c r="I24" s="422"/>
      <c r="J24" s="422"/>
      <c r="K24" s="423">
        <f>TRUNC(((H24/H25*100000)/100000),2)</f>
        <v>183.74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52839.402779999997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9797287.0772099998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5416404</v>
      </c>
      <c r="I32" s="420"/>
      <c r="J32" s="420"/>
      <c r="K32" s="423">
        <f>TRUNC(100-((((H32/H33*100))*100)/100),2)</f>
        <v>77.16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23719331.532000002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1" right="1" top="1" bottom="1" header="0.19" footer="0.4"/>
  <pageSetup scale="72"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B57" sqref="B57:J67"/>
      <selection pane="bottomLeft" activeCell="B57" sqref="B57:J6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1"/>
      <c r="D3" s="1582"/>
      <c r="E3" s="1582"/>
      <c r="F3" s="1582"/>
      <c r="G3" s="1582"/>
      <c r="H3" s="1582"/>
      <c r="I3" s="1582"/>
      <c r="J3" s="1582"/>
      <c r="K3" s="1582"/>
      <c r="L3" s="1582"/>
      <c r="M3" s="1583"/>
      <c r="N3" s="1584"/>
    </row>
    <row r="4" spans="1:14" ht="13.5" customHeight="1" x14ac:dyDescent="0.2">
      <c r="A4" s="463" t="s">
        <v>1750</v>
      </c>
      <c r="B4" s="464"/>
      <c r="C4" s="465">
        <v>2035564</v>
      </c>
      <c r="D4" s="466">
        <v>421454</v>
      </c>
      <c r="E4" s="466">
        <v>60882</v>
      </c>
      <c r="F4" s="466">
        <v>861716</v>
      </c>
      <c r="G4" s="466">
        <v>7284</v>
      </c>
      <c r="H4" s="466">
        <v>707201</v>
      </c>
      <c r="I4" s="466">
        <v>6390038</v>
      </c>
      <c r="J4" s="467">
        <v>79837</v>
      </c>
      <c r="K4" s="466">
        <v>383868</v>
      </c>
      <c r="L4" s="466">
        <v>32983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8703</v>
      </c>
      <c r="D12" s="466"/>
      <c r="E12" s="466"/>
      <c r="F12" s="466"/>
      <c r="G12" s="466"/>
      <c r="H12" s="466"/>
      <c r="I12" s="466"/>
      <c r="J12" s="467"/>
      <c r="K12" s="466"/>
      <c r="L12" s="466"/>
      <c r="M12" s="469"/>
      <c r="N12" s="469"/>
    </row>
    <row r="13" spans="1:14" ht="13.5" customHeight="1" thickBot="1" x14ac:dyDescent="0.25">
      <c r="A13" s="1758" t="s">
        <v>665</v>
      </c>
      <c r="B13" s="1731"/>
      <c r="C13" s="1759">
        <f>SUM(C4:C12)</f>
        <v>2044267</v>
      </c>
      <c r="D13" s="1759">
        <f t="shared" ref="D13:L13" si="0">SUM(D4:D12)</f>
        <v>421454</v>
      </c>
      <c r="E13" s="1759">
        <f t="shared" si="0"/>
        <v>60882</v>
      </c>
      <c r="F13" s="1759">
        <f t="shared" si="0"/>
        <v>861716</v>
      </c>
      <c r="G13" s="1759">
        <f t="shared" si="0"/>
        <v>7284</v>
      </c>
      <c r="H13" s="1759">
        <f t="shared" si="0"/>
        <v>707201</v>
      </c>
      <c r="I13" s="1759">
        <f t="shared" si="0"/>
        <v>6390038</v>
      </c>
      <c r="J13" s="1759">
        <f t="shared" si="0"/>
        <v>79837</v>
      </c>
      <c r="K13" s="1759">
        <f t="shared" si="0"/>
        <v>383868</v>
      </c>
      <c r="L13" s="1759">
        <f t="shared" si="0"/>
        <v>32983</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341423</v>
      </c>
      <c r="N16" s="484"/>
    </row>
    <row r="17" spans="1:14" s="485" customFormat="1" ht="12.75" customHeight="1" x14ac:dyDescent="0.2">
      <c r="A17" s="482" t="s">
        <v>1470</v>
      </c>
      <c r="B17" s="483">
        <v>230</v>
      </c>
      <c r="C17" s="477"/>
      <c r="D17" s="477"/>
      <c r="E17" s="477"/>
      <c r="F17" s="477"/>
      <c r="G17" s="477"/>
      <c r="H17" s="477"/>
      <c r="I17" s="477"/>
      <c r="J17" s="477"/>
      <c r="K17" s="477"/>
      <c r="L17" s="477"/>
      <c r="M17" s="467">
        <v>33486372</v>
      </c>
      <c r="N17" s="484"/>
    </row>
    <row r="18" spans="1:14" s="485" customFormat="1" ht="12.75" customHeight="1" x14ac:dyDescent="0.2">
      <c r="A18" s="482" t="s">
        <v>1471</v>
      </c>
      <c r="B18" s="483">
        <v>240</v>
      </c>
      <c r="C18" s="477"/>
      <c r="D18" s="477"/>
      <c r="E18" s="477"/>
      <c r="F18" s="477"/>
      <c r="G18" s="477"/>
      <c r="H18" s="477"/>
      <c r="I18" s="477"/>
      <c r="J18" s="477"/>
      <c r="K18" s="477"/>
      <c r="L18" s="477"/>
      <c r="M18" s="467">
        <v>691720</v>
      </c>
      <c r="N18" s="484"/>
    </row>
    <row r="19" spans="1:14" s="485" customFormat="1" ht="12.75" customHeight="1" x14ac:dyDescent="0.2">
      <c r="A19" s="482" t="s">
        <v>1472</v>
      </c>
      <c r="B19" s="483">
        <v>250</v>
      </c>
      <c r="C19" s="477"/>
      <c r="D19" s="477"/>
      <c r="E19" s="477"/>
      <c r="F19" s="477"/>
      <c r="G19" s="477"/>
      <c r="H19" s="477"/>
      <c r="I19" s="477"/>
      <c r="J19" s="477"/>
      <c r="K19" s="477"/>
      <c r="L19" s="477"/>
      <c r="M19" s="467">
        <v>3650833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60882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5355522</v>
      </c>
    </row>
    <row r="23" spans="1:14" ht="13.5" customHeight="1" thickBot="1" x14ac:dyDescent="0.25">
      <c r="A23" s="1758" t="s">
        <v>664</v>
      </c>
      <c r="B23" s="1763"/>
      <c r="C23" s="468"/>
      <c r="D23" s="468"/>
      <c r="E23" s="468"/>
      <c r="F23" s="468"/>
      <c r="G23" s="468"/>
      <c r="H23" s="468"/>
      <c r="I23" s="468"/>
      <c r="J23" s="468"/>
      <c r="K23" s="468"/>
      <c r="L23" s="468"/>
      <c r="M23" s="1710">
        <f>SUM(M15:M22)</f>
        <v>38170348</v>
      </c>
      <c r="N23" s="1710">
        <f>SUM(N21:N22)</f>
        <v>5416404</v>
      </c>
    </row>
    <row r="24" spans="1:14" ht="18" customHeight="1" thickTop="1" x14ac:dyDescent="0.2">
      <c r="A24" s="2134" t="s">
        <v>619</v>
      </c>
      <c r="B24" s="2135"/>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v>629</v>
      </c>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v>1848</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32983</v>
      </c>
      <c r="M33" s="468"/>
      <c r="N33" s="469"/>
    </row>
    <row r="34" spans="1:14" ht="13.5" customHeight="1" thickBot="1" x14ac:dyDescent="0.25">
      <c r="A34" s="1760" t="s">
        <v>675</v>
      </c>
      <c r="B34" s="1761"/>
      <c r="C34" s="1762">
        <f>SUM(C25:C33)</f>
        <v>0</v>
      </c>
      <c r="D34" s="1762">
        <f t="shared" ref="D34:K34" si="1">SUM(D25:D33)</f>
        <v>629</v>
      </c>
      <c r="E34" s="1762">
        <f t="shared" si="1"/>
        <v>0</v>
      </c>
      <c r="F34" s="1762">
        <f t="shared" si="1"/>
        <v>0</v>
      </c>
      <c r="G34" s="1762">
        <f t="shared" si="1"/>
        <v>1848</v>
      </c>
      <c r="H34" s="1762">
        <f t="shared" si="1"/>
        <v>0</v>
      </c>
      <c r="I34" s="1762">
        <f t="shared" si="1"/>
        <v>0</v>
      </c>
      <c r="J34" s="1762">
        <f t="shared" si="1"/>
        <v>0</v>
      </c>
      <c r="K34" s="1762">
        <f t="shared" si="1"/>
        <v>0</v>
      </c>
      <c r="L34" s="1743">
        <f>SUM(L33)</f>
        <v>32983</v>
      </c>
      <c r="M34" s="468"/>
      <c r="N34" s="480"/>
    </row>
    <row r="35" spans="1:14" ht="18" customHeight="1" thickTop="1" x14ac:dyDescent="0.2">
      <c r="A35" s="2136" t="s">
        <v>550</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5416404</v>
      </c>
    </row>
    <row r="37" spans="1:14" ht="13.5" thickBot="1" x14ac:dyDescent="0.25">
      <c r="A37" s="1758" t="s">
        <v>674</v>
      </c>
      <c r="B37" s="1763"/>
      <c r="C37" s="477"/>
      <c r="D37" s="477"/>
      <c r="E37" s="477"/>
      <c r="F37" s="477"/>
      <c r="G37" s="477"/>
      <c r="H37" s="477"/>
      <c r="I37" s="477"/>
      <c r="J37" s="477"/>
      <c r="K37" s="477"/>
      <c r="L37" s="480"/>
      <c r="M37" s="468"/>
      <c r="N37" s="1710">
        <f>SUM(N36:N36)</f>
        <v>5416404</v>
      </c>
    </row>
    <row r="38" spans="1:14" s="329" customFormat="1" ht="13.5" customHeight="1" thickTop="1" x14ac:dyDescent="0.2">
      <c r="A38" s="496" t="s">
        <v>440</v>
      </c>
      <c r="B38" s="483">
        <v>714</v>
      </c>
      <c r="C38" s="466"/>
      <c r="D38" s="466"/>
      <c r="E38" s="466">
        <v>60882</v>
      </c>
      <c r="F38" s="466"/>
      <c r="G38" s="466">
        <v>5436</v>
      </c>
      <c r="H38" s="466"/>
      <c r="I38" s="466"/>
      <c r="J38" s="467">
        <v>79837</v>
      </c>
      <c r="K38" s="466">
        <v>383868</v>
      </c>
      <c r="L38" s="481"/>
      <c r="M38" s="497"/>
      <c r="N38" s="497"/>
    </row>
    <row r="39" spans="1:14" s="329" customFormat="1" ht="13.5" customHeight="1" x14ac:dyDescent="0.2">
      <c r="A39" s="496" t="s">
        <v>360</v>
      </c>
      <c r="B39" s="483">
        <v>730</v>
      </c>
      <c r="C39" s="466">
        <v>2044267</v>
      </c>
      <c r="D39" s="466">
        <v>420825</v>
      </c>
      <c r="E39" s="466"/>
      <c r="F39" s="466">
        <v>861716</v>
      </c>
      <c r="G39" s="466"/>
      <c r="H39" s="466">
        <v>707201</v>
      </c>
      <c r="I39" s="466">
        <v>6390038</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38170348</v>
      </c>
      <c r="N40" s="497"/>
    </row>
    <row r="41" spans="1:14" ht="13.5" customHeight="1" thickBot="1" x14ac:dyDescent="0.25">
      <c r="A41" s="1758" t="s">
        <v>676</v>
      </c>
      <c r="B41" s="1728"/>
      <c r="C41" s="1710">
        <f>(SUM(C34,C37,C38,C39))</f>
        <v>2044267</v>
      </c>
      <c r="D41" s="1710">
        <f t="shared" ref="D41:L41" si="2">SUM(D34,D37,D38:D39)</f>
        <v>421454</v>
      </c>
      <c r="E41" s="1710">
        <f t="shared" si="2"/>
        <v>60882</v>
      </c>
      <c r="F41" s="1710">
        <f t="shared" si="2"/>
        <v>861716</v>
      </c>
      <c r="G41" s="1710">
        <f t="shared" si="2"/>
        <v>7284</v>
      </c>
      <c r="H41" s="1710">
        <f t="shared" si="2"/>
        <v>707201</v>
      </c>
      <c r="I41" s="1710">
        <f t="shared" si="2"/>
        <v>6390038</v>
      </c>
      <c r="J41" s="1710">
        <f t="shared" si="2"/>
        <v>79837</v>
      </c>
      <c r="K41" s="1710">
        <f t="shared" si="2"/>
        <v>383868</v>
      </c>
      <c r="L41" s="1710">
        <f t="shared" si="2"/>
        <v>32983</v>
      </c>
      <c r="M41" s="1710">
        <f>SUM(M40)</f>
        <v>38170348</v>
      </c>
      <c r="N41" s="1710">
        <f>SUM(N37)</f>
        <v>5416404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headings="1" gridLinesSet="0"/>
  <pageMargins left="1" right="0.3" top="1.5" bottom="0.5" header="0.78"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B57" sqref="B57:J67"/>
      <selection pane="bottomLeft" activeCell="B57" sqref="B57:J6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2156" t="s">
        <v>1579</v>
      </c>
      <c r="B4" s="2157"/>
      <c r="C4" s="1764">
        <f>'Revenues 9-14'!C109</f>
        <v>9961952</v>
      </c>
      <c r="D4" s="1764">
        <f>'Revenues 9-14'!D109</f>
        <v>1096858</v>
      </c>
      <c r="E4" s="1764">
        <f>'Revenues 9-14'!E109</f>
        <v>1289850</v>
      </c>
      <c r="F4" s="1764">
        <f>'Revenues 9-14'!F109</f>
        <v>791948</v>
      </c>
      <c r="G4" s="1764">
        <f>'Revenues 9-14'!G109</f>
        <v>541568</v>
      </c>
      <c r="H4" s="1764">
        <f>'Revenues 9-14'!H109</f>
        <v>796616</v>
      </c>
      <c r="I4" s="1764">
        <f>'Revenues 9-14'!I109</f>
        <v>17663</v>
      </c>
      <c r="J4" s="1764">
        <f>'Revenues 9-14'!J109</f>
        <v>374794</v>
      </c>
      <c r="K4" s="1764">
        <f>'Revenues 9-14'!K109</f>
        <v>173147</v>
      </c>
      <c r="L4" s="347"/>
    </row>
    <row r="5" spans="1:13" ht="15.75" customHeight="1" x14ac:dyDescent="0.2">
      <c r="A5" s="1598" t="s">
        <v>1580</v>
      </c>
      <c r="B5" s="1599">
        <v>2000</v>
      </c>
      <c r="C5" s="1765">
        <f>'Revenues 9-14'!C114</f>
        <v>210959</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4347692</v>
      </c>
      <c r="D6" s="1765">
        <f>'Revenues 9-14'!D173</f>
        <v>0</v>
      </c>
      <c r="E6" s="1765">
        <f>'Revenues 9-14'!E173</f>
        <v>0</v>
      </c>
      <c r="F6" s="1765">
        <f>'Revenues 9-14'!F173</f>
        <v>851311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2186040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16706643</v>
      </c>
      <c r="D8" s="1710">
        <f t="shared" ref="D8:K8" si="0">SUM(D4:D7)</f>
        <v>1096858</v>
      </c>
      <c r="E8" s="1710">
        <f t="shared" si="0"/>
        <v>1289850</v>
      </c>
      <c r="F8" s="1710">
        <f t="shared" si="0"/>
        <v>1643259</v>
      </c>
      <c r="G8" s="1710">
        <f t="shared" si="0"/>
        <v>541568</v>
      </c>
      <c r="H8" s="1710">
        <f t="shared" si="0"/>
        <v>796616</v>
      </c>
      <c r="I8" s="1710">
        <f t="shared" si="0"/>
        <v>17663</v>
      </c>
      <c r="J8" s="1710">
        <f t="shared" si="0"/>
        <v>374794</v>
      </c>
      <c r="K8" s="1710">
        <f t="shared" si="0"/>
        <v>173147</v>
      </c>
      <c r="L8" s="347"/>
    </row>
    <row r="9" spans="1:13" ht="15.75" thickTop="1" x14ac:dyDescent="0.2">
      <c r="A9" s="514" t="s">
        <v>1752</v>
      </c>
      <c r="B9" s="515">
        <v>3998</v>
      </c>
      <c r="C9" s="481">
        <v>7696121</v>
      </c>
      <c r="D9" s="516"/>
      <c r="E9" s="481"/>
      <c r="F9" s="481"/>
      <c r="G9" s="517"/>
      <c r="H9" s="481"/>
      <c r="I9" s="509" t="s">
        <v>1231</v>
      </c>
      <c r="J9" s="478"/>
      <c r="K9" s="481"/>
      <c r="L9" s="347"/>
    </row>
    <row r="10" spans="1:13" s="519" customFormat="1" ht="13.5" thickBot="1" x14ac:dyDescent="0.25">
      <c r="A10" s="1758" t="s">
        <v>1235</v>
      </c>
      <c r="B10" s="1731"/>
      <c r="C10" s="1710">
        <f>SUM(C8:C9)</f>
        <v>24402764</v>
      </c>
      <c r="D10" s="1710">
        <f t="shared" ref="D10:K10" si="1">SUM(D8:D9)</f>
        <v>1096858</v>
      </c>
      <c r="E10" s="1710">
        <f t="shared" si="1"/>
        <v>1289850</v>
      </c>
      <c r="F10" s="1710">
        <f t="shared" si="1"/>
        <v>1643259</v>
      </c>
      <c r="G10" s="1710">
        <f t="shared" si="1"/>
        <v>541568</v>
      </c>
      <c r="H10" s="1710">
        <f t="shared" si="1"/>
        <v>796616</v>
      </c>
      <c r="I10" s="1710">
        <f t="shared" si="1"/>
        <v>17663</v>
      </c>
      <c r="J10" s="1710">
        <f t="shared" si="1"/>
        <v>374794</v>
      </c>
      <c r="K10" s="1710">
        <f t="shared" si="1"/>
        <v>173147</v>
      </c>
      <c r="L10" s="518"/>
    </row>
    <row r="11" spans="1:13" s="519" customFormat="1" ht="16.7" customHeight="1" thickTop="1" x14ac:dyDescent="0.2">
      <c r="A11" s="2132" t="s">
        <v>1238</v>
      </c>
      <c r="B11" s="2133"/>
      <c r="C11" s="1592"/>
      <c r="D11" s="1593"/>
      <c r="E11" s="1593"/>
      <c r="F11" s="1593"/>
      <c r="G11" s="1593"/>
      <c r="H11" s="1593"/>
      <c r="I11" s="1593"/>
      <c r="J11" s="1593"/>
      <c r="K11" s="1594"/>
      <c r="L11" s="518"/>
    </row>
    <row r="12" spans="1:13" ht="15.75" customHeight="1" x14ac:dyDescent="0.2">
      <c r="A12" s="1598" t="s">
        <v>476</v>
      </c>
      <c r="B12" s="1600">
        <v>1000</v>
      </c>
      <c r="C12" s="1764">
        <f>'Expenditures 15-22'!K33</f>
        <v>11112307</v>
      </c>
      <c r="D12" s="520" t="s">
        <v>1231</v>
      </c>
      <c r="E12" s="468" t="s">
        <v>1231</v>
      </c>
      <c r="F12" s="468" t="s">
        <v>1231</v>
      </c>
      <c r="G12" s="1764">
        <f>'Expenditures 15-22'!K229</f>
        <v>291085</v>
      </c>
      <c r="H12" s="521"/>
      <c r="I12" s="468" t="s">
        <v>1231</v>
      </c>
      <c r="J12" s="468" t="s">
        <v>1231</v>
      </c>
      <c r="K12" s="521" t="s">
        <v>1231</v>
      </c>
      <c r="L12" s="347"/>
    </row>
    <row r="13" spans="1:13" ht="15.75" customHeight="1" x14ac:dyDescent="0.2">
      <c r="A13" s="1598" t="s">
        <v>477</v>
      </c>
      <c r="B13" s="1600">
        <v>2000</v>
      </c>
      <c r="C13" s="1765">
        <f>'Expenditures 15-22'!K74</f>
        <v>4724603</v>
      </c>
      <c r="D13" s="1765">
        <f>'Expenditures 15-22'!K129</f>
        <v>1085001</v>
      </c>
      <c r="E13" s="469" t="s">
        <v>1231</v>
      </c>
      <c r="F13" s="1765">
        <f>'Expenditures 15-22'!K184</f>
        <v>1242590</v>
      </c>
      <c r="G13" s="1765">
        <f>'Expenditures 15-22'!K279</f>
        <v>291629</v>
      </c>
      <c r="H13" s="1765">
        <f>'Expenditures 15-22'!K303</f>
        <v>89900</v>
      </c>
      <c r="I13" s="468" t="s">
        <v>1231</v>
      </c>
      <c r="J13" s="1765">
        <f>'Expenditures 15-22'!K330</f>
        <v>371483</v>
      </c>
      <c r="K13" s="1769">
        <f>'Expenditures 15-22'!K352</f>
        <v>0</v>
      </c>
      <c r="L13" s="347"/>
    </row>
    <row r="14" spans="1:13" ht="15.75" customHeight="1" x14ac:dyDescent="0.2">
      <c r="A14" s="1598" t="s">
        <v>469</v>
      </c>
      <c r="B14" s="1600">
        <v>3000</v>
      </c>
      <c r="C14" s="1765">
        <f>'Expenditures 15-22'!K75</f>
        <v>208441</v>
      </c>
      <c r="D14" s="1765">
        <f>'Expenditures 15-22'!K130</f>
        <v>0</v>
      </c>
      <c r="E14" s="520" t="s">
        <v>1231</v>
      </c>
      <c r="F14" s="1765">
        <f>'Expenditures 15-22'!K185</f>
        <v>0</v>
      </c>
      <c r="G14" s="1765">
        <f>'Expenditures 15-22'!K280</f>
        <v>6407</v>
      </c>
      <c r="H14" s="512"/>
      <c r="I14" s="468" t="s">
        <v>1231</v>
      </c>
      <c r="J14" s="468" t="s">
        <v>1231</v>
      </c>
      <c r="K14" s="512" t="s">
        <v>1231</v>
      </c>
      <c r="L14" s="347"/>
    </row>
    <row r="15" spans="1:13" ht="15.75" customHeight="1" x14ac:dyDescent="0.2">
      <c r="A15" s="1598" t="s">
        <v>109</v>
      </c>
      <c r="B15" s="1600">
        <v>4000</v>
      </c>
      <c r="C15" s="1765">
        <f>'Expenditures 15-22'!K102</f>
        <v>649243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1278209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16694594</v>
      </c>
      <c r="D17" s="1710">
        <f t="shared" si="2"/>
        <v>1085001</v>
      </c>
      <c r="E17" s="1710">
        <f t="shared" si="2"/>
        <v>1278209</v>
      </c>
      <c r="F17" s="1710">
        <f t="shared" si="2"/>
        <v>1242590</v>
      </c>
      <c r="G17" s="1710">
        <f t="shared" si="2"/>
        <v>589121</v>
      </c>
      <c r="H17" s="1710">
        <f t="shared" si="2"/>
        <v>89900</v>
      </c>
      <c r="I17" s="468"/>
      <c r="J17" s="1710">
        <f>SUM(J12:J16)</f>
        <v>371483</v>
      </c>
      <c r="K17" s="1710">
        <f>SUM(K12:K16)</f>
        <v>0</v>
      </c>
      <c r="L17" s="347"/>
    </row>
    <row r="18" spans="1:12" ht="15" customHeight="1" thickTop="1" x14ac:dyDescent="0.2">
      <c r="A18" s="1766" t="s">
        <v>1753</v>
      </c>
      <c r="B18" s="1767">
        <v>4180</v>
      </c>
      <c r="C18" s="1764">
        <f t="shared" ref="C18:H18" si="3">C9</f>
        <v>7696121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24390715</v>
      </c>
      <c r="D19" s="1710">
        <f t="shared" si="4"/>
        <v>1085001</v>
      </c>
      <c r="E19" s="1710">
        <f t="shared" si="4"/>
        <v>1278209</v>
      </c>
      <c r="F19" s="1710">
        <f t="shared" si="4"/>
        <v>1242590</v>
      </c>
      <c r="G19" s="1710">
        <f t="shared" si="4"/>
        <v>589121</v>
      </c>
      <c r="H19" s="1710">
        <f t="shared" si="4"/>
        <v>89900</v>
      </c>
      <c r="I19" s="468"/>
      <c r="J19" s="1710">
        <f>SUM(J17:J18)</f>
        <v>371483</v>
      </c>
      <c r="K19" s="1710">
        <f>SUM(K17:K18)</f>
        <v>0</v>
      </c>
      <c r="L19" s="347"/>
    </row>
    <row r="20" spans="1:12" ht="16.5" thickTop="1" thickBot="1" x14ac:dyDescent="0.25">
      <c r="A20" s="2144" t="s">
        <v>1754</v>
      </c>
      <c r="B20" s="2145"/>
      <c r="C20" s="1768">
        <f>C8-C17</f>
        <v>12049</v>
      </c>
      <c r="D20" s="1768">
        <f t="shared" ref="D20:K20" si="5">D8-D17</f>
        <v>11857</v>
      </c>
      <c r="E20" s="1768">
        <f t="shared" si="5"/>
        <v>11641</v>
      </c>
      <c r="F20" s="1768">
        <f t="shared" si="5"/>
        <v>400669</v>
      </c>
      <c r="G20" s="1768">
        <f t="shared" si="5"/>
        <v>-47553</v>
      </c>
      <c r="H20" s="1768">
        <f t="shared" si="5"/>
        <v>706716</v>
      </c>
      <c r="I20" s="1768">
        <f t="shared" si="5"/>
        <v>17663</v>
      </c>
      <c r="J20" s="1768">
        <f t="shared" si="5"/>
        <v>3311</v>
      </c>
      <c r="K20" s="1768">
        <f t="shared" si="5"/>
        <v>173147</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407</v>
      </c>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5">
        <f>SUM(C24:C43)</f>
        <v>407</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4" t="s">
        <v>460</v>
      </c>
      <c r="B76" s="216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66" t="s">
        <v>1239</v>
      </c>
      <c r="B77" s="2167"/>
      <c r="C77" s="1725">
        <f t="shared" ref="C77:K77" si="8">C44-C76</f>
        <v>407</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12456</v>
      </c>
      <c r="D78" s="1724">
        <f t="shared" si="9"/>
        <v>11857</v>
      </c>
      <c r="E78" s="1724">
        <f t="shared" si="9"/>
        <v>11641</v>
      </c>
      <c r="F78" s="1724">
        <f t="shared" si="9"/>
        <v>400669</v>
      </c>
      <c r="G78" s="1724">
        <f t="shared" si="9"/>
        <v>-47553</v>
      </c>
      <c r="H78" s="1724">
        <f t="shared" si="9"/>
        <v>706716</v>
      </c>
      <c r="I78" s="1724">
        <f t="shared" si="9"/>
        <v>17663</v>
      </c>
      <c r="J78" s="1724">
        <f t="shared" si="9"/>
        <v>3311</v>
      </c>
      <c r="K78" s="1724">
        <f t="shared" si="9"/>
        <v>173147</v>
      </c>
      <c r="L78" s="533"/>
    </row>
    <row r="79" spans="1:12" ht="13.5" thickTop="1" x14ac:dyDescent="0.2">
      <c r="A79" s="1516" t="s">
        <v>2070</v>
      </c>
      <c r="B79" s="534"/>
      <c r="C79" s="478">
        <v>2031811</v>
      </c>
      <c r="D79" s="535">
        <v>408968</v>
      </c>
      <c r="E79" s="535">
        <v>49241</v>
      </c>
      <c r="F79" s="535">
        <v>461047</v>
      </c>
      <c r="G79" s="535">
        <v>52989</v>
      </c>
      <c r="H79" s="535">
        <v>485</v>
      </c>
      <c r="I79" s="535">
        <v>6372375</v>
      </c>
      <c r="J79" s="535">
        <v>76526</v>
      </c>
      <c r="K79" s="535">
        <v>210721</v>
      </c>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2071</v>
      </c>
      <c r="B81" s="2139"/>
      <c r="C81" s="1710">
        <f>(SUM(C78:C80))</f>
        <v>2044267</v>
      </c>
      <c r="D81" s="1710">
        <f>SUM(D78:D80)</f>
        <v>420825</v>
      </c>
      <c r="E81" s="1710">
        <f t="shared" ref="E81:K81" si="10">SUM(E78:E80)</f>
        <v>60882</v>
      </c>
      <c r="F81" s="1710">
        <f t="shared" si="10"/>
        <v>861716</v>
      </c>
      <c r="G81" s="1710">
        <f t="shared" si="10"/>
        <v>5436</v>
      </c>
      <c r="H81" s="1710">
        <f t="shared" si="10"/>
        <v>707201</v>
      </c>
      <c r="I81" s="1710">
        <f t="shared" si="10"/>
        <v>6390038</v>
      </c>
      <c r="J81" s="1710">
        <f t="shared" si="10"/>
        <v>79837</v>
      </c>
      <c r="K81" s="1710">
        <f t="shared" si="10"/>
        <v>383868</v>
      </c>
      <c r="L81" s="347"/>
    </row>
    <row r="82" spans="1:12" ht="0.75" customHeight="1" thickTop="1" thickBot="1" x14ac:dyDescent="0.25">
      <c r="A82" s="536" t="s">
        <v>361</v>
      </c>
      <c r="B82" s="537"/>
      <c r="C82" s="538">
        <f>(C81-C79)</f>
        <v>12456</v>
      </c>
      <c r="D82" s="538">
        <f t="shared" ref="D82:K82" si="11">(D81-D79)</f>
        <v>11857</v>
      </c>
      <c r="E82" s="538">
        <f t="shared" si="11"/>
        <v>11641</v>
      </c>
      <c r="F82" s="538">
        <f t="shared" si="11"/>
        <v>400669</v>
      </c>
      <c r="G82" s="538">
        <f t="shared" si="11"/>
        <v>-47553</v>
      </c>
      <c r="H82" s="538">
        <f t="shared" si="11"/>
        <v>706716</v>
      </c>
      <c r="I82" s="538">
        <f t="shared" si="11"/>
        <v>17663</v>
      </c>
      <c r="J82" s="538">
        <f t="shared" si="11"/>
        <v>3311</v>
      </c>
      <c r="K82" s="538">
        <f t="shared" si="11"/>
        <v>173147</v>
      </c>
    </row>
    <row r="83" spans="1:12" ht="14.25" hidden="1" thickTop="1" thickBot="1" x14ac:dyDescent="0.25">
      <c r="A83" s="539" t="s">
        <v>362</v>
      </c>
      <c r="B83" s="464"/>
      <c r="C83" s="540">
        <f>C82/C81</f>
        <v>6.093137540252814E-3</v>
      </c>
      <c r="D83" s="540">
        <f t="shared" ref="D83:K83" si="12">D82/D81</f>
        <v>2.8175607437771043E-2</v>
      </c>
      <c r="E83" s="540">
        <f t="shared" si="12"/>
        <v>0.19120593935810257</v>
      </c>
      <c r="F83" s="540">
        <f t="shared" si="12"/>
        <v>0.46496641584930531</v>
      </c>
      <c r="G83" s="540">
        <f t="shared" si="12"/>
        <v>-8.7477924944812369</v>
      </c>
      <c r="H83" s="540">
        <f t="shared" si="12"/>
        <v>0.99931419780232211</v>
      </c>
      <c r="I83" s="540">
        <f t="shared" si="12"/>
        <v>2.7641463165007782E-3</v>
      </c>
      <c r="J83" s="540">
        <f t="shared" si="12"/>
        <v>4.1471999198366673E-2</v>
      </c>
      <c r="K83" s="540">
        <f t="shared" si="12"/>
        <v>0.45105869726051662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3" type="noConversion"/>
  <printOptions horizontalCentered="1" headings="1" gridLines="1"/>
  <pageMargins left="1" right="0.3" top="1" bottom="0.48" header="0.5" footer="0.3"/>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B57" sqref="B57:J6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9478975</v>
      </c>
      <c r="D5" s="481">
        <v>976876</v>
      </c>
      <c r="E5" s="466">
        <v>1280687</v>
      </c>
      <c r="F5" s="548">
        <v>586101</v>
      </c>
      <c r="G5" s="466">
        <v>268663</v>
      </c>
      <c r="H5" s="466"/>
      <c r="I5" s="466">
        <v>309</v>
      </c>
      <c r="J5" s="467">
        <v>293051</v>
      </c>
      <c r="K5" s="466">
        <v>170966</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175863</v>
      </c>
      <c r="D7" s="466"/>
      <c r="E7" s="468"/>
      <c r="F7" s="467"/>
      <c r="G7" s="467"/>
      <c r="H7" s="467"/>
      <c r="I7" s="468"/>
      <c r="J7" s="468"/>
      <c r="K7" s="468"/>
    </row>
    <row r="8" spans="1:12" x14ac:dyDescent="0.2">
      <c r="A8" s="463" t="s">
        <v>433</v>
      </c>
      <c r="B8" s="470">
        <v>1150</v>
      </c>
      <c r="C8" s="475"/>
      <c r="D8" s="475"/>
      <c r="E8" s="477"/>
      <c r="F8" s="477"/>
      <c r="G8" s="481">
        <v>219835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9654838</v>
      </c>
      <c r="D12" s="1729">
        <f t="shared" si="0"/>
        <v>976876</v>
      </c>
      <c r="E12" s="1729">
        <f t="shared" si="0"/>
        <v>1280687</v>
      </c>
      <c r="F12" s="1729">
        <f t="shared" si="0"/>
        <v>586101</v>
      </c>
      <c r="G12" s="1729">
        <f t="shared" si="0"/>
        <v>488498</v>
      </c>
      <c r="H12" s="1729">
        <f t="shared" si="0"/>
        <v>0</v>
      </c>
      <c r="I12" s="1729">
        <f t="shared" si="0"/>
        <v>309</v>
      </c>
      <c r="J12" s="1729">
        <f t="shared" si="0"/>
        <v>293051</v>
      </c>
      <c r="K12" s="1710">
        <f t="shared" si="0"/>
        <v>170966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13876</v>
      </c>
      <c r="D14" s="466">
        <v>1404</v>
      </c>
      <c r="E14" s="466">
        <v>1841</v>
      </c>
      <c r="F14" s="466">
        <v>842</v>
      </c>
      <c r="G14" s="466">
        <v>702</v>
      </c>
      <c r="H14" s="466"/>
      <c r="I14" s="466"/>
      <c r="J14" s="467">
        <v>421</v>
      </c>
      <c r="K14" s="466">
        <v>246</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108584</v>
      </c>
      <c r="E16" s="466"/>
      <c r="F16" s="466">
        <v>199876</v>
      </c>
      <c r="G16" s="466">
        <v>45000</v>
      </c>
      <c r="H16" s="466"/>
      <c r="I16" s="466"/>
      <c r="J16" s="467">
        <v>80000</v>
      </c>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13876</v>
      </c>
      <c r="D18" s="1732">
        <f t="shared" ref="D18:K18" si="1">SUM(D14:D17)</f>
        <v>109988</v>
      </c>
      <c r="E18" s="1732">
        <f t="shared" si="1"/>
        <v>1841</v>
      </c>
      <c r="F18" s="1732">
        <f t="shared" si="1"/>
        <v>200718</v>
      </c>
      <c r="G18" s="1732">
        <f t="shared" si="1"/>
        <v>45702</v>
      </c>
      <c r="H18" s="1732">
        <f t="shared" si="1"/>
        <v>0</v>
      </c>
      <c r="I18" s="1732">
        <f t="shared" si="1"/>
        <v>0</v>
      </c>
      <c r="J18" s="1732">
        <f t="shared" si="1"/>
        <v>80421</v>
      </c>
      <c r="K18" s="1733">
        <f t="shared" si="1"/>
        <v>246</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32870</v>
      </c>
      <c r="D65" s="466">
        <v>2659</v>
      </c>
      <c r="E65" s="466">
        <v>7322</v>
      </c>
      <c r="F65" s="467">
        <v>5129</v>
      </c>
      <c r="G65" s="466">
        <v>7368</v>
      </c>
      <c r="H65" s="466">
        <v>884</v>
      </c>
      <c r="I65" s="466">
        <v>17354</v>
      </c>
      <c r="J65" s="467">
        <v>1322</v>
      </c>
      <c r="K65" s="466">
        <v>1935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32870</v>
      </c>
      <c r="D67" s="1710">
        <f t="shared" ref="D67:K67" si="2">SUM(D65:D66)</f>
        <v>2659</v>
      </c>
      <c r="E67" s="1710">
        <f t="shared" si="2"/>
        <v>7322</v>
      </c>
      <c r="F67" s="1710">
        <f t="shared" si="2"/>
        <v>5129</v>
      </c>
      <c r="G67" s="1710">
        <f t="shared" si="2"/>
        <v>7368</v>
      </c>
      <c r="H67" s="1710">
        <f t="shared" si="2"/>
        <v>884</v>
      </c>
      <c r="I67" s="1710">
        <f t="shared" si="2"/>
        <v>17354</v>
      </c>
      <c r="J67" s="1710">
        <f t="shared" si="2"/>
        <v>1322</v>
      </c>
      <c r="K67" s="1710">
        <f t="shared" si="2"/>
        <v>1935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3936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3936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6170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81092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87262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670</v>
      </c>
      <c r="D95" s="551">
        <v>7335</v>
      </c>
      <c r="E95" s="521"/>
      <c r="F95" s="521"/>
      <c r="G95" s="521"/>
      <c r="H95" s="521"/>
      <c r="I95" s="521"/>
      <c r="J95" s="521"/>
      <c r="K95" s="521"/>
    </row>
    <row r="96" spans="1:11" ht="12.75" customHeight="1" x14ac:dyDescent="0.2">
      <c r="A96" s="463" t="s">
        <v>409</v>
      </c>
      <c r="B96" s="470">
        <v>1920</v>
      </c>
      <c r="C96" s="551">
        <v>2825</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16554</v>
      </c>
      <c r="D98" s="466"/>
      <c r="E98" s="512"/>
      <c r="F98" s="466"/>
      <c r="G98" s="512"/>
      <c r="H98" s="512"/>
      <c r="I98" s="510"/>
      <c r="J98" s="512"/>
      <c r="K98" s="512"/>
    </row>
    <row r="99" spans="1:12" ht="12.75" customHeight="1" x14ac:dyDescent="0.2">
      <c r="A99" s="463" t="s">
        <v>875</v>
      </c>
      <c r="B99" s="470">
        <v>1950</v>
      </c>
      <c r="C99" s="489">
        <v>98744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795732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50377</v>
      </c>
      <c r="D107" s="466"/>
      <c r="E107" s="466"/>
      <c r="F107" s="466"/>
      <c r="G107" s="466"/>
      <c r="H107" s="466"/>
      <c r="I107" s="466"/>
      <c r="J107" s="467"/>
      <c r="K107" s="466"/>
    </row>
    <row r="108" spans="1:12" ht="12.75" customHeight="1" thickBot="1" x14ac:dyDescent="0.25">
      <c r="A108" s="1730" t="s">
        <v>508</v>
      </c>
      <c r="B108" s="1734"/>
      <c r="C108" s="1729">
        <f>SUM(C95:C107)</f>
        <v>169170</v>
      </c>
      <c r="D108" s="1729">
        <f t="shared" ref="D108:K108" si="3">SUM(D95:D107)</f>
        <v>7335</v>
      </c>
      <c r="E108" s="1729">
        <f t="shared" si="3"/>
        <v>0</v>
      </c>
      <c r="F108" s="1729">
        <f t="shared" si="3"/>
        <v>0</v>
      </c>
      <c r="G108" s="1729">
        <f t="shared" si="3"/>
        <v>0</v>
      </c>
      <c r="H108" s="1729">
        <f t="shared" si="3"/>
        <v>795732</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9961952</v>
      </c>
      <c r="D109" s="1737">
        <f t="shared" si="4"/>
        <v>1096858</v>
      </c>
      <c r="E109" s="1737">
        <f t="shared" si="4"/>
        <v>1289850</v>
      </c>
      <c r="F109" s="1737">
        <f t="shared" si="4"/>
        <v>791948</v>
      </c>
      <c r="G109" s="1737">
        <f t="shared" si="4"/>
        <v>541568</v>
      </c>
      <c r="H109" s="1737">
        <f t="shared" si="4"/>
        <v>796616</v>
      </c>
      <c r="I109" s="1737">
        <f t="shared" si="4"/>
        <v>17663</v>
      </c>
      <c r="J109" s="1737">
        <f t="shared" si="4"/>
        <v>374794</v>
      </c>
      <c r="K109" s="1724">
        <f t="shared" si="4"/>
        <v>173147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10959</v>
      </c>
      <c r="D111" s="481"/>
      <c r="E111" s="561"/>
      <c r="F111" s="481"/>
      <c r="G111" s="481"/>
      <c r="H111" s="561"/>
      <c r="I111" s="468"/>
      <c r="J111" s="468"/>
      <c r="K111" s="468"/>
    </row>
    <row r="112" spans="1:12" ht="12.75" customHeight="1" x14ac:dyDescent="0.2">
      <c r="A112" s="463" t="s">
        <v>878</v>
      </c>
      <c r="B112" s="470">
        <v>2200</v>
      </c>
      <c r="C112" s="551">
        <v>200000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210959</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3217646</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3217646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3811</v>
      </c>
      <c r="D124" s="561"/>
      <c r="E124" s="468"/>
      <c r="F124" s="548"/>
      <c r="G124" s="468"/>
      <c r="H124" s="468"/>
      <c r="I124" s="468"/>
      <c r="J124" s="468"/>
      <c r="K124" s="468"/>
    </row>
    <row r="125" spans="1:11" ht="12.75" customHeight="1" x14ac:dyDescent="0.2">
      <c r="A125" s="463" t="s">
        <v>1521</v>
      </c>
      <c r="B125" s="562">
        <v>3105</v>
      </c>
      <c r="C125" s="466">
        <v>103102</v>
      </c>
      <c r="D125" s="561"/>
      <c r="E125" s="468"/>
      <c r="F125" s="466"/>
      <c r="G125" s="468"/>
      <c r="H125" s="468"/>
      <c r="I125" s="468"/>
      <c r="J125" s="468"/>
      <c r="K125" s="468"/>
    </row>
    <row r="126" spans="1:11" ht="12.75" customHeight="1" x14ac:dyDescent="0.2">
      <c r="A126" s="463" t="s">
        <v>922</v>
      </c>
      <c r="B126" s="562">
        <v>3110</v>
      </c>
      <c r="C126" s="551">
        <v>128329</v>
      </c>
      <c r="D126" s="466"/>
      <c r="E126" s="468"/>
      <c r="F126" s="466"/>
      <c r="G126" s="468"/>
      <c r="H126" s="468"/>
      <c r="I126" s="468"/>
      <c r="J126" s="468"/>
      <c r="K126" s="468"/>
    </row>
    <row r="127" spans="1:11" ht="12.75" customHeight="1" x14ac:dyDescent="0.2">
      <c r="A127" s="463" t="s">
        <v>107</v>
      </c>
      <c r="B127" s="562">
        <v>3120</v>
      </c>
      <c r="C127" s="466">
        <v>51641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715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287598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73153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73153</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12658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623531</v>
      </c>
      <c r="G151" s="467"/>
      <c r="H151" s="468"/>
      <c r="I151" s="468"/>
      <c r="J151" s="468"/>
      <c r="K151" s="468"/>
    </row>
    <row r="152" spans="1:11" ht="12.75" customHeight="1" x14ac:dyDescent="0.2">
      <c r="A152" s="463" t="s">
        <v>1117</v>
      </c>
      <c r="B152" s="562">
        <v>3510</v>
      </c>
      <c r="C152" s="551"/>
      <c r="D152" s="466"/>
      <c r="E152" s="561"/>
      <c r="F152" s="466">
        <v>227780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851311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754742</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1895</v>
      </c>
      <c r="D171" s="580"/>
      <c r="E171" s="580"/>
      <c r="F171" s="580"/>
      <c r="G171" s="581"/>
      <c r="H171" s="582"/>
      <c r="I171" s="581"/>
      <c r="J171" s="581"/>
      <c r="K171" s="582"/>
    </row>
    <row r="172" spans="1:11" ht="12.75" customHeight="1" thickTop="1" thickBot="1" x14ac:dyDescent="0.25">
      <c r="A172" s="2168" t="s">
        <v>418</v>
      </c>
      <c r="B172" s="2169"/>
      <c r="C172" s="1744">
        <f t="shared" ref="C172:K172" si="6">SUM(C131,C140,C144,C145:C149,C154,C155:C170,C171)</f>
        <v>1130046</v>
      </c>
      <c r="D172" s="1744">
        <f t="shared" si="6"/>
        <v>0</v>
      </c>
      <c r="E172" s="1744">
        <f t="shared" si="6"/>
        <v>0</v>
      </c>
      <c r="F172" s="1744">
        <f t="shared" si="6"/>
        <v>851311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4347692</v>
      </c>
      <c r="D173" s="1737">
        <f>SUM(D121,D172)</f>
        <v>0</v>
      </c>
      <c r="E173" s="1737">
        <f>SUM(E121,E172)</f>
        <v>0</v>
      </c>
      <c r="F173" s="1737">
        <f t="shared" ref="F173:K173" si="7">SUM(F121,F172)</f>
        <v>851311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6" t="s">
        <v>818</v>
      </c>
      <c r="B184" s="217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1903</v>
      </c>
      <c r="B185" s="217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605697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194266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11328</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811291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1019985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1019985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8974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8974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19756</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146213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74063</v>
      </c>
      <c r="D270" s="576"/>
      <c r="E270" s="468"/>
      <c r="F270" s="576"/>
      <c r="G270" s="576"/>
      <c r="H270" s="468"/>
      <c r="I270" s="468"/>
      <c r="J270" s="468"/>
      <c r="K270" s="468"/>
    </row>
    <row r="271" spans="1:11" ht="12.75" customHeight="1" thickTop="1" thickBot="1" x14ac:dyDescent="0.25">
      <c r="A271" s="463" t="s">
        <v>395</v>
      </c>
      <c r="B271" s="470">
        <v>4992</v>
      </c>
      <c r="C271" s="575">
        <v>105758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2186040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2186040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16706643</v>
      </c>
      <c r="D275" s="1737">
        <f t="shared" si="12"/>
        <v>1096858</v>
      </c>
      <c r="E275" s="1737">
        <f t="shared" si="12"/>
        <v>1289850</v>
      </c>
      <c r="F275" s="1737">
        <f t="shared" si="12"/>
        <v>1643259</v>
      </c>
      <c r="G275" s="1737">
        <f t="shared" si="12"/>
        <v>541568</v>
      </c>
      <c r="H275" s="1737">
        <f t="shared" si="12"/>
        <v>796616</v>
      </c>
      <c r="I275" s="1737">
        <f t="shared" si="12"/>
        <v>17663</v>
      </c>
      <c r="J275" s="1737">
        <f t="shared" si="12"/>
        <v>374794</v>
      </c>
      <c r="K275" s="1724">
        <f t="shared" si="12"/>
        <v>173147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1" right="0.3" top="1" bottom="0.46" header="0.5" footer="0.3"/>
  <pageSetup scale="65"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B57" sqref="B57:J67"/>
      <selection pane="bottomLeft" activeCell="B57" sqref="B57:J6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5252221</v>
      </c>
      <c r="D5" s="466">
        <v>1079679</v>
      </c>
      <c r="E5" s="466">
        <v>108366</v>
      </c>
      <c r="F5" s="466">
        <v>8418</v>
      </c>
      <c r="G5" s="466">
        <v>5581</v>
      </c>
      <c r="H5" s="466">
        <v>1739</v>
      </c>
      <c r="I5" s="467"/>
      <c r="J5" s="467"/>
      <c r="K5" s="1693">
        <f>SUM(C5:J5)</f>
        <v>6456004</v>
      </c>
      <c r="L5" s="466">
        <v>6484515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319212</v>
      </c>
      <c r="D7" s="467">
        <v>77076</v>
      </c>
      <c r="E7" s="467">
        <v>6615</v>
      </c>
      <c r="F7" s="467">
        <v>4393</v>
      </c>
      <c r="G7" s="467"/>
      <c r="H7" s="467"/>
      <c r="I7" s="467"/>
      <c r="J7" s="467"/>
      <c r="K7" s="1693">
        <f t="shared" ref="K7:K32" si="0">SUM(C7:J7)</f>
        <v>407296</v>
      </c>
      <c r="L7" s="466">
        <v>419737</v>
      </c>
    </row>
    <row r="8" spans="1:14" x14ac:dyDescent="0.2">
      <c r="A8" s="1526" t="s">
        <v>166</v>
      </c>
      <c r="B8" s="615">
        <v>1200</v>
      </c>
      <c r="C8" s="466">
        <v>1422828</v>
      </c>
      <c r="D8" s="466">
        <v>307918</v>
      </c>
      <c r="E8" s="466">
        <v>39721</v>
      </c>
      <c r="F8" s="466">
        <v>10636</v>
      </c>
      <c r="G8" s="466"/>
      <c r="H8" s="466"/>
      <c r="I8" s="467"/>
      <c r="J8" s="467"/>
      <c r="K8" s="1693">
        <f t="shared" si="0"/>
        <v>1781103</v>
      </c>
      <c r="L8" s="466">
        <v>1796261</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536667</v>
      </c>
      <c r="D10" s="466">
        <v>113909</v>
      </c>
      <c r="E10" s="466">
        <v>63737</v>
      </c>
      <c r="F10" s="466">
        <v>284974</v>
      </c>
      <c r="G10" s="466">
        <v>80054</v>
      </c>
      <c r="H10" s="466">
        <v>7293</v>
      </c>
      <c r="I10" s="467"/>
      <c r="J10" s="467"/>
      <c r="K10" s="1693">
        <f t="shared" si="0"/>
        <v>1086634</v>
      </c>
      <c r="L10" s="466">
        <v>1094450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70557</v>
      </c>
      <c r="D14" s="466">
        <v>10839</v>
      </c>
      <c r="E14" s="466">
        <v>13516</v>
      </c>
      <c r="F14" s="466">
        <v>7944</v>
      </c>
      <c r="G14" s="466">
        <v>880</v>
      </c>
      <c r="H14" s="466">
        <v>1553</v>
      </c>
      <c r="I14" s="467"/>
      <c r="J14" s="467"/>
      <c r="K14" s="1693">
        <f t="shared" si="0"/>
        <v>105289</v>
      </c>
      <c r="L14" s="466">
        <v>121347</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v>216293</v>
      </c>
      <c r="D16" s="466">
        <v>46181</v>
      </c>
      <c r="E16" s="466">
        <v>304</v>
      </c>
      <c r="F16" s="466"/>
      <c r="G16" s="466"/>
      <c r="H16" s="466">
        <v>96</v>
      </c>
      <c r="I16" s="467"/>
      <c r="J16" s="467"/>
      <c r="K16" s="1693">
        <f t="shared" si="0"/>
        <v>262874</v>
      </c>
      <c r="L16" s="466">
        <v>268954</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849374</v>
      </c>
      <c r="D18" s="466">
        <v>162743</v>
      </c>
      <c r="E18" s="466">
        <v>872</v>
      </c>
      <c r="F18" s="466">
        <v>118</v>
      </c>
      <c r="G18" s="466"/>
      <c r="H18" s="466"/>
      <c r="I18" s="467"/>
      <c r="J18" s="467"/>
      <c r="K18" s="1693">
        <f t="shared" si="0"/>
        <v>1013107</v>
      </c>
      <c r="L18" s="466">
        <v>1021548</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8667152</v>
      </c>
      <c r="D33" s="1692">
        <f t="shared" ref="D33:L33" si="1">SUM(D5:D32)</f>
        <v>1798345</v>
      </c>
      <c r="E33" s="1692">
        <f t="shared" si="1"/>
        <v>233131</v>
      </c>
      <c r="F33" s="1692">
        <f t="shared" si="1"/>
        <v>316483</v>
      </c>
      <c r="G33" s="1692">
        <f t="shared" si="1"/>
        <v>86515</v>
      </c>
      <c r="H33" s="1692">
        <f t="shared" si="1"/>
        <v>10681</v>
      </c>
      <c r="I33" s="1692">
        <f t="shared" si="1"/>
        <v>0</v>
      </c>
      <c r="J33" s="1692">
        <f t="shared" si="1"/>
        <v>0</v>
      </c>
      <c r="K33" s="1692">
        <f t="shared" si="1"/>
        <v>11112307</v>
      </c>
      <c r="L33" s="1692">
        <f t="shared" si="1"/>
        <v>11206812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253385</v>
      </c>
      <c r="D36" s="481">
        <v>50983</v>
      </c>
      <c r="E36" s="481">
        <v>400</v>
      </c>
      <c r="F36" s="481"/>
      <c r="G36" s="481"/>
      <c r="H36" s="481"/>
      <c r="I36" s="467"/>
      <c r="J36" s="467"/>
      <c r="K36" s="1693">
        <f t="shared" ref="K36:K41" si="2">SUM(C36:J36)</f>
        <v>304768</v>
      </c>
      <c r="L36" s="466">
        <v>299049</v>
      </c>
    </row>
    <row r="37" spans="1:14" x14ac:dyDescent="0.2">
      <c r="A37" s="1526" t="s">
        <v>1151</v>
      </c>
      <c r="B37" s="615">
        <v>2120</v>
      </c>
      <c r="C37" s="466">
        <v>140679</v>
      </c>
      <c r="D37" s="466">
        <v>35424</v>
      </c>
      <c r="E37" s="466"/>
      <c r="F37" s="466"/>
      <c r="G37" s="466"/>
      <c r="H37" s="466">
        <v>11</v>
      </c>
      <c r="I37" s="467"/>
      <c r="J37" s="467"/>
      <c r="K37" s="1693">
        <f t="shared" si="2"/>
        <v>176114</v>
      </c>
      <c r="L37" s="466">
        <v>180271</v>
      </c>
    </row>
    <row r="38" spans="1:14" x14ac:dyDescent="0.2">
      <c r="A38" s="1526" t="s">
        <v>207</v>
      </c>
      <c r="B38" s="615">
        <v>2130</v>
      </c>
      <c r="C38" s="466">
        <v>130757</v>
      </c>
      <c r="D38" s="466">
        <v>15943</v>
      </c>
      <c r="E38" s="466">
        <v>437</v>
      </c>
      <c r="F38" s="466">
        <v>3837</v>
      </c>
      <c r="G38" s="466"/>
      <c r="H38" s="466"/>
      <c r="I38" s="467"/>
      <c r="J38" s="467"/>
      <c r="K38" s="1693">
        <f t="shared" si="2"/>
        <v>150974</v>
      </c>
      <c r="L38" s="466">
        <v>140014</v>
      </c>
    </row>
    <row r="39" spans="1:14" x14ac:dyDescent="0.2">
      <c r="A39" s="1526" t="s">
        <v>208</v>
      </c>
      <c r="B39" s="615">
        <v>2140</v>
      </c>
      <c r="C39" s="466">
        <v>44720</v>
      </c>
      <c r="D39" s="466">
        <v>14083</v>
      </c>
      <c r="E39" s="466">
        <v>157</v>
      </c>
      <c r="F39" s="466">
        <v>511</v>
      </c>
      <c r="G39" s="466">
        <v>2608</v>
      </c>
      <c r="H39" s="466"/>
      <c r="I39" s="467"/>
      <c r="J39" s="467"/>
      <c r="K39" s="1693">
        <f t="shared" si="2"/>
        <v>62079</v>
      </c>
      <c r="L39" s="466">
        <v>58900</v>
      </c>
    </row>
    <row r="40" spans="1:14" x14ac:dyDescent="0.2">
      <c r="A40" s="1526" t="s">
        <v>209</v>
      </c>
      <c r="B40" s="615">
        <v>2150</v>
      </c>
      <c r="C40" s="466">
        <v>283052</v>
      </c>
      <c r="D40" s="466">
        <v>54589</v>
      </c>
      <c r="E40" s="466"/>
      <c r="F40" s="466"/>
      <c r="G40" s="466"/>
      <c r="H40" s="466"/>
      <c r="I40" s="467"/>
      <c r="J40" s="467"/>
      <c r="K40" s="1693">
        <f t="shared" si="2"/>
        <v>337641</v>
      </c>
      <c r="L40" s="466">
        <v>326809</v>
      </c>
    </row>
    <row r="41" spans="1:14" x14ac:dyDescent="0.2">
      <c r="A41" s="1526" t="s">
        <v>1768</v>
      </c>
      <c r="B41" s="615">
        <v>2190</v>
      </c>
      <c r="C41" s="466">
        <v>50380</v>
      </c>
      <c r="D41" s="466">
        <v>6827</v>
      </c>
      <c r="E41" s="466"/>
      <c r="F41" s="466">
        <v>9554</v>
      </c>
      <c r="G41" s="466"/>
      <c r="H41" s="466"/>
      <c r="I41" s="467"/>
      <c r="J41" s="467"/>
      <c r="K41" s="1693">
        <f t="shared" si="2"/>
        <v>66761</v>
      </c>
      <c r="L41" s="466">
        <v>67151</v>
      </c>
    </row>
    <row r="42" spans="1:14" ht="12.75" customHeight="1" thickBot="1" x14ac:dyDescent="0.25">
      <c r="A42" s="1690" t="s">
        <v>581</v>
      </c>
      <c r="B42" s="1691" t="s">
        <v>740</v>
      </c>
      <c r="C42" s="1692">
        <f>SUM(C36:C41)</f>
        <v>902973</v>
      </c>
      <c r="D42" s="1692">
        <f t="shared" ref="D42:L42" si="3">SUM(D36:D41)</f>
        <v>177849</v>
      </c>
      <c r="E42" s="1692">
        <f t="shared" si="3"/>
        <v>994</v>
      </c>
      <c r="F42" s="1692">
        <f t="shared" si="3"/>
        <v>13902</v>
      </c>
      <c r="G42" s="1692">
        <f t="shared" si="3"/>
        <v>2608</v>
      </c>
      <c r="H42" s="1692">
        <f t="shared" si="3"/>
        <v>11</v>
      </c>
      <c r="I42" s="1692">
        <f t="shared" si="3"/>
        <v>0</v>
      </c>
      <c r="J42" s="1692">
        <f t="shared" si="3"/>
        <v>0</v>
      </c>
      <c r="K42" s="1692">
        <f t="shared" si="3"/>
        <v>1098337</v>
      </c>
      <c r="L42" s="1692">
        <f t="shared" si="3"/>
        <v>1072194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418396</v>
      </c>
      <c r="D44" s="481">
        <v>92167</v>
      </c>
      <c r="E44" s="481">
        <v>109762</v>
      </c>
      <c r="F44" s="481">
        <v>5078</v>
      </c>
      <c r="G44" s="481">
        <v>53878</v>
      </c>
      <c r="H44" s="481">
        <v>534</v>
      </c>
      <c r="I44" s="467"/>
      <c r="J44" s="467"/>
      <c r="K44" s="1694">
        <f>SUM(C44:J44)</f>
        <v>679815</v>
      </c>
      <c r="L44" s="481">
        <v>739075</v>
      </c>
    </row>
    <row r="45" spans="1:14" x14ac:dyDescent="0.2">
      <c r="A45" s="1526" t="s">
        <v>869</v>
      </c>
      <c r="B45" s="615">
        <v>2220</v>
      </c>
      <c r="C45" s="466">
        <v>185462</v>
      </c>
      <c r="D45" s="466">
        <v>27638</v>
      </c>
      <c r="E45" s="466">
        <v>95773</v>
      </c>
      <c r="F45" s="466">
        <v>2573</v>
      </c>
      <c r="G45" s="466">
        <v>119894</v>
      </c>
      <c r="H45" s="466">
        <v>1336</v>
      </c>
      <c r="I45" s="467"/>
      <c r="J45" s="467"/>
      <c r="K45" s="1694">
        <f>SUM(C45:J45)</f>
        <v>432676</v>
      </c>
      <c r="L45" s="466">
        <v>443497</v>
      </c>
    </row>
    <row r="46" spans="1:14" x14ac:dyDescent="0.2">
      <c r="A46" s="1526" t="s">
        <v>870</v>
      </c>
      <c r="B46" s="615">
        <v>2230</v>
      </c>
      <c r="C46" s="466"/>
      <c r="D46" s="466"/>
      <c r="E46" s="466"/>
      <c r="F46" s="466"/>
      <c r="G46" s="466"/>
      <c r="H46" s="466"/>
      <c r="I46" s="467"/>
      <c r="J46" s="467"/>
      <c r="K46" s="1694">
        <f>SUM(C46:J46)</f>
        <v>0</v>
      </c>
      <c r="L46" s="466">
        <v>32488</v>
      </c>
    </row>
    <row r="47" spans="1:14" ht="12.75" customHeight="1" thickBot="1" x14ac:dyDescent="0.25">
      <c r="A47" s="1690" t="s">
        <v>582</v>
      </c>
      <c r="B47" s="1691" t="s">
        <v>32</v>
      </c>
      <c r="C47" s="1692">
        <f>SUM(C44:C46)</f>
        <v>603858</v>
      </c>
      <c r="D47" s="1692">
        <f t="shared" ref="D47:K47" si="4">SUM(D44:D46)</f>
        <v>119805</v>
      </c>
      <c r="E47" s="1692">
        <f t="shared" si="4"/>
        <v>205535</v>
      </c>
      <c r="F47" s="1692">
        <f t="shared" si="4"/>
        <v>7651</v>
      </c>
      <c r="G47" s="1692">
        <f t="shared" si="4"/>
        <v>173772</v>
      </c>
      <c r="H47" s="1692">
        <f t="shared" si="4"/>
        <v>1870</v>
      </c>
      <c r="I47" s="1692">
        <f t="shared" si="4"/>
        <v>0</v>
      </c>
      <c r="J47" s="1692">
        <f t="shared" si="4"/>
        <v>0</v>
      </c>
      <c r="K47" s="1692">
        <f t="shared" si="4"/>
        <v>1112491</v>
      </c>
      <c r="L47" s="1692">
        <f>SUM(L44:L46)</f>
        <v>1215060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25332</v>
      </c>
      <c r="D49" s="481">
        <v>732</v>
      </c>
      <c r="E49" s="481">
        <v>64395</v>
      </c>
      <c r="F49" s="481">
        <v>8056</v>
      </c>
      <c r="G49" s="481"/>
      <c r="H49" s="481">
        <v>11360</v>
      </c>
      <c r="I49" s="467"/>
      <c r="J49" s="467"/>
      <c r="K49" s="1694">
        <f>SUM(C49:J49)</f>
        <v>109875</v>
      </c>
      <c r="L49" s="481">
        <v>86836</v>
      </c>
    </row>
    <row r="50" spans="1:14" x14ac:dyDescent="0.2">
      <c r="A50" s="1526" t="s">
        <v>872</v>
      </c>
      <c r="B50" s="615">
        <v>2320</v>
      </c>
      <c r="C50" s="466">
        <v>100605</v>
      </c>
      <c r="D50" s="466">
        <v>5278</v>
      </c>
      <c r="E50" s="466">
        <v>283</v>
      </c>
      <c r="F50" s="466">
        <v>3505</v>
      </c>
      <c r="G50" s="466">
        <v>1886</v>
      </c>
      <c r="H50" s="466">
        <v>524</v>
      </c>
      <c r="I50" s="467"/>
      <c r="J50" s="467"/>
      <c r="K50" s="1694">
        <f>SUM(C50:J50)</f>
        <v>112081</v>
      </c>
      <c r="L50" s="466">
        <v>116201</v>
      </c>
    </row>
    <row r="51" spans="1:14" x14ac:dyDescent="0.2">
      <c r="A51" s="1526" t="s">
        <v>44</v>
      </c>
      <c r="B51" s="615">
        <v>2330</v>
      </c>
      <c r="C51" s="466">
        <v>141156</v>
      </c>
      <c r="D51" s="466">
        <v>30297</v>
      </c>
      <c r="E51" s="466">
        <v>2395</v>
      </c>
      <c r="F51" s="466">
        <v>884</v>
      </c>
      <c r="G51" s="466">
        <v>1840</v>
      </c>
      <c r="H51" s="466">
        <v>130</v>
      </c>
      <c r="I51" s="467"/>
      <c r="J51" s="467"/>
      <c r="K51" s="1694">
        <f>SUM(C51:J51)</f>
        <v>176702</v>
      </c>
      <c r="L51" s="466">
        <v>178589</v>
      </c>
    </row>
    <row r="52" spans="1:14" ht="22.5" x14ac:dyDescent="0.2">
      <c r="A52" s="1527" t="s">
        <v>316</v>
      </c>
      <c r="B52" s="628" t="s">
        <v>384</v>
      </c>
      <c r="C52" s="474"/>
      <c r="D52" s="474"/>
      <c r="E52" s="474"/>
      <c r="F52" s="474"/>
      <c r="G52" s="474"/>
      <c r="H52" s="474"/>
      <c r="I52" s="474"/>
      <c r="J52" s="474"/>
      <c r="K52" s="1694">
        <f>SUM(C52:J52)</f>
        <v>0</v>
      </c>
      <c r="L52" s="474">
        <v>7100</v>
      </c>
    </row>
    <row r="53" spans="1:14" ht="12.75" customHeight="1" thickBot="1" x14ac:dyDescent="0.25">
      <c r="A53" s="1690" t="s">
        <v>741</v>
      </c>
      <c r="B53" s="1691" t="s">
        <v>33</v>
      </c>
      <c r="C53" s="1692">
        <f>SUM(C49:C52)</f>
        <v>267093</v>
      </c>
      <c r="D53" s="1692">
        <f t="shared" ref="D53:L53" si="5">SUM(D49:D52)</f>
        <v>36307</v>
      </c>
      <c r="E53" s="1692">
        <f t="shared" si="5"/>
        <v>67073</v>
      </c>
      <c r="F53" s="1692">
        <f t="shared" si="5"/>
        <v>12445</v>
      </c>
      <c r="G53" s="1692">
        <f t="shared" si="5"/>
        <v>3726</v>
      </c>
      <c r="H53" s="1692">
        <f t="shared" si="5"/>
        <v>12014</v>
      </c>
      <c r="I53" s="1692">
        <f t="shared" si="5"/>
        <v>0</v>
      </c>
      <c r="J53" s="1692">
        <f t="shared" si="5"/>
        <v>0</v>
      </c>
      <c r="K53" s="1692">
        <f t="shared" si="5"/>
        <v>398658</v>
      </c>
      <c r="L53" s="1692">
        <f t="shared" si="5"/>
        <v>388726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790253</v>
      </c>
      <c r="D55" s="481">
        <v>131631</v>
      </c>
      <c r="E55" s="481">
        <v>57427</v>
      </c>
      <c r="F55" s="481">
        <v>24057</v>
      </c>
      <c r="G55" s="481">
        <v>599</v>
      </c>
      <c r="H55" s="481">
        <v>2299</v>
      </c>
      <c r="I55" s="467"/>
      <c r="J55" s="467"/>
      <c r="K55" s="1694">
        <f>SUM(C55:J55)</f>
        <v>1006266</v>
      </c>
      <c r="L55" s="481">
        <v>1024719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790253</v>
      </c>
      <c r="D57" s="1696">
        <f t="shared" ref="D57:K57" si="6">SUM(D55:D56)</f>
        <v>131631</v>
      </c>
      <c r="E57" s="1696">
        <f t="shared" si="6"/>
        <v>57427</v>
      </c>
      <c r="F57" s="1696">
        <f t="shared" si="6"/>
        <v>24057</v>
      </c>
      <c r="G57" s="1696">
        <f t="shared" si="6"/>
        <v>599</v>
      </c>
      <c r="H57" s="1696">
        <f t="shared" si="6"/>
        <v>2299</v>
      </c>
      <c r="I57" s="1696">
        <f t="shared" si="6"/>
        <v>0</v>
      </c>
      <c r="J57" s="1696">
        <f t="shared" si="6"/>
        <v>0</v>
      </c>
      <c r="K57" s="1696">
        <f t="shared" si="6"/>
        <v>1006266</v>
      </c>
      <c r="L57" s="1692">
        <f>SUM(L55:L56)</f>
        <v>1024719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63025</v>
      </c>
      <c r="D59" s="481">
        <v>5305</v>
      </c>
      <c r="E59" s="481">
        <v>5872</v>
      </c>
      <c r="F59" s="481">
        <v>315</v>
      </c>
      <c r="G59" s="481"/>
      <c r="H59" s="481">
        <v>1413</v>
      </c>
      <c r="I59" s="467"/>
      <c r="J59" s="467"/>
      <c r="K59" s="1694">
        <f t="shared" ref="K59:K64" si="7">SUM(C59:J59)</f>
        <v>75930</v>
      </c>
      <c r="L59" s="481">
        <v>85166</v>
      </c>
      <c r="M59" s="610"/>
      <c r="N59" s="610"/>
    </row>
    <row r="60" spans="1:14" s="343" customFormat="1" x14ac:dyDescent="0.2">
      <c r="A60" s="1526" t="s">
        <v>483</v>
      </c>
      <c r="B60" s="615">
        <v>2520</v>
      </c>
      <c r="C60" s="466">
        <v>108068</v>
      </c>
      <c r="D60" s="466">
        <v>30</v>
      </c>
      <c r="E60" s="466">
        <v>35661</v>
      </c>
      <c r="F60" s="466">
        <v>881</v>
      </c>
      <c r="G60" s="466"/>
      <c r="H60" s="466">
        <v>144</v>
      </c>
      <c r="I60" s="467"/>
      <c r="J60" s="467"/>
      <c r="K60" s="1694">
        <f t="shared" si="7"/>
        <v>144784</v>
      </c>
      <c r="L60" s="466">
        <v>145320</v>
      </c>
      <c r="M60" s="610"/>
      <c r="N60" s="610"/>
    </row>
    <row r="61" spans="1:14" s="343" customFormat="1" x14ac:dyDescent="0.2">
      <c r="A61" s="1526" t="s">
        <v>206</v>
      </c>
      <c r="B61" s="615">
        <v>2540</v>
      </c>
      <c r="C61" s="466"/>
      <c r="D61" s="466"/>
      <c r="E61" s="466"/>
      <c r="F61" s="466"/>
      <c r="G61" s="466">
        <v>9900</v>
      </c>
      <c r="H61" s="466"/>
      <c r="I61" s="467"/>
      <c r="J61" s="467"/>
      <c r="K61" s="1694">
        <f t="shared" si="7"/>
        <v>9900</v>
      </c>
      <c r="L61" s="466">
        <v>500</v>
      </c>
      <c r="M61" s="610"/>
      <c r="N61" s="610"/>
    </row>
    <row r="62" spans="1:14" s="343" customFormat="1" x14ac:dyDescent="0.2">
      <c r="A62" s="1526" t="s">
        <v>1010</v>
      </c>
      <c r="B62" s="615">
        <v>2550</v>
      </c>
      <c r="C62" s="466"/>
      <c r="D62" s="466"/>
      <c r="E62" s="466">
        <v>152991</v>
      </c>
      <c r="F62" s="466"/>
      <c r="G62" s="466"/>
      <c r="H62" s="466"/>
      <c r="I62" s="467"/>
      <c r="J62" s="467"/>
      <c r="K62" s="1694">
        <f t="shared" si="7"/>
        <v>152991</v>
      </c>
      <c r="L62" s="466">
        <v>125135</v>
      </c>
      <c r="M62" s="610"/>
      <c r="N62" s="610"/>
    </row>
    <row r="63" spans="1:14" s="610" customFormat="1" x14ac:dyDescent="0.2">
      <c r="A63" s="1526" t="s">
        <v>102</v>
      </c>
      <c r="B63" s="615">
        <v>2560</v>
      </c>
      <c r="C63" s="466">
        <v>230631</v>
      </c>
      <c r="D63" s="466">
        <v>26547</v>
      </c>
      <c r="E63" s="466">
        <v>79910</v>
      </c>
      <c r="F63" s="466">
        <v>367777</v>
      </c>
      <c r="G63" s="466">
        <v>2841</v>
      </c>
      <c r="H63" s="466">
        <v>398</v>
      </c>
      <c r="I63" s="467"/>
      <c r="J63" s="467"/>
      <c r="K63" s="1694">
        <f t="shared" si="7"/>
        <v>708104</v>
      </c>
      <c r="L63" s="466">
        <v>679297</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401724</v>
      </c>
      <c r="D65" s="1692">
        <f t="shared" ref="D65:L65" si="8">SUM(D59:D64)</f>
        <v>31882</v>
      </c>
      <c r="E65" s="1692">
        <f t="shared" si="8"/>
        <v>274434</v>
      </c>
      <c r="F65" s="1692">
        <f t="shared" si="8"/>
        <v>368973</v>
      </c>
      <c r="G65" s="1692">
        <f t="shared" si="8"/>
        <v>12741</v>
      </c>
      <c r="H65" s="1692">
        <f t="shared" si="8"/>
        <v>1955</v>
      </c>
      <c r="I65" s="1692">
        <f t="shared" si="8"/>
        <v>0</v>
      </c>
      <c r="J65" s="1692">
        <f t="shared" si="8"/>
        <v>0</v>
      </c>
      <c r="K65" s="1692">
        <f t="shared" si="8"/>
        <v>1091709</v>
      </c>
      <c r="L65" s="1692">
        <f t="shared" si="8"/>
        <v>1035418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v>588</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17142</v>
      </c>
      <c r="F71" s="466"/>
      <c r="G71" s="466"/>
      <c r="H71" s="466"/>
      <c r="I71" s="467"/>
      <c r="J71" s="467"/>
      <c r="K71" s="1694">
        <f>SUM(C71:J71)</f>
        <v>17142</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17142</v>
      </c>
      <c r="F72" s="1692">
        <f t="shared" si="9"/>
        <v>0</v>
      </c>
      <c r="G72" s="1692">
        <f t="shared" si="9"/>
        <v>0</v>
      </c>
      <c r="H72" s="1692">
        <f t="shared" si="9"/>
        <v>0</v>
      </c>
      <c r="I72" s="1692">
        <f t="shared" si="9"/>
        <v>0</v>
      </c>
      <c r="J72" s="1692">
        <f t="shared" si="9"/>
        <v>0</v>
      </c>
      <c r="K72" s="1692">
        <f t="shared" si="9"/>
        <v>17142</v>
      </c>
      <c r="L72" s="1692">
        <f>SUM(L67:L71)</f>
        <v>588</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2965901</v>
      </c>
      <c r="D74" s="1699">
        <f t="shared" ref="D74:K74" si="10">SUM(D42,D47,D53,D57,D65,D72,D73)</f>
        <v>497474</v>
      </c>
      <c r="E74" s="1699">
        <f t="shared" si="10"/>
        <v>622605</v>
      </c>
      <c r="F74" s="1699">
        <f t="shared" si="10"/>
        <v>427028</v>
      </c>
      <c r="G74" s="1699">
        <f t="shared" si="10"/>
        <v>193446</v>
      </c>
      <c r="H74" s="1699">
        <f t="shared" si="10"/>
        <v>18149</v>
      </c>
      <c r="I74" s="1699">
        <f t="shared" si="10"/>
        <v>0</v>
      </c>
      <c r="J74" s="1699">
        <f t="shared" si="10"/>
        <v>0</v>
      </c>
      <c r="K74" s="1699">
        <f t="shared" si="10"/>
        <v>4724603</v>
      </c>
      <c r="L74" s="1699">
        <f>SUM(L42,L47,L53,L57,L65,L72,L73)</f>
        <v>4736705</v>
      </c>
    </row>
    <row r="75" spans="1:14" s="259" customFormat="1" ht="15.75" customHeight="1" thickTop="1" thickBot="1" x14ac:dyDescent="0.25">
      <c r="A75" s="1632" t="s">
        <v>49</v>
      </c>
      <c r="B75" s="1633" t="s">
        <v>596</v>
      </c>
      <c r="C75" s="573">
        <v>114490</v>
      </c>
      <c r="D75" s="573">
        <v>19899</v>
      </c>
      <c r="E75" s="573">
        <v>5755</v>
      </c>
      <c r="F75" s="573">
        <v>46955</v>
      </c>
      <c r="G75" s="573">
        <v>21342</v>
      </c>
      <c r="H75" s="573"/>
      <c r="I75" s="531"/>
      <c r="J75" s="531"/>
      <c r="K75" s="1692">
        <f>SUM(C75:J75)</f>
        <v>208441</v>
      </c>
      <c r="L75" s="576">
        <v>186934</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4412</v>
      </c>
      <c r="F78" s="617"/>
      <c r="G78" s="617"/>
      <c r="H78" s="635">
        <v>3936</v>
      </c>
      <c r="I78" s="477"/>
      <c r="J78" s="477"/>
      <c r="K78" s="1693">
        <f t="shared" ref="K78:K83" si="11">SUM(C78:J78)</f>
        <v>8348</v>
      </c>
      <c r="L78" s="481">
        <v>7200</v>
      </c>
    </row>
    <row r="79" spans="1:14" x14ac:dyDescent="0.2">
      <c r="A79" s="1526" t="s">
        <v>322</v>
      </c>
      <c r="B79" s="615">
        <v>4120</v>
      </c>
      <c r="C79" s="617"/>
      <c r="D79" s="617"/>
      <c r="E79" s="466"/>
      <c r="F79" s="617"/>
      <c r="G79" s="617"/>
      <c r="H79" s="466">
        <v>637188</v>
      </c>
      <c r="I79" s="477"/>
      <c r="J79" s="477"/>
      <c r="K79" s="1693">
        <f t="shared" si="11"/>
        <v>637188</v>
      </c>
      <c r="L79" s="466">
        <v>633545</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3707</v>
      </c>
      <c r="I83" s="477"/>
      <c r="J83" s="477"/>
      <c r="K83" s="1693">
        <f t="shared" si="11"/>
        <v>3707</v>
      </c>
      <c r="L83" s="466"/>
    </row>
    <row r="84" spans="1:12" ht="13.5" thickBot="1" x14ac:dyDescent="0.25">
      <c r="A84" s="1690" t="s">
        <v>1565</v>
      </c>
      <c r="B84" s="1700">
        <v>4100</v>
      </c>
      <c r="C84" s="617"/>
      <c r="D84" s="617"/>
      <c r="E84" s="1692">
        <f>SUM(E78:E83)</f>
        <v>4412</v>
      </c>
      <c r="F84" s="617"/>
      <c r="G84" s="617"/>
      <c r="H84" s="1692">
        <f>SUM(H78:H83)</f>
        <v>644831</v>
      </c>
      <c r="I84" s="477"/>
      <c r="J84" s="477"/>
      <c r="K84" s="1692">
        <f>SUM(K78:K83)</f>
        <v>649243</v>
      </c>
      <c r="L84" s="1692">
        <f>SUM(L78:L83)</f>
        <v>640745</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4412</v>
      </c>
      <c r="F102" s="617"/>
      <c r="G102" s="617"/>
      <c r="H102" s="1699">
        <f>SUM(H84,H92,H100,H101)</f>
        <v>644831</v>
      </c>
      <c r="I102" s="477"/>
      <c r="J102" s="477"/>
      <c r="K102" s="1699">
        <f>SUM(K84,K92,K100,K101)</f>
        <v>649243</v>
      </c>
      <c r="L102" s="1699">
        <f>SUM(L84,L92,L100,L101)</f>
        <v>640745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11747543</v>
      </c>
      <c r="D114" s="1692">
        <f t="shared" ref="D114:K114" si="13">SUM(D33,D74,D75,D102,D112,D113)</f>
        <v>2315718</v>
      </c>
      <c r="E114" s="1692">
        <f t="shared" si="13"/>
        <v>865903</v>
      </c>
      <c r="F114" s="1692">
        <f t="shared" si="13"/>
        <v>790466</v>
      </c>
      <c r="G114" s="1692">
        <f t="shared" si="13"/>
        <v>301303</v>
      </c>
      <c r="H114" s="1692">
        <f>SUM(H33,H74,H75,H102,H112,H113)</f>
        <v>673661</v>
      </c>
      <c r="I114" s="1692">
        <f t="shared" si="13"/>
        <v>0</v>
      </c>
      <c r="J114" s="1692">
        <f t="shared" si="13"/>
        <v>0</v>
      </c>
      <c r="K114" s="1692">
        <f t="shared" si="13"/>
        <v>16694594</v>
      </c>
      <c r="L114" s="1692">
        <f>SUM(L33,L74,L75,L102,L112,L113)</f>
        <v>16771196</v>
      </c>
    </row>
    <row r="115" spans="1:14" ht="13.5" thickTop="1" x14ac:dyDescent="0.2">
      <c r="A115" s="2180" t="s">
        <v>1053</v>
      </c>
      <c r="B115" s="2181"/>
      <c r="C115" s="619"/>
      <c r="D115" s="619"/>
      <c r="E115" s="619"/>
      <c r="F115" s="619"/>
      <c r="G115" s="619"/>
      <c r="H115" s="619"/>
      <c r="I115" s="619"/>
      <c r="J115" s="619"/>
      <c r="K115" s="1706">
        <f>'Revenues 9-14'!C275-'Expenditures 15-22'!K114</f>
        <v>12049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214421</v>
      </c>
      <c r="D124" s="466">
        <v>14543</v>
      </c>
      <c r="E124" s="466">
        <v>412769</v>
      </c>
      <c r="F124" s="466">
        <v>419583</v>
      </c>
      <c r="G124" s="466">
        <v>23319</v>
      </c>
      <c r="H124" s="466">
        <v>366</v>
      </c>
      <c r="I124" s="467"/>
      <c r="J124" s="467"/>
      <c r="K124" s="1692">
        <f>SUM(C124:J124)</f>
        <v>1085001</v>
      </c>
      <c r="L124" s="466">
        <v>1100000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214421</v>
      </c>
      <c r="D127" s="1692">
        <f t="shared" ref="D127:L127" si="14">SUM(D122:D126)</f>
        <v>14543</v>
      </c>
      <c r="E127" s="1692">
        <f t="shared" si="14"/>
        <v>412769</v>
      </c>
      <c r="F127" s="1692">
        <f t="shared" si="14"/>
        <v>419583</v>
      </c>
      <c r="G127" s="1692">
        <f t="shared" si="14"/>
        <v>23319</v>
      </c>
      <c r="H127" s="1692">
        <f t="shared" si="14"/>
        <v>366</v>
      </c>
      <c r="I127" s="1692">
        <f t="shared" si="14"/>
        <v>0</v>
      </c>
      <c r="J127" s="1692">
        <f t="shared" si="14"/>
        <v>0</v>
      </c>
      <c r="K127" s="1692">
        <f t="shared" si="14"/>
        <v>1085001</v>
      </c>
      <c r="L127" s="1692">
        <f t="shared" si="14"/>
        <v>1100000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214421</v>
      </c>
      <c r="D129" s="1699">
        <f t="shared" ref="D129:L129" si="15">SUM(D120,D127,D128)</f>
        <v>14543</v>
      </c>
      <c r="E129" s="1699">
        <f t="shared" si="15"/>
        <v>412769</v>
      </c>
      <c r="F129" s="1699">
        <f t="shared" si="15"/>
        <v>419583</v>
      </c>
      <c r="G129" s="1699">
        <f t="shared" si="15"/>
        <v>23319</v>
      </c>
      <c r="H129" s="1699">
        <f t="shared" si="15"/>
        <v>366</v>
      </c>
      <c r="I129" s="1699">
        <f t="shared" si="15"/>
        <v>0</v>
      </c>
      <c r="J129" s="1699">
        <f t="shared" si="15"/>
        <v>0</v>
      </c>
      <c r="K129" s="1699">
        <f t="shared" si="15"/>
        <v>1085001</v>
      </c>
      <c r="L129" s="1699">
        <f t="shared" si="15"/>
        <v>1100000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7" t="s">
        <v>641</v>
      </c>
      <c r="B151" s="2177"/>
      <c r="C151" s="1692">
        <f>SUM(C129,C130,C139,C149,C150)</f>
        <v>214421</v>
      </c>
      <c r="D151" s="1692">
        <f t="shared" ref="D151:K151" si="16">SUM(D129,D130,D139,D149,D150)</f>
        <v>14543</v>
      </c>
      <c r="E151" s="1692">
        <f t="shared" si="16"/>
        <v>412769</v>
      </c>
      <c r="F151" s="1692">
        <f t="shared" si="16"/>
        <v>419583</v>
      </c>
      <c r="G151" s="1692">
        <f t="shared" si="16"/>
        <v>23319</v>
      </c>
      <c r="H151" s="1692">
        <f t="shared" si="16"/>
        <v>366</v>
      </c>
      <c r="I151" s="1692">
        <f t="shared" si="16"/>
        <v>0</v>
      </c>
      <c r="J151" s="1692">
        <f t="shared" si="16"/>
        <v>0</v>
      </c>
      <c r="K151" s="1692">
        <f t="shared" si="16"/>
        <v>1085001</v>
      </c>
      <c r="L151" s="1692">
        <f>SUM(L129,L130,L139,L149,L150)</f>
        <v>1100000</v>
      </c>
    </row>
    <row r="152" spans="1:14" ht="12.75" customHeight="1" thickTop="1" x14ac:dyDescent="0.2">
      <c r="A152" s="2200" t="s">
        <v>1240</v>
      </c>
      <c r="B152" s="2201"/>
      <c r="C152" s="619"/>
      <c r="D152" s="619"/>
      <c r="E152" s="619"/>
      <c r="F152" s="619"/>
      <c r="G152" s="619"/>
      <c r="H152" s="619"/>
      <c r="I152" s="619"/>
      <c r="J152" s="617"/>
      <c r="K152" s="1706">
        <f>'Revenues 9-14'!D275-'Expenditures 15-22'!K151</f>
        <v>11857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196628</v>
      </c>
      <c r="I169" s="617"/>
      <c r="J169" s="617"/>
      <c r="K169" s="1693">
        <f>SUM(C169:H169)</f>
        <v>196628</v>
      </c>
      <c r="L169" s="657">
        <v>306858</v>
      </c>
    </row>
    <row r="170" spans="1:14" ht="33.75" customHeight="1" x14ac:dyDescent="0.2">
      <c r="A170" s="670" t="s">
        <v>1769</v>
      </c>
      <c r="B170" s="672" t="s">
        <v>31</v>
      </c>
      <c r="C170" s="617"/>
      <c r="D170" s="617"/>
      <c r="E170" s="617"/>
      <c r="F170" s="617"/>
      <c r="G170" s="617"/>
      <c r="H170" s="569">
        <v>1080781</v>
      </c>
      <c r="I170" s="617"/>
      <c r="J170" s="617"/>
      <c r="K170" s="1693">
        <f>SUM(C170:J170)</f>
        <v>1080781</v>
      </c>
      <c r="L170" s="569">
        <v>976545</v>
      </c>
    </row>
    <row r="171" spans="1:14" ht="15.75" customHeight="1" x14ac:dyDescent="0.2">
      <c r="A171" s="622" t="s">
        <v>790</v>
      </c>
      <c r="B171" s="673" t="s">
        <v>86</v>
      </c>
      <c r="C171" s="617"/>
      <c r="D171" s="617"/>
      <c r="E171" s="466"/>
      <c r="F171" s="617"/>
      <c r="G171" s="617"/>
      <c r="H171" s="569">
        <v>800</v>
      </c>
      <c r="I171" s="477"/>
      <c r="J171" s="617"/>
      <c r="K171" s="1693">
        <f>SUM(C171:J171)</f>
        <v>800</v>
      </c>
      <c r="L171" s="569"/>
    </row>
    <row r="172" spans="1:14" ht="12.75" customHeight="1" thickBot="1" x14ac:dyDescent="0.25">
      <c r="A172" s="1690" t="s">
        <v>659</v>
      </c>
      <c r="B172" s="1691" t="s">
        <v>513</v>
      </c>
      <c r="C172" s="617"/>
      <c r="D172" s="617"/>
      <c r="E172" s="1699">
        <f>SUM(E168,E169,E170,E171)</f>
        <v>0</v>
      </c>
      <c r="F172" s="617"/>
      <c r="G172" s="617"/>
      <c r="H172" s="1699">
        <f>SUM(H168,H169,H170,H171)</f>
        <v>1278209</v>
      </c>
      <c r="I172" s="639"/>
      <c r="J172" s="617"/>
      <c r="K172" s="1699">
        <f>SUM(K168,K169,K170,K171)</f>
        <v>1278209</v>
      </c>
      <c r="L172" s="1699">
        <f>SUM(L168,L169,L170,L171)</f>
        <v>1283403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1278209</v>
      </c>
      <c r="I174" s="639"/>
      <c r="J174" s="617"/>
      <c r="K174" s="1699">
        <f>SUM(K160,K172,K173)</f>
        <v>1278209</v>
      </c>
      <c r="L174" s="1699">
        <f>SUM(L160,L172,L173)</f>
        <v>1283403</v>
      </c>
    </row>
    <row r="175" spans="1:14" ht="13.5" thickTop="1" x14ac:dyDescent="0.2">
      <c r="A175" s="2180" t="s">
        <v>1053</v>
      </c>
      <c r="B175" s="2181"/>
      <c r="C175" s="617"/>
      <c r="D175" s="617"/>
      <c r="E175" s="617"/>
      <c r="F175" s="617"/>
      <c r="G175" s="617"/>
      <c r="H175" s="619"/>
      <c r="I175" s="617"/>
      <c r="J175" s="617"/>
      <c r="K175" s="1706">
        <f>'Revenues 9-14'!E275-'Expenditures 15-22'!K174</f>
        <v>11641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41860</v>
      </c>
      <c r="D182" s="466">
        <v>5997</v>
      </c>
      <c r="E182" s="466">
        <v>1194733</v>
      </c>
      <c r="F182" s="466"/>
      <c r="G182" s="466"/>
      <c r="H182" s="466"/>
      <c r="I182" s="467"/>
      <c r="J182" s="467"/>
      <c r="K182" s="1693">
        <f>SUM(C182:J182)</f>
        <v>1242590</v>
      </c>
      <c r="L182" s="466">
        <v>1380000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41860</v>
      </c>
      <c r="D184" s="1699">
        <f t="shared" ref="D184:J184" si="17">SUM(D180,D182,D183)</f>
        <v>5997</v>
      </c>
      <c r="E184" s="1699">
        <f t="shared" si="17"/>
        <v>1194733</v>
      </c>
      <c r="F184" s="1699">
        <f t="shared" si="17"/>
        <v>0</v>
      </c>
      <c r="G184" s="1699">
        <f t="shared" si="17"/>
        <v>0</v>
      </c>
      <c r="H184" s="1699">
        <f t="shared" si="17"/>
        <v>0</v>
      </c>
      <c r="I184" s="1699">
        <f t="shared" si="17"/>
        <v>0</v>
      </c>
      <c r="J184" s="1699">
        <f t="shared" si="17"/>
        <v>0</v>
      </c>
      <c r="K184" s="1699">
        <f>SUM(K180,K182,K183)</f>
        <v>1242590</v>
      </c>
      <c r="L184" s="1699">
        <f>SUM(L180, L182:L183)</f>
        <v>1380000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41860</v>
      </c>
      <c r="D210" s="1692">
        <f>SUM(D184,D185)</f>
        <v>5997</v>
      </c>
      <c r="E210" s="1692">
        <f>SUM(E184,E185,E196)</f>
        <v>1194733</v>
      </c>
      <c r="F210" s="1692">
        <f>SUM(F184,F185)</f>
        <v>0</v>
      </c>
      <c r="G210" s="1692">
        <f>SUM(G184,G185)</f>
        <v>0</v>
      </c>
      <c r="H210" s="1692">
        <f>SUM(H184,H185,H196,H208,H209)</f>
        <v>0</v>
      </c>
      <c r="I210" s="1692">
        <f>SUM(I184,I185)</f>
        <v>0</v>
      </c>
      <c r="J210" s="1692">
        <f>SUM(J184,J185)</f>
        <v>0</v>
      </c>
      <c r="K210" s="1693">
        <f>SUM(K184,K185,K196,K208,K209)</f>
        <v>1242590</v>
      </c>
      <c r="L210" s="1692">
        <f>SUM(L184,L185,L196,L208,L209)</f>
        <v>1380000</v>
      </c>
    </row>
    <row r="211" spans="1:14" ht="13.5" thickTop="1" x14ac:dyDescent="0.2">
      <c r="A211" s="2180" t="s">
        <v>1053</v>
      </c>
      <c r="B211" s="2181"/>
      <c r="C211" s="619"/>
      <c r="D211" s="619"/>
      <c r="E211" s="619"/>
      <c r="F211" s="619"/>
      <c r="G211" s="619"/>
      <c r="H211" s="619"/>
      <c r="I211" s="617"/>
      <c r="J211" s="617"/>
      <c r="K211" s="1706">
        <f>'Revenues 9-14'!F275-'Expenditures 15-22'!K210</f>
        <v>400669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110697</v>
      </c>
      <c r="E215" s="617"/>
      <c r="F215" s="617"/>
      <c r="G215" s="617"/>
      <c r="H215" s="617"/>
      <c r="I215" s="617"/>
      <c r="J215" s="617"/>
      <c r="K215" s="1693">
        <f>D215</f>
        <v>110697</v>
      </c>
      <c r="L215" s="466">
        <v>110709</v>
      </c>
    </row>
    <row r="216" spans="1:14" x14ac:dyDescent="0.2">
      <c r="A216" s="1526" t="s">
        <v>165</v>
      </c>
      <c r="B216" s="615" t="s">
        <v>1024</v>
      </c>
      <c r="C216" s="617"/>
      <c r="D216" s="467">
        <v>19989</v>
      </c>
      <c r="E216" s="617"/>
      <c r="F216" s="617"/>
      <c r="G216" s="617"/>
      <c r="H216" s="617"/>
      <c r="I216" s="617"/>
      <c r="J216" s="617"/>
      <c r="K216" s="1693">
        <f t="shared" ref="K216:K228" si="19">D216</f>
        <v>19989</v>
      </c>
      <c r="L216" s="466">
        <v>19988</v>
      </c>
    </row>
    <row r="217" spans="1:14" x14ac:dyDescent="0.2">
      <c r="A217" s="1526" t="s">
        <v>166</v>
      </c>
      <c r="B217" s="615">
        <v>1200</v>
      </c>
      <c r="C217" s="617"/>
      <c r="D217" s="466">
        <v>96803</v>
      </c>
      <c r="E217" s="617"/>
      <c r="F217" s="617"/>
      <c r="G217" s="617"/>
      <c r="H217" s="617"/>
      <c r="I217" s="617"/>
      <c r="J217" s="617"/>
      <c r="K217" s="1693">
        <f t="shared" si="19"/>
        <v>96803</v>
      </c>
      <c r="L217" s="466">
        <v>97100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37157</v>
      </c>
      <c r="E219" s="617"/>
      <c r="F219" s="617"/>
      <c r="G219" s="617"/>
      <c r="H219" s="617"/>
      <c r="I219" s="617"/>
      <c r="J219" s="617"/>
      <c r="K219" s="1693">
        <f t="shared" si="19"/>
        <v>37157</v>
      </c>
      <c r="L219" s="466">
        <v>36120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3354</v>
      </c>
      <c r="E223" s="617"/>
      <c r="F223" s="617"/>
      <c r="G223" s="617"/>
      <c r="H223" s="617"/>
      <c r="I223" s="617"/>
      <c r="J223" s="617"/>
      <c r="K223" s="1693">
        <f t="shared" si="19"/>
        <v>3354</v>
      </c>
      <c r="L223" s="466">
        <v>3051</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v>3018</v>
      </c>
      <c r="E225" s="617"/>
      <c r="F225" s="617"/>
      <c r="G225" s="617"/>
      <c r="H225" s="617"/>
      <c r="I225" s="617"/>
      <c r="J225" s="617"/>
      <c r="K225" s="1693">
        <f t="shared" si="19"/>
        <v>3018</v>
      </c>
      <c r="L225" s="466">
        <v>2504</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20067</v>
      </c>
      <c r="E227" s="617"/>
      <c r="F227" s="617"/>
      <c r="G227" s="617"/>
      <c r="H227" s="617"/>
      <c r="I227" s="617"/>
      <c r="J227" s="617"/>
      <c r="K227" s="1693">
        <f t="shared" si="19"/>
        <v>20067</v>
      </c>
      <c r="L227" s="466">
        <v>15182</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291085</v>
      </c>
      <c r="E229" s="617"/>
      <c r="F229" s="617"/>
      <c r="G229" s="617"/>
      <c r="H229" s="617"/>
      <c r="I229" s="617"/>
      <c r="J229" s="617"/>
      <c r="K229" s="1692">
        <f>SUM(K215:K228)</f>
        <v>291085</v>
      </c>
      <c r="L229" s="1692">
        <f>SUM(L215:L228)</f>
        <v>284654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5503</v>
      </c>
      <c r="E232" s="617"/>
      <c r="F232" s="617"/>
      <c r="G232" s="617"/>
      <c r="H232" s="617"/>
      <c r="I232" s="617"/>
      <c r="J232" s="617"/>
      <c r="K232" s="1693">
        <f t="shared" ref="K232:K237" si="20">D232</f>
        <v>5503</v>
      </c>
      <c r="L232" s="466">
        <v>3494</v>
      </c>
    </row>
    <row r="233" spans="1:12" x14ac:dyDescent="0.2">
      <c r="A233" s="1526" t="s">
        <v>1151</v>
      </c>
      <c r="B233" s="615">
        <v>2120</v>
      </c>
      <c r="C233" s="617"/>
      <c r="D233" s="466"/>
      <c r="E233" s="617"/>
      <c r="F233" s="617"/>
      <c r="G233" s="617"/>
      <c r="H233" s="617"/>
      <c r="I233" s="617"/>
      <c r="J233" s="617"/>
      <c r="K233" s="1693">
        <f t="shared" si="20"/>
        <v>0</v>
      </c>
      <c r="L233" s="466">
        <v>1965</v>
      </c>
    </row>
    <row r="234" spans="1:12" x14ac:dyDescent="0.2">
      <c r="A234" s="1526" t="s">
        <v>207</v>
      </c>
      <c r="B234" s="615">
        <v>2130</v>
      </c>
      <c r="C234" s="617"/>
      <c r="D234" s="466">
        <v>18155</v>
      </c>
      <c r="E234" s="617"/>
      <c r="F234" s="617"/>
      <c r="G234" s="617"/>
      <c r="H234" s="617"/>
      <c r="I234" s="617"/>
      <c r="J234" s="617"/>
      <c r="K234" s="1693">
        <f t="shared" si="20"/>
        <v>18155</v>
      </c>
      <c r="L234" s="466">
        <v>17873</v>
      </c>
    </row>
    <row r="235" spans="1:12" x14ac:dyDescent="0.2">
      <c r="A235" s="1526" t="s">
        <v>208</v>
      </c>
      <c r="B235" s="615">
        <v>2140</v>
      </c>
      <c r="C235" s="617"/>
      <c r="D235" s="466"/>
      <c r="E235" s="617"/>
      <c r="F235" s="617"/>
      <c r="G235" s="617"/>
      <c r="H235" s="617"/>
      <c r="I235" s="617"/>
      <c r="J235" s="617"/>
      <c r="K235" s="1693">
        <f t="shared" si="20"/>
        <v>0</v>
      </c>
      <c r="L235" s="466">
        <v>600</v>
      </c>
    </row>
    <row r="236" spans="1:12" x14ac:dyDescent="0.2">
      <c r="A236" s="1526" t="s">
        <v>209</v>
      </c>
      <c r="B236" s="615">
        <v>2150</v>
      </c>
      <c r="C236" s="617"/>
      <c r="D236" s="466">
        <v>3857</v>
      </c>
      <c r="E236" s="617"/>
      <c r="F236" s="617"/>
      <c r="G236" s="617"/>
      <c r="H236" s="617"/>
      <c r="I236" s="617"/>
      <c r="J236" s="617"/>
      <c r="K236" s="1693">
        <f t="shared" si="20"/>
        <v>3857</v>
      </c>
      <c r="L236" s="466">
        <v>3880</v>
      </c>
    </row>
    <row r="237" spans="1:12" x14ac:dyDescent="0.2">
      <c r="A237" s="1526" t="s">
        <v>167</v>
      </c>
      <c r="B237" s="615">
        <v>2190</v>
      </c>
      <c r="C237" s="617"/>
      <c r="D237" s="466">
        <v>9973</v>
      </c>
      <c r="E237" s="617"/>
      <c r="F237" s="617"/>
      <c r="G237" s="617"/>
      <c r="H237" s="617"/>
      <c r="I237" s="617"/>
      <c r="J237" s="617"/>
      <c r="K237" s="1693">
        <f t="shared" si="20"/>
        <v>9973</v>
      </c>
      <c r="L237" s="466">
        <v>9298</v>
      </c>
    </row>
    <row r="238" spans="1:12" ht="12.75" customHeight="1" thickBot="1" x14ac:dyDescent="0.25">
      <c r="A238" s="1690" t="s">
        <v>581</v>
      </c>
      <c r="B238" s="1697" t="s">
        <v>740</v>
      </c>
      <c r="C238" s="617"/>
      <c r="D238" s="1692">
        <f>SUM(D232:D237)</f>
        <v>37488</v>
      </c>
      <c r="E238" s="617"/>
      <c r="F238" s="617"/>
      <c r="G238" s="617"/>
      <c r="H238" s="617"/>
      <c r="I238" s="617"/>
      <c r="J238" s="617"/>
      <c r="K238" s="1692">
        <f>SUM(K232:K237)</f>
        <v>37488</v>
      </c>
      <c r="L238" s="1692">
        <f>SUM(L232:L237)</f>
        <v>37110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16253</v>
      </c>
      <c r="E240" s="617"/>
      <c r="F240" s="617"/>
      <c r="G240" s="617"/>
      <c r="H240" s="617"/>
      <c r="I240" s="617"/>
      <c r="J240" s="617"/>
      <c r="K240" s="1694">
        <f>D240</f>
        <v>16253</v>
      </c>
      <c r="L240" s="481">
        <v>16877</v>
      </c>
    </row>
    <row r="241" spans="1:12" x14ac:dyDescent="0.2">
      <c r="A241" s="1526" t="s">
        <v>869</v>
      </c>
      <c r="B241" s="615">
        <v>2220</v>
      </c>
      <c r="C241" s="617"/>
      <c r="D241" s="466">
        <v>25447</v>
      </c>
      <c r="E241" s="617"/>
      <c r="F241" s="617"/>
      <c r="G241" s="617"/>
      <c r="H241" s="617"/>
      <c r="I241" s="617"/>
      <c r="J241" s="617"/>
      <c r="K241" s="1694">
        <f>D241</f>
        <v>25447</v>
      </c>
      <c r="L241" s="466">
        <v>23147</v>
      </c>
    </row>
    <row r="242" spans="1:12" x14ac:dyDescent="0.2">
      <c r="A242" s="1526" t="s">
        <v>870</v>
      </c>
      <c r="B242" s="615">
        <v>2230</v>
      </c>
      <c r="C242" s="617"/>
      <c r="D242" s="466"/>
      <c r="E242" s="617"/>
      <c r="F242" s="617"/>
      <c r="G242" s="617"/>
      <c r="H242" s="617"/>
      <c r="I242" s="617"/>
      <c r="J242" s="617"/>
      <c r="K242" s="1694">
        <f>D242</f>
        <v>0</v>
      </c>
      <c r="L242" s="466">
        <v>5980</v>
      </c>
    </row>
    <row r="243" spans="1:12" ht="12.75" customHeight="1" thickBot="1" x14ac:dyDescent="0.25">
      <c r="A243" s="1716" t="s">
        <v>582</v>
      </c>
      <c r="B243" s="1717">
        <v>2200</v>
      </c>
      <c r="C243" s="617"/>
      <c r="D243" s="1692">
        <f>SUM(D240:D242)</f>
        <v>41700</v>
      </c>
      <c r="E243" s="617"/>
      <c r="F243" s="617"/>
      <c r="G243" s="617"/>
      <c r="H243" s="617"/>
      <c r="I243" s="617"/>
      <c r="J243" s="617"/>
      <c r="K243" s="1692">
        <f>SUM(K240:K242)</f>
        <v>41700</v>
      </c>
      <c r="L243" s="1692">
        <f>SUM(L240:L242)</f>
        <v>46004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2512</v>
      </c>
      <c r="E245" s="617"/>
      <c r="F245" s="617"/>
      <c r="G245" s="617"/>
      <c r="H245" s="617"/>
      <c r="I245" s="617"/>
      <c r="J245" s="617"/>
      <c r="K245" s="1694">
        <f>D245</f>
        <v>2512</v>
      </c>
      <c r="L245" s="481">
        <v>5</v>
      </c>
    </row>
    <row r="246" spans="1:12" x14ac:dyDescent="0.2">
      <c r="A246" s="1526" t="s">
        <v>872</v>
      </c>
      <c r="B246" s="615">
        <v>2320</v>
      </c>
      <c r="C246" s="617"/>
      <c r="D246" s="466">
        <v>9789</v>
      </c>
      <c r="E246" s="617"/>
      <c r="F246" s="617"/>
      <c r="G246" s="617"/>
      <c r="H246" s="617"/>
      <c r="I246" s="617"/>
      <c r="J246" s="617"/>
      <c r="K246" s="1694">
        <f t="shared" ref="K246:K256" si="21">D246</f>
        <v>9789</v>
      </c>
      <c r="L246" s="466">
        <v>10180</v>
      </c>
    </row>
    <row r="247" spans="1:12" x14ac:dyDescent="0.2">
      <c r="A247" s="1526" t="s">
        <v>873</v>
      </c>
      <c r="B247" s="615">
        <v>2330</v>
      </c>
      <c r="C247" s="617"/>
      <c r="D247" s="466">
        <v>10222</v>
      </c>
      <c r="E247" s="617"/>
      <c r="F247" s="617"/>
      <c r="G247" s="617"/>
      <c r="H247" s="617"/>
      <c r="I247" s="617"/>
      <c r="J247" s="617"/>
      <c r="K247" s="1694">
        <f t="shared" si="21"/>
        <v>10222</v>
      </c>
      <c r="L247" s="466">
        <v>11619</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15463</v>
      </c>
      <c r="E254" s="617"/>
      <c r="F254" s="617"/>
      <c r="G254" s="617"/>
      <c r="H254" s="617"/>
      <c r="I254" s="617"/>
      <c r="J254" s="617"/>
      <c r="K254" s="1694">
        <f t="shared" si="21"/>
        <v>15463</v>
      </c>
      <c r="L254" s="466">
        <v>16435</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37986</v>
      </c>
      <c r="E257" s="617"/>
      <c r="F257" s="617"/>
      <c r="G257" s="617"/>
      <c r="H257" s="617"/>
      <c r="I257" s="617"/>
      <c r="J257" s="617"/>
      <c r="K257" s="1692">
        <f>SUM(K245:K256)</f>
        <v>37986</v>
      </c>
      <c r="L257" s="1692">
        <f>SUM(L245:L256)</f>
        <v>38239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57836</v>
      </c>
      <c r="E259" s="617"/>
      <c r="F259" s="617"/>
      <c r="G259" s="617"/>
      <c r="H259" s="617"/>
      <c r="I259" s="617"/>
      <c r="J259" s="617"/>
      <c r="K259" s="1694">
        <f>D259</f>
        <v>57836</v>
      </c>
      <c r="L259" s="481">
        <v>61092</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57836</v>
      </c>
      <c r="E261" s="617"/>
      <c r="F261" s="617"/>
      <c r="G261" s="617"/>
      <c r="H261" s="617"/>
      <c r="I261" s="617"/>
      <c r="J261" s="617"/>
      <c r="K261" s="1692">
        <f>SUM(K259:K260)</f>
        <v>57836</v>
      </c>
      <c r="L261" s="1692">
        <f>SUM(L259:L260)</f>
        <v>61092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912</v>
      </c>
      <c r="E263" s="617"/>
      <c r="F263" s="617"/>
      <c r="G263" s="617"/>
      <c r="H263" s="617"/>
      <c r="I263" s="617"/>
      <c r="J263" s="617"/>
      <c r="K263" s="1694">
        <f>D263</f>
        <v>912</v>
      </c>
      <c r="L263" s="481">
        <v>985</v>
      </c>
    </row>
    <row r="264" spans="1:14" x14ac:dyDescent="0.2">
      <c r="A264" s="1526" t="s">
        <v>483</v>
      </c>
      <c r="B264" s="686">
        <v>2520</v>
      </c>
      <c r="C264" s="617"/>
      <c r="D264" s="466">
        <v>25122</v>
      </c>
      <c r="E264" s="617"/>
      <c r="F264" s="617"/>
      <c r="G264" s="617"/>
      <c r="H264" s="617"/>
      <c r="I264" s="617"/>
      <c r="J264" s="617"/>
      <c r="K264" s="1694">
        <f t="shared" ref="K264:K269" si="22">D264</f>
        <v>25122</v>
      </c>
      <c r="L264" s="466">
        <v>24270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39525</v>
      </c>
      <c r="E266" s="617"/>
      <c r="F266" s="617"/>
      <c r="G266" s="617"/>
      <c r="H266" s="617"/>
      <c r="I266" s="617"/>
      <c r="J266" s="617"/>
      <c r="K266" s="1694">
        <f t="shared" si="22"/>
        <v>39525</v>
      </c>
      <c r="L266" s="466">
        <v>41452</v>
      </c>
    </row>
    <row r="267" spans="1:14" x14ac:dyDescent="0.2">
      <c r="A267" s="1526" t="s">
        <v>1010</v>
      </c>
      <c r="B267" s="615">
        <v>2550</v>
      </c>
      <c r="C267" s="617"/>
      <c r="D267" s="466">
        <v>606</v>
      </c>
      <c r="E267" s="617"/>
      <c r="F267" s="617"/>
      <c r="G267" s="617"/>
      <c r="H267" s="617"/>
      <c r="I267" s="617"/>
      <c r="J267" s="617"/>
      <c r="K267" s="1694">
        <f t="shared" si="22"/>
        <v>606</v>
      </c>
      <c r="L267" s="466">
        <v>571</v>
      </c>
    </row>
    <row r="268" spans="1:14" x14ac:dyDescent="0.2">
      <c r="A268" s="1526" t="s">
        <v>102</v>
      </c>
      <c r="B268" s="615">
        <v>2560</v>
      </c>
      <c r="C268" s="617"/>
      <c r="D268" s="466">
        <v>50454</v>
      </c>
      <c r="E268" s="617"/>
      <c r="F268" s="617"/>
      <c r="G268" s="617"/>
      <c r="H268" s="617"/>
      <c r="I268" s="617"/>
      <c r="J268" s="617"/>
      <c r="K268" s="1694">
        <f t="shared" si="22"/>
        <v>50454</v>
      </c>
      <c r="L268" s="466">
        <v>53800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116619</v>
      </c>
      <c r="E270" s="617"/>
      <c r="F270" s="617"/>
      <c r="G270" s="617"/>
      <c r="H270" s="617"/>
      <c r="I270" s="617"/>
      <c r="J270" s="617"/>
      <c r="K270" s="1692">
        <f>SUM(K263:K269)</f>
        <v>116619</v>
      </c>
      <c r="L270" s="1692">
        <f>SUM(L263:L269)</f>
        <v>121078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291629</v>
      </c>
      <c r="E279" s="617"/>
      <c r="F279" s="617"/>
      <c r="G279" s="617"/>
      <c r="H279" s="617"/>
      <c r="I279" s="617"/>
      <c r="J279" s="617"/>
      <c r="K279" s="1699">
        <f>SUM(K238,K243,K257,K261,K270,K277,K278)</f>
        <v>291629</v>
      </c>
      <c r="L279" s="1699">
        <f>SUM(L238,L243,L257,L261,L270,L277,L278)</f>
        <v>303523</v>
      </c>
    </row>
    <row r="280" spans="1:12" ht="15.75" customHeight="1" thickTop="1" thickBot="1" x14ac:dyDescent="0.25">
      <c r="A280" s="1646" t="s">
        <v>930</v>
      </c>
      <c r="B280" s="1635">
        <v>3000</v>
      </c>
      <c r="C280" s="617"/>
      <c r="D280" s="576">
        <v>6407</v>
      </c>
      <c r="E280" s="617"/>
      <c r="F280" s="617"/>
      <c r="G280" s="617"/>
      <c r="H280" s="617"/>
      <c r="I280" s="617"/>
      <c r="J280" s="617"/>
      <c r="K280" s="1701">
        <f>D280</f>
        <v>6407</v>
      </c>
      <c r="L280" s="576">
        <v>6823</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8" t="s">
        <v>526</v>
      </c>
      <c r="B295" s="2199"/>
      <c r="C295" s="617"/>
      <c r="D295" s="1692">
        <f>SUM(D229,D279,D280,D285)</f>
        <v>589121</v>
      </c>
      <c r="E295" s="617"/>
      <c r="F295" s="617"/>
      <c r="G295" s="617"/>
      <c r="H295" s="1692">
        <f>H293</f>
        <v>0</v>
      </c>
      <c r="I295" s="617"/>
      <c r="J295" s="617"/>
      <c r="K295" s="1692">
        <f>SUM(K229,K279,K280,K285,K293,K294)</f>
        <v>589121</v>
      </c>
      <c r="L295" s="1692">
        <f>SUM(L229,L279,L280,L285,L293,L294)</f>
        <v>595000</v>
      </c>
    </row>
    <row r="296" spans="1:14" ht="13.5" thickTop="1" x14ac:dyDescent="0.2">
      <c r="A296" s="2180" t="s">
        <v>1053</v>
      </c>
      <c r="B296" s="2181"/>
      <c r="C296" s="617"/>
      <c r="D296" s="619"/>
      <c r="E296" s="617"/>
      <c r="F296" s="617"/>
      <c r="G296" s="617"/>
      <c r="H296" s="688"/>
      <c r="I296" s="617"/>
      <c r="J296" s="617"/>
      <c r="K296" s="1706">
        <f>'Revenues 9-14'!G275-'Expenditures 15-22'!K295</f>
        <v>-47553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1863</v>
      </c>
      <c r="F301" s="466"/>
      <c r="G301" s="466">
        <v>88037</v>
      </c>
      <c r="H301" s="466"/>
      <c r="I301" s="467"/>
      <c r="J301" s="467"/>
      <c r="K301" s="1693">
        <f>SUM(C301:J301)</f>
        <v>89900</v>
      </c>
      <c r="L301" s="467">
        <v>100000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1863</v>
      </c>
      <c r="F303" s="1699">
        <f t="shared" si="23"/>
        <v>0</v>
      </c>
      <c r="G303" s="1699">
        <f t="shared" si="23"/>
        <v>88037</v>
      </c>
      <c r="H303" s="1699">
        <f t="shared" si="23"/>
        <v>0</v>
      </c>
      <c r="I303" s="1699">
        <f t="shared" si="23"/>
        <v>0</v>
      </c>
      <c r="J303" s="1699">
        <f t="shared" si="23"/>
        <v>0</v>
      </c>
      <c r="K303" s="1699">
        <f t="shared" si="23"/>
        <v>89900</v>
      </c>
      <c r="L303" s="1699">
        <f t="shared" si="23"/>
        <v>100000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5" t="s">
        <v>295</v>
      </c>
      <c r="B312" s="2196"/>
      <c r="C312" s="1692">
        <f>SUM(C303)</f>
        <v>0</v>
      </c>
      <c r="D312" s="1692">
        <f>SUM(D303)</f>
        <v>0</v>
      </c>
      <c r="E312" s="1692">
        <f>SUM(E303,E310)</f>
        <v>1863</v>
      </c>
      <c r="F312" s="1692">
        <f>SUM(F303)</f>
        <v>0</v>
      </c>
      <c r="G312" s="1692">
        <f>SUM(G303)</f>
        <v>88037</v>
      </c>
      <c r="H312" s="1692">
        <f>SUM(H303,H310)</f>
        <v>0</v>
      </c>
      <c r="I312" s="1692">
        <f>SUM(I303)</f>
        <v>0</v>
      </c>
      <c r="J312" s="1692">
        <f>SUM(J303)</f>
        <v>0</v>
      </c>
      <c r="K312" s="1692">
        <f>SUM(K303,K310,K311)</f>
        <v>89900</v>
      </c>
      <c r="L312" s="1692">
        <f>SUM(L303,L310,L311)</f>
        <v>100000</v>
      </c>
      <c r="M312" s="666"/>
      <c r="N312" s="666"/>
    </row>
    <row r="313" spans="1:14" ht="13.5" thickTop="1" x14ac:dyDescent="0.2">
      <c r="A313" s="2191" t="s">
        <v>1053</v>
      </c>
      <c r="B313" s="2192"/>
      <c r="C313" s="627"/>
      <c r="D313" s="627"/>
      <c r="E313" s="627"/>
      <c r="F313" s="627"/>
      <c r="G313" s="627"/>
      <c r="H313" s="627"/>
      <c r="I313" s="627"/>
      <c r="J313" s="627"/>
      <c r="K313" s="1707">
        <f>'Revenues 9-14'!H275-'Expenditures 15-22'!K312</f>
        <v>706716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v>74249</v>
      </c>
      <c r="F320" s="467"/>
      <c r="G320" s="467"/>
      <c r="H320" s="467"/>
      <c r="I320" s="467"/>
      <c r="J320" s="467"/>
      <c r="K320" s="1693">
        <f t="shared" ref="K320:K327" si="24">SUM(C320:J320)</f>
        <v>74249</v>
      </c>
      <c r="L320" s="467">
        <v>76530</v>
      </c>
      <c r="M320" s="666"/>
      <c r="N320" s="666"/>
    </row>
    <row r="321" spans="1:14" s="675" customFormat="1" x14ac:dyDescent="0.2">
      <c r="A321" s="1541" t="s">
        <v>318</v>
      </c>
      <c r="B321" s="698" t="s">
        <v>301</v>
      </c>
      <c r="C321" s="467"/>
      <c r="D321" s="467"/>
      <c r="E321" s="467">
        <v>991</v>
      </c>
      <c r="F321" s="467"/>
      <c r="G321" s="467"/>
      <c r="H321" s="467">
        <v>1995</v>
      </c>
      <c r="I321" s="467"/>
      <c r="J321" s="467"/>
      <c r="K321" s="1693">
        <f t="shared" si="24"/>
        <v>2986</v>
      </c>
      <c r="L321" s="467">
        <v>16595</v>
      </c>
      <c r="M321" s="666"/>
      <c r="N321" s="666"/>
    </row>
    <row r="322" spans="1:14" s="675" customFormat="1" x14ac:dyDescent="0.2">
      <c r="A322" s="1541" t="s">
        <v>256</v>
      </c>
      <c r="B322" s="698" t="s">
        <v>302</v>
      </c>
      <c r="C322" s="467"/>
      <c r="D322" s="467"/>
      <c r="E322" s="467">
        <v>104549</v>
      </c>
      <c r="F322" s="467"/>
      <c r="G322" s="467"/>
      <c r="H322" s="467"/>
      <c r="I322" s="467"/>
      <c r="J322" s="467"/>
      <c r="K322" s="1693">
        <f t="shared" si="24"/>
        <v>104549</v>
      </c>
      <c r="L322" s="467">
        <v>89470</v>
      </c>
      <c r="M322" s="666"/>
      <c r="N322" s="666"/>
    </row>
    <row r="323" spans="1:14" s="675" customFormat="1" x14ac:dyDescent="0.2">
      <c r="A323" s="1541" t="s">
        <v>726</v>
      </c>
      <c r="B323" s="698" t="s">
        <v>303</v>
      </c>
      <c r="C323" s="467">
        <v>102273</v>
      </c>
      <c r="D323" s="467">
        <v>11130</v>
      </c>
      <c r="E323" s="467"/>
      <c r="F323" s="467">
        <v>366</v>
      </c>
      <c r="G323" s="467">
        <v>1594</v>
      </c>
      <c r="H323" s="467">
        <v>500</v>
      </c>
      <c r="I323" s="467"/>
      <c r="J323" s="467"/>
      <c r="K323" s="1693">
        <f t="shared" si="24"/>
        <v>115863</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750</v>
      </c>
      <c r="M324" s="666"/>
      <c r="N324" s="666"/>
    </row>
    <row r="325" spans="1:14" s="675" customFormat="1" ht="22.5" x14ac:dyDescent="0.2">
      <c r="A325" s="1541" t="s">
        <v>1087</v>
      </c>
      <c r="B325" s="699" t="s">
        <v>305</v>
      </c>
      <c r="C325" s="467"/>
      <c r="D325" s="467"/>
      <c r="E325" s="467">
        <v>57571</v>
      </c>
      <c r="F325" s="467"/>
      <c r="G325" s="467"/>
      <c r="H325" s="467"/>
      <c r="I325" s="467"/>
      <c r="J325" s="467"/>
      <c r="K325" s="1693">
        <f t="shared" si="24"/>
        <v>57571</v>
      </c>
      <c r="L325" s="467">
        <v>174030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16265</v>
      </c>
      <c r="F327" s="467"/>
      <c r="G327" s="467"/>
      <c r="H327" s="467"/>
      <c r="I327" s="467"/>
      <c r="J327" s="467"/>
      <c r="K327" s="1693">
        <f t="shared" si="24"/>
        <v>16265</v>
      </c>
      <c r="L327" s="467">
        <v>27625</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102273</v>
      </c>
      <c r="D330" s="1692">
        <f t="shared" ref="D330:J330" si="25">SUM(D319:D329)</f>
        <v>11130</v>
      </c>
      <c r="E330" s="1692">
        <f t="shared" si="25"/>
        <v>253625</v>
      </c>
      <c r="F330" s="1692">
        <f t="shared" si="25"/>
        <v>366</v>
      </c>
      <c r="G330" s="1692">
        <f t="shared" si="25"/>
        <v>1594</v>
      </c>
      <c r="H330" s="1692">
        <f t="shared" si="25"/>
        <v>2495</v>
      </c>
      <c r="I330" s="1692">
        <f t="shared" si="25"/>
        <v>0</v>
      </c>
      <c r="J330" s="1692">
        <f t="shared" si="25"/>
        <v>0</v>
      </c>
      <c r="K330" s="1692">
        <f>SUM(K319:K329)</f>
        <v>371483</v>
      </c>
      <c r="L330" s="1692">
        <f>SUM(L319:L329)</f>
        <v>385000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102273</v>
      </c>
      <c r="D342" s="1692">
        <f>SUM(D330)</f>
        <v>11130</v>
      </c>
      <c r="E342" s="1692">
        <f>SUM(E330)</f>
        <v>253625</v>
      </c>
      <c r="F342" s="1692">
        <f>SUM(F330)</f>
        <v>366</v>
      </c>
      <c r="G342" s="1692">
        <f>SUM(G330)</f>
        <v>1594</v>
      </c>
      <c r="H342" s="1692">
        <f>SUM(H330,H334,H340)</f>
        <v>2495</v>
      </c>
      <c r="I342" s="1692">
        <f>SUM(I330)</f>
        <v>0</v>
      </c>
      <c r="J342" s="1692">
        <f>SUM(J330)</f>
        <v>0</v>
      </c>
      <c r="K342" s="1692">
        <f>SUM(K330,K334,K340)</f>
        <v>371483</v>
      </c>
      <c r="L342" s="1699">
        <f>SUM(L330,L340,L341)</f>
        <v>385000</v>
      </c>
    </row>
    <row r="343" spans="1:14" ht="12.75" customHeight="1" thickTop="1" x14ac:dyDescent="0.2">
      <c r="A343" s="2193" t="s">
        <v>1053</v>
      </c>
      <c r="B343" s="2194"/>
      <c r="C343" s="617"/>
      <c r="D343" s="617"/>
      <c r="E343" s="617"/>
      <c r="F343" s="617"/>
      <c r="G343" s="617"/>
      <c r="H343" s="617"/>
      <c r="I343" s="617"/>
      <c r="J343" s="617"/>
      <c r="K343" s="1706">
        <f>'Revenues 9-14'!J275-'Expenditures 15-22'!K342</f>
        <v>3311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0" t="s">
        <v>1053</v>
      </c>
      <c r="B368" s="2181"/>
      <c r="C368" s="655"/>
      <c r="D368" s="655"/>
      <c r="E368" s="627"/>
      <c r="F368" s="627"/>
      <c r="G368" s="627"/>
      <c r="H368" s="627"/>
      <c r="I368" s="627"/>
      <c r="J368" s="624"/>
      <c r="K368" s="1693">
        <f>'Revenues 9-14'!K275-'Expenditures 15-22'!K367</f>
        <v>173147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1" right="0.3" top="1" bottom="1"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Financial Statements.</oddFooter>
  </headerFooter>
  <rowBreaks count="7" manualBreakCount="7">
    <brk id="53" max="16383" man="1"/>
    <brk id="95" max="16383" man="1"/>
    <brk id="142" max="16383" man="1"/>
    <brk id="188" max="16383" man="1"/>
    <brk id="237" max="16383" man="1"/>
    <brk id="283" max="16383" man="1"/>
    <brk id="32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 29</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SEFA-1</vt:lpstr>
      <vt:lpstr>SEFA-2</vt:lpstr>
      <vt:lpstr>SEFA-3</vt:lpstr>
      <vt:lpstr>SEFA-4</vt:lpstr>
      <vt:lpstr>SEFA NOTES</vt:lpstr>
      <vt:lpstr>SF&amp;QC Sec-1</vt:lpstr>
      <vt:lpstr>SF&amp;QC Sec-2</vt:lpstr>
      <vt:lpstr>SF&amp;QC Sec-3.1</vt:lpstr>
      <vt:lpstr>SF&amp;QC Sec-3.2</vt:lpstr>
      <vt:lpstr>SSPAF</vt:lpstr>
      <vt:lpstr>' SEFA-1'!Print_Area</vt:lpstr>
      <vt:lpstr>'SEFA NOTES'!Print_Area</vt:lpstr>
      <vt:lpstr>'SEFA Reconcile'!Print_Area</vt:lpstr>
      <vt:lpstr>'SF&amp;QC Sec-1'!Print_Area</vt:lpstr>
      <vt:lpstr>'SF&amp;QC Sec-3.1'!Print_Area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2018-12-14T16:55:40Z</cp:lastPrinted>
  <dcterms:created xsi:type="dcterms:W3CDTF">2003-10-29T19:06:34Z</dcterms:created>
  <dcterms:modified xsi:type="dcterms:W3CDTF">2018-12-19T17:25:24Z</dcterms:modified>
</cp:coreProperties>
</file>