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78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 1" sheetId="186" r:id="rId28"/>
    <sheet name=" SEFA - 2" sheetId="185" r:id="rId29"/>
    <sheet name=" SEFA - 3" sheetId="184" r:id="rId30"/>
    <sheet name=" SEFA - 4" sheetId="183" r:id="rId31"/>
    <sheet name=" SEFA - 5" sheetId="179"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 - 1'!$B$1:$M$46</definedName>
    <definedName name="_xlnm.Print_Area" localSheetId="28">' SEFA - 2'!$B$1:$M$46</definedName>
    <definedName name="_xlnm.Print_Area" localSheetId="29">' SEFA - 3'!$B$1:$M$46</definedName>
    <definedName name="_xlnm.Print_Area" localSheetId="30">' SEFA - 4'!$B$1:$M$46</definedName>
    <definedName name="_xlnm.Print_Area" localSheetId="31">' SEFA - 5'!$B$1:$M$46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5" i="179" l="1"/>
  <c r="M17" i="179" s="1"/>
  <c r="K15" i="179"/>
  <c r="K17" i="179" s="1"/>
  <c r="J15" i="179"/>
  <c r="J17" i="179" s="1"/>
  <c r="I15" i="179"/>
  <c r="I17" i="179" s="1"/>
  <c r="H15" i="179"/>
  <c r="H17" i="179" s="1"/>
  <c r="G15" i="179"/>
  <c r="G17" i="179" s="1"/>
  <c r="F15" i="179"/>
  <c r="F17" i="179" s="1"/>
  <c r="E15" i="179"/>
  <c r="E17" i="179" s="1"/>
  <c r="M19" i="183"/>
  <c r="K19" i="183"/>
  <c r="J19" i="183"/>
  <c r="I19" i="183"/>
  <c r="H19" i="183"/>
  <c r="G19" i="183"/>
  <c r="F19" i="183"/>
  <c r="E19" i="183"/>
  <c r="M15" i="183"/>
  <c r="K15" i="183"/>
  <c r="J15" i="183"/>
  <c r="I15" i="183"/>
  <c r="H15" i="183"/>
  <c r="G15" i="183"/>
  <c r="F15" i="183"/>
  <c r="E15" i="183"/>
  <c r="M27" i="184"/>
  <c r="K27" i="184"/>
  <c r="J27" i="184"/>
  <c r="I27" i="184"/>
  <c r="H27" i="184"/>
  <c r="G27" i="184"/>
  <c r="F27" i="184"/>
  <c r="E27" i="184"/>
  <c r="M21" i="184"/>
  <c r="K21" i="184"/>
  <c r="J21" i="184"/>
  <c r="I21" i="184"/>
  <c r="H21" i="184"/>
  <c r="G21" i="184"/>
  <c r="F21" i="184"/>
  <c r="E21" i="184"/>
  <c r="M16" i="184"/>
  <c r="K16" i="184"/>
  <c r="J16" i="184"/>
  <c r="I16" i="184"/>
  <c r="H16" i="184"/>
  <c r="G16" i="184"/>
  <c r="F16" i="184"/>
  <c r="E16" i="184"/>
  <c r="M22" i="185"/>
  <c r="K22" i="185"/>
  <c r="J22" i="185"/>
  <c r="I22" i="185"/>
  <c r="H22" i="185"/>
  <c r="G22" i="185"/>
  <c r="F22" i="185"/>
  <c r="E22" i="185"/>
  <c r="M14" i="185"/>
  <c r="K14" i="185"/>
  <c r="J14" i="185"/>
  <c r="I14" i="185"/>
  <c r="H14" i="185"/>
  <c r="G14" i="185"/>
  <c r="F14" i="185"/>
  <c r="E14" i="185"/>
  <c r="M24" i="186"/>
  <c r="K24" i="186"/>
  <c r="J24" i="186"/>
  <c r="I24" i="186"/>
  <c r="H24" i="186"/>
  <c r="G24" i="186"/>
  <c r="F24" i="186"/>
  <c r="E24" i="186"/>
  <c r="M19" i="186"/>
  <c r="M26" i="186" s="1"/>
  <c r="K19" i="186"/>
  <c r="K26" i="186" s="1"/>
  <c r="J19" i="186"/>
  <c r="J26" i="186" s="1"/>
  <c r="I19" i="186"/>
  <c r="I26" i="186" s="1"/>
  <c r="H19" i="186"/>
  <c r="H26" i="186" s="1"/>
  <c r="G19" i="186"/>
  <c r="G26" i="186" s="1"/>
  <c r="F19" i="186"/>
  <c r="F26" i="186" s="1"/>
  <c r="E19" i="186"/>
  <c r="E26" i="186" s="1"/>
  <c r="M14" i="186"/>
  <c r="K14" i="186"/>
  <c r="J14" i="186"/>
  <c r="I14" i="186"/>
  <c r="H14" i="186"/>
  <c r="G14" i="186"/>
  <c r="F14" i="186"/>
  <c r="E14" i="186"/>
  <c r="H16" i="185" l="1"/>
  <c r="J16" i="185"/>
  <c r="G16" i="185"/>
  <c r="M16" i="185"/>
  <c r="E16" i="185"/>
  <c r="K16" i="185"/>
  <c r="E21" i="183"/>
  <c r="E19" i="179" s="1"/>
  <c r="F21" i="183"/>
  <c r="I16" i="185"/>
  <c r="G21" i="183"/>
  <c r="K21" i="183"/>
  <c r="I21" i="183"/>
  <c r="J21" i="183"/>
  <c r="F16" i="185"/>
  <c r="F19" i="179" s="1"/>
  <c r="H21" i="183"/>
  <c r="H19" i="179" s="1"/>
  <c r="M21" i="183"/>
  <c r="L24" i="186"/>
  <c r="L23" i="186"/>
  <c r="L22" i="186"/>
  <c r="L19" i="186"/>
  <c r="L18" i="186"/>
  <c r="L17" i="186"/>
  <c r="L14" i="186"/>
  <c r="L13" i="186"/>
  <c r="L12" i="186"/>
  <c r="B4" i="186"/>
  <c r="L27" i="185"/>
  <c r="L26" i="185"/>
  <c r="L25" i="185"/>
  <c r="L24" i="185"/>
  <c r="L22" i="185"/>
  <c r="L21" i="185"/>
  <c r="L20" i="185"/>
  <c r="L16" i="185"/>
  <c r="L15" i="185"/>
  <c r="L14" i="185"/>
  <c r="L13" i="185"/>
  <c r="B4" i="185"/>
  <c r="L27" i="184"/>
  <c r="L26" i="184"/>
  <c r="L24" i="184"/>
  <c r="L21" i="184"/>
  <c r="L20" i="184"/>
  <c r="L19" i="184"/>
  <c r="L15" i="184"/>
  <c r="L13" i="184"/>
  <c r="B4" i="184"/>
  <c r="L19" i="183"/>
  <c r="L18" i="183"/>
  <c r="L15" i="183"/>
  <c r="L14" i="183"/>
  <c r="L13" i="183"/>
  <c r="B4" i="183"/>
  <c r="L21" i="183" l="1"/>
  <c r="J19" i="179"/>
  <c r="I19" i="179"/>
  <c r="M19" i="179"/>
  <c r="K19" i="179"/>
  <c r="G19" i="179"/>
  <c r="L26" i="186"/>
  <c r="L16" i="184"/>
  <c r="J9"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9" i="179" l="1"/>
  <c r="L17"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9" l="1"/>
  <c r="B2" i="186"/>
  <c r="B2" i="185"/>
  <c r="B2" i="183"/>
  <c r="B2" i="184"/>
  <c r="B1" i="186"/>
  <c r="B1" i="183"/>
  <c r="B1" i="185"/>
  <c r="B1" i="184"/>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78" i="36"/>
  <c r="K75" i="29"/>
  <c r="G39" i="108"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D1138" i="106"/>
  <c r="K71" i="29"/>
  <c r="B1139" i="106" s="1"/>
  <c r="D1139" i="106" s="1"/>
  <c r="D1140" i="106"/>
  <c r="K73" i="29"/>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c r="B6310" i="106"/>
  <c r="D6310" i="106" s="1"/>
  <c r="B6311" i="106"/>
  <c r="D6311" i="106" s="1"/>
  <c r="B6312" i="106"/>
  <c r="D6312" i="106" s="1"/>
  <c r="B6313" i="106"/>
  <c r="D6313" i="106" s="1"/>
  <c r="B6314" i="106"/>
  <c r="D6314" i="106" s="1"/>
  <c r="B6315" i="106"/>
  <c r="D6315" i="106" s="1"/>
  <c r="B6316" i="106"/>
  <c r="D6316" i="106" s="1"/>
  <c r="B6317" i="106"/>
  <c r="D6317" i="106"/>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c r="B6343" i="106"/>
  <c r="D6343" i="106" s="1"/>
  <c r="B6344" i="106"/>
  <c r="D6344" i="106" s="1"/>
  <c r="B6345" i="106"/>
  <c r="D6345" i="106" s="1"/>
  <c r="B6346" i="106"/>
  <c r="D6346" i="106" s="1"/>
  <c r="B6347" i="106"/>
  <c r="D6347" i="106" s="1"/>
  <c r="B6348" i="106"/>
  <c r="D6348" i="106" s="1"/>
  <c r="B6349" i="106"/>
  <c r="D6349" i="106" s="1"/>
  <c r="B6350" i="106"/>
  <c r="D6350" i="106"/>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70" i="127"/>
  <c r="B71" i="127"/>
  <c r="E26" i="108"/>
  <c r="F26" i="108"/>
  <c r="G26" i="108"/>
  <c r="D27" i="108"/>
  <c r="E27" i="108"/>
  <c r="F27" i="108"/>
  <c r="G27" i="108"/>
  <c r="F31" i="108"/>
  <c r="F36" i="108"/>
  <c r="G28" i="108"/>
  <c r="E29" i="108"/>
  <c r="G29" i="108"/>
  <c r="D31" i="108"/>
  <c r="E31" i="108"/>
  <c r="G31"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J22" i="37"/>
  <c r="L22" i="37"/>
  <c r="L5" i="11"/>
  <c r="B2056" i="106" s="1"/>
  <c r="D2056" i="106" s="1"/>
  <c r="D4" i="7"/>
  <c r="B1760" i="106" s="1"/>
  <c r="D1760" i="106" s="1"/>
  <c r="D13" i="7"/>
  <c r="B3726" i="106" s="1"/>
  <c r="D3726" i="106" s="1"/>
  <c r="F45" i="34" l="1"/>
  <c r="F35" i="34"/>
  <c r="D11" i="37"/>
  <c r="F49" i="34"/>
  <c r="I210" i="29"/>
  <c r="G352" i="29"/>
  <c r="K24" i="12"/>
  <c r="F127" i="34"/>
  <c r="F70" i="34"/>
  <c r="G33" i="108"/>
  <c r="D37" i="108"/>
  <c r="K41" i="3"/>
  <c r="K274" i="5"/>
  <c r="C14" i="4"/>
  <c r="B2558" i="106" s="1"/>
  <c r="D2558" i="106" s="1"/>
  <c r="I274" i="5"/>
  <c r="B4435" i="106" s="1"/>
  <c r="D4435" i="106" s="1"/>
  <c r="F37" i="108"/>
  <c r="J77" i="4"/>
  <c r="B6262" i="106" s="1"/>
  <c r="D6262" i="106" s="1"/>
  <c r="C352" i="29"/>
  <c r="K285" i="29"/>
  <c r="F73" i="34" s="1"/>
  <c r="G210" i="29"/>
  <c r="G15" i="145"/>
  <c r="B1746" i="106"/>
  <c r="D1746" i="106" s="1"/>
  <c r="L367" i="29"/>
  <c r="F19" i="7"/>
  <c r="B1807" i="106" s="1"/>
  <c r="D1807" i="106" s="1"/>
  <c r="F52" i="34"/>
  <c r="J352" i="29"/>
  <c r="J367" i="29" s="1"/>
  <c r="B7245" i="106" s="1"/>
  <c r="F77" i="4"/>
  <c r="B3255" i="106" s="1"/>
  <c r="D3255" i="106" s="1"/>
  <c r="B2724" i="106"/>
  <c r="D2724" i="106" s="1"/>
  <c r="B5878" i="106"/>
  <c r="D5878" i="106" s="1"/>
  <c r="H109" i="5"/>
  <c r="B6025" i="106" s="1"/>
  <c r="D6025" i="106" s="1"/>
  <c r="B1756" i="106"/>
  <c r="D1756" i="106" s="1"/>
  <c r="D15" i="7"/>
  <c r="B1772" i="106" s="1"/>
  <c r="D1772" i="106" s="1"/>
  <c r="B1752" i="106"/>
  <c r="D1752" i="106" s="1"/>
  <c r="D11" i="7"/>
  <c r="B1768" i="106" s="1"/>
  <c r="D1768" i="106" s="1"/>
  <c r="F94" i="34"/>
  <c r="B5096" i="106"/>
  <c r="D5096" i="106" s="1"/>
  <c r="D7245" i="106"/>
  <c r="B6899" i="106"/>
  <c r="D6899" i="106" s="1"/>
  <c r="F50" i="34"/>
  <c r="B6887" i="106"/>
  <c r="D6887" i="106" s="1"/>
  <c r="F44" i="34"/>
  <c r="B6883" i="106"/>
  <c r="D6883" i="106" s="1"/>
  <c r="F42" i="34"/>
  <c r="B3723" i="106"/>
  <c r="D3723" i="106" s="1"/>
  <c r="B4412" i="106"/>
  <c r="D4412" i="106" s="1"/>
  <c r="F131" i="34"/>
  <c r="E109" i="5"/>
  <c r="E4" i="4" s="1"/>
  <c r="B2630" i="106" s="1"/>
  <c r="D2630" i="106" s="1"/>
  <c r="B6858" i="106"/>
  <c r="D6858" i="106" s="1"/>
  <c r="F36" i="34"/>
  <c r="B2733" i="106"/>
  <c r="D2733" i="106" s="1"/>
  <c r="D22" i="37"/>
  <c r="B5893" i="106"/>
  <c r="D5893" i="106" s="1"/>
  <c r="H173" i="5"/>
  <c r="B5906" i="106" s="1"/>
  <c r="D5906" i="106" s="1"/>
  <c r="D12" i="7"/>
  <c r="B1769" i="106" s="1"/>
  <c r="D1769" i="106" s="1"/>
  <c r="H44" i="4"/>
  <c r="B3296" i="106" s="1"/>
  <c r="D3296" i="106" s="1"/>
  <c r="B6289" i="106"/>
  <c r="D6289" i="106" s="1"/>
  <c r="K184" i="29"/>
  <c r="F13" i="4" s="1"/>
  <c r="B2596" i="106" s="1"/>
  <c r="D2596" i="106" s="1"/>
  <c r="B4087" i="106"/>
  <c r="D4087" i="106" s="1"/>
  <c r="B1276" i="106"/>
  <c r="D1276" i="106" s="1"/>
  <c r="E28" i="108"/>
  <c r="F28" i="108"/>
  <c r="F41" i="108" s="1"/>
  <c r="G43" i="108" s="1"/>
  <c r="B1142" i="106"/>
  <c r="D1142" i="106" s="1"/>
  <c r="G38" i="108"/>
  <c r="B1137" i="106"/>
  <c r="D1137" i="106" s="1"/>
  <c r="D36" i="108"/>
  <c r="K92" i="29"/>
  <c r="B2089" i="106" s="1"/>
  <c r="D2089" i="106" s="1"/>
  <c r="B6995" i="106"/>
  <c r="D6995" i="106" s="1"/>
  <c r="B4363" i="106"/>
  <c r="D4363" i="106" s="1"/>
  <c r="I173" i="5"/>
  <c r="B4216" i="106" s="1"/>
  <c r="D4216" i="106" s="1"/>
  <c r="B7071" i="106"/>
  <c r="D7071" i="106" s="1"/>
  <c r="F66" i="34"/>
  <c r="B6079" i="106"/>
  <c r="D6079" i="106" s="1"/>
  <c r="D24" i="37"/>
  <c r="B4270" i="106" s="1"/>
  <c r="D4270" i="106" s="1"/>
  <c r="B3454" i="106"/>
  <c r="D3454" i="106" s="1"/>
  <c r="L15" i="11"/>
  <c r="B3459" i="106" s="1"/>
  <c r="D3459" i="106" s="1"/>
  <c r="D6103" i="106"/>
  <c r="G172" i="5"/>
  <c r="B5770" i="106" s="1"/>
  <c r="D5770" i="106" s="1"/>
  <c r="D54" i="36"/>
  <c r="H342" i="29"/>
  <c r="F111" i="34"/>
  <c r="D26" i="108"/>
  <c r="D41" i="108" s="1"/>
  <c r="E43" i="108" s="1"/>
  <c r="H76" i="4"/>
  <c r="B3298" i="106" s="1"/>
  <c r="D3298" i="106" s="1"/>
  <c r="F21" i="8"/>
  <c r="L13" i="11"/>
  <c r="B2060" i="106" s="1"/>
  <c r="D2060" i="106" s="1"/>
  <c r="D69" i="36"/>
  <c r="G30" i="108"/>
  <c r="E30" i="108"/>
  <c r="C109" i="5"/>
  <c r="B5121" i="106" s="1"/>
  <c r="D5121" i="106" s="1"/>
  <c r="G173" i="5"/>
  <c r="B5778" i="106" s="1"/>
  <c r="D5778"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7733" i="106" l="1"/>
  <c r="D7733" i="106" s="1"/>
  <c r="K26" i="12"/>
  <c r="B7743" i="106" s="1"/>
  <c r="D7743" i="106" s="1"/>
  <c r="H77" i="4"/>
  <c r="B3299" i="106" s="1"/>
  <c r="D3299" i="106" s="1"/>
  <c r="I7" i="4"/>
  <c r="B4444" i="106" s="1"/>
  <c r="D4444" i="106" s="1"/>
  <c r="G15" i="4"/>
  <c r="B6032" i="106" s="1"/>
  <c r="D6032" i="106" s="1"/>
  <c r="I6" i="4"/>
  <c r="B5011" i="106" s="1"/>
  <c r="D5011" i="106" s="1"/>
  <c r="B3724" i="106"/>
  <c r="D3724" i="106" s="1"/>
  <c r="B1381" i="106"/>
  <c r="D1381" i="106" s="1"/>
  <c r="K365" i="29"/>
  <c r="B5527" i="106"/>
  <c r="D5527" i="106" s="1"/>
  <c r="B1365" i="106"/>
  <c r="D1365" i="106" s="1"/>
  <c r="F65" i="34"/>
  <c r="B3568" i="106"/>
  <c r="D3568" i="106" s="1"/>
  <c r="D52" i="36"/>
  <c r="D44" i="36"/>
  <c r="B1879" i="106"/>
  <c r="D1879" i="106" s="1"/>
  <c r="H22" i="37"/>
  <c r="L114" i="29"/>
  <c r="C114" i="29"/>
  <c r="B757" i="106" s="1"/>
  <c r="D757" i="106" s="1"/>
  <c r="C4" i="4"/>
  <c r="B2551" i="106" s="1"/>
  <c r="D2551" i="106" s="1"/>
  <c r="D19" i="7"/>
  <c r="B1775" i="106" s="1"/>
  <c r="D1775" i="106" s="1"/>
  <c r="I26" i="12"/>
  <c r="B7741" i="106" s="1"/>
  <c r="D7741" i="106" s="1"/>
  <c r="B1996" i="106"/>
  <c r="D1996" i="106" s="1"/>
  <c r="B5214" i="106"/>
  <c r="D5214" i="106" s="1"/>
  <c r="C173" i="5"/>
  <c r="B3628" i="106"/>
  <c r="D3628" i="106" s="1"/>
  <c r="C151" i="29"/>
  <c r="B1226" i="106" s="1"/>
  <c r="D1226" i="106" s="1"/>
  <c r="B1317" i="106"/>
  <c r="D1317" i="106" s="1"/>
  <c r="F274" i="5"/>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J8" i="4" l="1"/>
  <c r="J17" i="4"/>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368" i="29" l="1"/>
  <c r="B3681" i="106" s="1"/>
  <c r="D3681" i="106"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D10" i="146" l="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<sst xmlns="http://schemas.openxmlformats.org/spreadsheetml/2006/main" count="5340" uniqueCount="2173">
  <si>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</si>
  <si>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</si>
  <si>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</si>
  <si>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</si>
  <si>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</si>
  <si>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</si>
  <si>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</si>
  <si>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</si>
  <si>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</si>
  <si>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</si>
  <si>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</si>
  <si>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</si>
  <si>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</si>
  <si>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</si>
  <si>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</si>
  <si>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</si>
  <si>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</si>
  <si>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</si>
  <si>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</si>
  <si>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</si>
  <si>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</si>
  <si>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</si>
  <si>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</si>
  <si>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</si>
  <si>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</si>
  <si>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</si>
  <si>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</si>
  <si>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</si>
  <si>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</si>
  <si>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</si>
  <si>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</si>
  <si>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</si>
  <si>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</si>
  <si>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</si>
  <si>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</si>
  <si>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</si>
  <si>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</si>
  <si>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</si>
  <si>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</si>
  <si>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</si>
  <si>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</si>
  <si>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</si>
  <si>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</si>
  <si>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</si>
  <si>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</si>
  <si>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</si>
  <si>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</si>
  <si>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</si>
  <si>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</si>
  <si>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</si>
  <si>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</si>
  <si>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</si>
  <si>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</si>
  <si>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</si>
  <si>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</si>
  <si>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</si>
  <si>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</si>
  <si>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</si>
  <si>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</si>
  <si>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</si>
  <si>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</si>
  <si>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</si>
  <si>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</si>
  <si>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</si>
  <si>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</si>
  <si>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</si>
  <si>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</si>
  <si>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</si>
  <si>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</si>
  <si>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</si>
  <si>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</si>
  <si>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</si>
  <si>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</si>
  <si>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</si>
  <si>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</si>
  <si>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</si>
  <si>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</si>
  <si>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</si>
  <si>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</si>
  <si>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</si>
  <si>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</si>
  <si>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</si>
  <si>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</si>
  <si>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</si>
  <si>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</si>
  <si>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</si>
  <si>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</si>
  <si>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</si>
  <si>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</si>
  <si>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</si>
  <si>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</si>
  <si>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</si>
  <si>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</si>
  <si>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</si>
  <si>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</si>
  <si>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</si>
  <si>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</si>
  <si>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</si>
  <si>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</si>
  <si>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</si>
  <si>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</si>
  <si>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</si>
  <si>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</si>
  <si>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</si>
  <si>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</si>
  <si>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</si>
  <si>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</si>
  <si>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</si>
  <si>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</si>
  <si>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</si>
  <si>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</si>
  <si>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</si>
  <si>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</si>
  <si>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</si>
  <si>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</si>
  <si>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</si>
  <si>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</si>
  <si>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</si>
  <si>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</si>
  <si>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</si>
  <si>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</si>
  <si>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</si>
  <si>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</si>
  <si>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</si>
  <si>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</si>
  <si>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</si>
  <si>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</si>
  <si>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</si>
  <si>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</si>
  <si>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</si>
  <si>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</si>
  <si>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</si>
  <si>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</si>
  <si>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</si>
  <si>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</si>
  <si>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</si>
  <si>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</si>
  <si>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</si>
  <si>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</si>
  <si>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</si>
  <si>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</si>
  <si>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</si>
  <si>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</si>
  <si>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</si>
  <si>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</si>
  <si>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</si>
  <si>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</si>
  <si>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</si>
  <si>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</si>
  <si>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</si>
  <si>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</si>
  <si>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</si>
  <si>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</si>
  <si>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</si>
  <si>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</si>
  <si>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</si>
  <si>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</si>
  <si>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</si>
  <si>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</si>
  <si>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</si>
  <si>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</si>
  <si>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</si>
  <si>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</si>
  <si>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</si>
  <si>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</si>
  <si>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</si>
  <si>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</si>
  <si>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</si>
  <si>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</si>
  <si>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</si>
  <si>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</si>
  <si>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</si>
  <si>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</si>
  <si>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</si>
  <si>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</si>
  <si>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</si>
  <si>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</si>
  <si>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</si>
  <si>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</si>
  <si>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</si>
  <si>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</si>
  <si>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</si>
  <si>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</si>
  <si>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</si>
  <si>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</si>
  <si>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</si>
  <si>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</si>
  <si>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</si>
  <si>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</si>
  <si>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</si>
  <si>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</si>
  <si>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</si>
  <si>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</si>
  <si>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</si>
  <si>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</si>
  <si>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</si>
  <si>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</si>
  <si>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</si>
  <si>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</si>
  <si>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</si>
  <si>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</si>
  <si>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</si>
  <si>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</si>
  <si>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</si>
  <si>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</si>
  <si>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</si>
  <si>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</si>
  <si>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</si>
  <si>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</si>
  <si>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</si>
  <si>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</si>
  <si>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</si>
  <si>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</si>
  <si>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</si>
  <si>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</si>
  <si>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</si>
  <si>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</si>
  <si>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</si>
  <si>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</si>
  <si>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</si>
  <si>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</si>
  <si>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</si>
  <si>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</si>
  <si>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</si>
  <si>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</si>
  <si>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</si>
  <si>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</si>
  <si>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</si>
  <si>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</si>
  <si>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</si>
  <si>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</si>
  <si>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</si>
  <si>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</si>
  <si>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</si>
  <si>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</si>
  <si>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</si>
  <si>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</si>
  <si>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</si>
  <si>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</si>
  <si>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</si>
  <si>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</si>
  <si>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</si>
  <si>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</si>
  <si>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</si>
  <si>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</si>
  <si>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</si>
  <si>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</si>
  <si>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</si>
  <si>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</si>
  <si>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</si>
  <si>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</si>
  <si>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</si>
  <si>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</si>
  <si>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</si>
  <si>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</si>
  <si>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</si>
  <si>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</si>
  <si>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</si>
  <si>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</si>
  <si>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</si>
  <si>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</si>
  <si>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</si>
  <si>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</si>
  <si>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</si>
  <si>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</si>
  <si>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</si>
  <si>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</si>
  <si>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</si>
  <si>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</si>
  <si>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</si>
  <si>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</si>
  <si>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</si>
  <si>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</si>
  <si>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</si>
  <si>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</si>
  <si>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</si>
  <si>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</si>
  <si>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</si>
  <si>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</si>
  <si>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</si>
  <si>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</si>
  <si>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</si>
  <si>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</si>
  <si>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</si>
  <si>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</si>
  <si>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</si>
  <si>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</si>
  <si>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</si>
  <si>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</si>
  <si>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</si>
  <si>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</si>
  <si>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</si>
  <si>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</si>
  <si>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</si>
  <si>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</si>
  <si>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</si>
  <si>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</si>
  <si>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</si>
  <si>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</si>
  <si>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</si>
  <si>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</si>
  <si>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</si>
  <si>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</si>
  <si>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</si>
  <si>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</si>
  <si>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</si>
  <si>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</si>
  <si>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</si>
  <si>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</si>
  <si>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</si>
  <si>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</si>
  <si>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</si>
  <si>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</si>
  <si>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</si>
  <si>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</si>
  <si>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</si>
  <si>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</si>
  <si>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</si>
  <si>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</si>
  <si>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</si>
  <si>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</si>
  <si>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</si>
  <si>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</si>
  <si>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</si>
  <si>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</si>
  <si>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</si>
  <si>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</si>
  <si>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</si>
  <si>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</si>
  <si>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</si>
  <si>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</si>
  <si>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</si>
  <si>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</si>
  <si>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</si>
  <si>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</si>
  <si>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</si>
  <si>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</si>
  <si>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</si>
  <si>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</si>
  <si>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</si>
  <si>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</si>
  <si>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</si>
  <si>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</si>
  <si>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</si>
  <si>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</si>
  <si>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</si>
  <si>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</si>
  <si>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</si>
  <si>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</si>
  <si>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</si>
  <si>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</si>
  <si>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</si>
  <si>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</si>
  <si>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</si>
  <si>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</si>
  <si>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</si>
  <si>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</si>
  <si>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</si>
  <si>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</si>
  <si>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</si>
  <si>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</si>
  <si>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</si>
  <si>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</si>
  <si>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</si>
  <si>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</si>
  <si>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</si>
  <si>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</si>
  <si>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</si>
  <si>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</si>
  <si>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</si>
  <si>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</si>
  <si>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</si>
  <si>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</si>
  <si>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</si>
  <si>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</si>
  <si>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</si>
  <si>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</si>
  <si>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</si>
  <si>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</si>
  <si>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</si>
  <si>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</si>
  <si>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</si>
  <si>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</si>
  <si>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</si>
  <si>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</si>
  <si>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</si>
  <si>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</si>
  <si>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</si>
  <si>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</si>
  <si>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</si>
  <si>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</si>
  <si>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</si>
  <si>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</si>
  <si>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</si>
  <si>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</si>
  <si>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</si>
  <si>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</si>
  <si>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</si>
  <si>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</si>
  <si>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</si>
  <si>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</si>
  <si>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</si>
  <si>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</si>
  <si>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</si>
  <si>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</si>
  <si>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</si>
  <si>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</si>
  <si>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</si>
  <si>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</si>
  <si>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</si>
  <si>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</si>
  <si>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</si>
  <si>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</si>
  <si>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</si>
  <si>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</si>
  <si>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</si>
  <si>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</si>
  <si>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</si>
  <si>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</si>
  <si>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</si>
  <si>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</si>
  <si>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</si>
  <si>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</si>
  <si>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</si>
  <si>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</si>
  <si>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</si>
  <si>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</si>
  <si>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</si>
  <si>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</si>
  <si>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</si>
  <si>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</si>
  <si>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</si>
  <si>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</si>
  <si>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</si>
  <si>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</si>
  <si>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</si>
  <si>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</si>
  <si>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</si>
  <si>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</si>
  <si>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</si>
  <si>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</si>
  <si>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</si>
  <si>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</si>
  <si>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</si>
  <si>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</si>
  <si>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</si>
  <si>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</si>
  <si>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</si>
  <si>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</si>
  <si>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</si>
  <si>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</si>
  <si>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</si>
  <si>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</si>
  <si>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</si>
  <si>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</si>
  <si>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</si>
  <si>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</si>
  <si>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</si>
  <si>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</si>
  <si>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</si>
  <si>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</si>
  <si>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</si>
  <si>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</si>
  <si>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</si>
  <si>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</si>
  <si>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</si>
  <si>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</si>
  <si>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</si>
  <si>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</si>
  <si>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</si>
  <si>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</si>
  <si>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</si>
  <si>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</si>
  <si>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</si>
  <si>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</si>
  <si>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</si>
  <si>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</si>
  <si>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</si>
  <si>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</si>
  <si>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</si>
  <si>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</si>
  <si>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</si>
  <si>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</si>
  <si>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</si>
  <si>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</si>
  <si>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</si>
  <si>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</si>
  <si>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</si>
  <si>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</si>
  <si>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</si>
  <si>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</si>
  <si>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</si>
  <si>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</si>
  <si>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</si>
  <si>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</si>
  <si>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</si>
  <si>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</si>
  <si>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</si>
  <si>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</si>
  <si>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</si>
  <si>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</si>
  <si>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</si>
  <si>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</si>
  <si>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</si>
  <si>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</si>
  <si>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</si>
  <si>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</si>
  <si>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</si>
  <si>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</si>
  <si>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</si>
  <si>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</si>
  <si>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</si>
  <si>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</si>
  <si>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</si>
  <si>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</si>
  <si>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</si>
  <si>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</si>
  <si>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</si>
  <si>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</si>
  <si>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</si>
  <si>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</si>
  <si>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</si>
  <si>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</si>
  <si>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</si>
  <si>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</si>
  <si>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</si>
  <si>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</si>
  <si>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</si>
  <si>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</si>
  <si>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</si>
  <si>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</si>
  <si>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</si>
  <si>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</si>
  <si>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</si>
  <si>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</si>
  <si>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</si>
  <si>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</si>
  <si>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</si>
  <si>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</si>
  <si>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</si>
  <si>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</si>
  <si>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</si>
  <si>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</si>
  <si>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</si>
  <si>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</si>
  <si>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</si>
  <si>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</si>
  <si>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</si>
  <si>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</si>
  <si>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</si>
  <si>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</si>
  <si>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</si>
  <si>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</si>
  <si>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</si>
  <si>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</si>
  <si>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</si>
  <si>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</si>
  <si>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</si>
  <si>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</si>
  <si>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</si>
  <si>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</si>
  <si>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</si>
  <si>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</si>
  <si>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</si>
  <si>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</si>
  <si>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</si>
  <si>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</si>
  <si>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</si>
  <si>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</si>
  <si>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</si>
  <si>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</si>
  <si>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</si>
  <si>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</si>
  <si>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</si>
  <si>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</si>
  <si>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</si>
  <si>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</si>
  <si>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</si>
  <si>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</si>
  <si>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</si>
  <si>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</si>
  <si>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</si>
  <si>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</si>
  <si>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</si>
  <si>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</si>
  <si>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</si>
  <si>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</si>
  <si>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</si>
  <si>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</si>
  <si>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</si>
  <si>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</si>
  <si>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</si>
  <si>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</si>
  <si>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</si>
  <si>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</si>
  <si>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</si>
  <si>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</si>
  <si>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</si>
  <si>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</si>
  <si>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</si>
  <si>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</si>
  <si>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</si>
  <si>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</si>
  <si>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</si>
  <si>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</si>
  <si>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</si>
  <si>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</si>
  <si>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</si>
  <si>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</si>
  <si>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</si>
  <si>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</si>
  <si>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</si>
  <si>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</si>
  <si>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</si>
  <si>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</si>
  <si>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</si>
  <si>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</si>
  <si>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</si>
  <si>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</si>
  <si>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</si>
  <si>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</si>
  <si>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</si>
  <si>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</si>
  <si>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</si>
  <si>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</si>
  <si>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</si>
  <si>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</si>
  <si>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</si>
  <si>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</si>
  <si>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</si>
  <si>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</si>
  <si>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</si>
  <si>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</si>
  <si>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</si>
  <si>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</si>
  <si>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</si>
  <si>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</si>
  <si>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</si>
  <si>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</si>
  <si>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</si>
  <si>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</si>
  <si>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</si>
  <si>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</si>
  <si>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</si>
  <si>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</si>
  <si>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</si>
  <si>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</si>
  <si>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</si>
  <si>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</si>
  <si>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</si>
  <si>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</si>
  <si>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</si>
  <si>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</si>
  <si>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</si>
  <si>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</si>
  <si>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</si>
  <si>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</si>
  <si>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</si>
  <si>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</si>
  <si>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</si>
  <si>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</si>
  <si>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</si>
  <si>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</si>
  <si>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</si>
  <si>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</si>
  <si>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</si>
  <si>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</si>
  <si>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</si>
  <si>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</si>
  <si>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</si>
  <si>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</si>
  <si>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</si>
  <si>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</si>
  <si>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</si>
  <si>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</si>
  <si>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</si>
  <si>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</si>
  <si>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</si>
  <si>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</si>
  <si>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</si>
  <si>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</si>
  <si>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</si>
  <si>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</si>
  <si>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</si>
  <si>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</si>
  <si>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</si>
  <si>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</si>
  <si>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</si>
  <si>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</si>
  <si>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</si>
  <si>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</si>
  <si>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</si>
  <si>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</si>
  <si>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</si>
  <si>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</si>
  <si>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</si>
  <si>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</si>
  <si>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</si>
  <si>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</si>
  <si>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</si>
  <si>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</si>
  <si>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</si>
  <si>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</si>
  <si>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</si>
  <si>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</si>
  <si>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</si>
  <si>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</si>
  <si>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</si>
  <si>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</si>
  <si>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</si>
  <si>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</si>
  <si>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</si>
  <si>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</si>
  <si>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</si>
  <si>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</si>
  <si>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</si>
  <si>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</si>
  <si>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</si>
  <si>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</si>
  <si>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</si>
  <si>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</si>
  <si>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</si>
  <si>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</si>
  <si>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</si>
  <si>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</si>
  <si>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</si>
  <si>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</si>
  <si>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</si>
  <si>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</si>
  <si>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</si>
  <si>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</si>
  <si>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</si>
  <si>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</si>
  <si>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</si>
  <si>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</si>
  <si>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</si>
  <si>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</si>
  <si>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</si>
  <si>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</si>
  <si>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</si>
  <si>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</si>
  <si>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</si>
  <si>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</si>
  <si>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</si>
  <si>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</si>
  <si>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</si>
  <si>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</si>
  <si>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</si>
  <si>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</si>
  <si>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</si>
  <si>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</si>
  <si>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</si>
  <si>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</si>
  <si>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</si>
  <si>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</si>
  <si>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</si>
  <si>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</si>
  <si>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</si>
  <si>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</si>
  <si>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</si>
  <si>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</si>
  <si>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</si>
  <si>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</si>
  <si>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</si>
  <si>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</si>
  <si>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</si>
  <si>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</si>
  <si>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</si>
  <si>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</si>
  <si>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</si>
  <si>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</si>
  <si>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</si>
  <si>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</si>
  <si>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</si>
  <si>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</si>
  <si>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</si>
  <si>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</si>
  <si>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</si>
  <si>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</si>
  <si>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</si>
  <si>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</si>
  <si>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</si>
  <si>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</si>
  <si>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</si>
  <si>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</si>
  <si>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</si>
  <si>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</si>
  <si>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</si>
  <si>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</si>
  <si>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</si>
  <si>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</si>
  <si>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</si>
  <si>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</si>
  <si>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</si>
  <si>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</si>
  <si>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</si>
  <si>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</si>
  <si>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</si>
  <si>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</si>
  <si>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</si>
  <si>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</si>
  <si>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</si>
  <si>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</si>
  <si>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</si>
  <si>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</si>
  <si>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</si>
  <si>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</si>
  <si>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</si>
  <si>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</si>
  <si>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</si>
  <si>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</si>
  <si>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</si>
  <si>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</si>
  <si>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</si>
  <si>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</si>
  <si>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</si>
  <si>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</si>
  <si>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</si>
  <si>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</si>
  <si>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</si>
  <si>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</si>
  <si>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</si>
  <si>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</si>
  <si>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</si>
  <si>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</si>
  <si>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</si>
  <si>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</si>
  <si>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</si>
  <si>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</si>
  <si>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</si>
  <si>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</si>
  <si>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</si>
  <si>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</si>
  <si>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</si>
  <si>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</si>
  <si>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</si>
  <si>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</si>
  <si>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</si>
  <si>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</si>
  <si>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</si>
  <si>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</si>
  <si>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</si>
  <si>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</si>
  <si>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</si>
  <si>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</si>
  <si>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</si>
  <si>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</si>
  <si>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</si>
  <si>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</si>
  <si>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</si>
  <si>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</si>
  <si>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</si>
  <si>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</si>
  <si>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</si>
  <si>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</si>
  <si>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</si>
  <si>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</si>
  <si>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</si>
  <si>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</si>
  <si>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</si>
  <si>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</si>
  <si>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</si>
  <si>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</si>
  <si>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</si>
  <si>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</si>
  <si>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</si>
  <si>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</si>
  <si>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</si>
  <si>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</si>
  <si>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</si>
  <si>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</si>
  <si>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</si>
  <si>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</si>
  <si>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</si>
  <si>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</si>
  <si>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</si>
  <si>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</si>
  <si>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</si>
  <si>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</si>
  <si>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</si>
  <si>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</si>
  <si>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</si>
  <si>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</si>
  <si>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</si>
  <si>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</si>
  <si>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</si>
  <si>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</si>
  <si>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</si>
  <si>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</si>
  <si>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</si>
  <si>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</si>
  <si>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</si>
  <si>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</si>
  <si>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</si>
  <si>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</si>
  <si>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</si>
  <si>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</si>
  <si>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</si>
  <si>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</si>
  <si>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</si>
  <si>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</si>
  <si>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</si>
  <si>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</si>
  <si>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</si>
  <si>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</si>
  <si>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</si>
  <si>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</si>
  <si>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</si>
  <si>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</si>
  <si>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</si>
  <si>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</si>
  <si>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</si>
  <si>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</si>
  <si>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</si>
  <si>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</si>
  <si>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</si>
  <si>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</si>
  <si>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</si>
  <si>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</si>
  <si>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</si>
  <si>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</si>
  <si>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</si>
  <si>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</si>
  <si>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</si>
  <si>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</si>
  <si>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</si>
  <si>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</si>
  <si>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</si>
  <si>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</si>
  <si>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</si>
  <si>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</si>
  <si>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</si>
  <si>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</si>
  <si>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</si>
  <si>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</si>
  <si>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</si>
  <si>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</si>
  <si>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</si>
  <si>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</si>
  <si>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</si>
  <si>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</si>
  <si>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</si>
  <si>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</si>
  <si>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</si>
  <si>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</si>
  <si>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</si>
  <si>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</si>
  <si>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</si>
  <si>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</si>
  <si>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</si>
  <si>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</si>
  <si>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</si>
  <si>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</si>
  <si>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</si>
  <si>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</si>
  <si>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</si>
  <si>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</si>
  <si>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</si>
  <si>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</si>
  <si>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</si>
  <si>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</si>
  <si>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</si>
  <si>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</si>
  <si>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</si>
  <si>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</si>
  <si>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</si>
  <si>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</si>
  <si>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</si>
  <si>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</si>
  <si>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</si>
  <si>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</si>
  <si>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</si>
  <si>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</si>
  <si>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</si>
  <si>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</si>
  <si>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</si>
  <si>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</si>
  <si>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</si>
  <si>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</si>
  <si>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</si>
  <si>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</si>
  <si>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</si>
  <si>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</si>
  <si>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</si>
  <si>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</si>
  <si>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</si>
  <si>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</si>
  <si>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</si>
  <si>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</si>
  <si>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</si>
  <si>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</si>
  <si>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</si>
  <si>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</si>
  <si>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</si>
  <si>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</si>
  <si>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</si>
  <si>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</si>
  <si>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</si>
  <si>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</si>
  <si>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</si>
  <si>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</si>
  <si>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</si>
  <si>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</si>
  <si>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</si>
  <si>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</si>
  <si>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</si>
  <si>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</si>
  <si>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</si>
  <si>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</si>
  <si>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</si>
  <si>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</si>
  <si>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</si>
  <si>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</si>
  <si>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</si>
  <si>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</si>
  <si>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</si>
  <si>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</si>
  <si>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</si>
  <si>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</si>
  <si>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</si>
  <si>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</si>
  <si>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</si>
  <si>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</si>
  <si>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</si>
  <si>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</si>
  <si>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</si>
  <si>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</si>
  <si>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</si>
  <si>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</si>
  <si>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</si>
  <si>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</si>
  <si>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</si>
  <si>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</si>
  <si>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</si>
  <si>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</si>
  <si>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</si>
  <si>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</si>
  <si>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</si>
  <si>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</si>
  <si>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</si>
  <si>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</si>
  <si>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</si>
  <si>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</si>
  <si>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</si>
  <si>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</si>
  <si>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</si>
  <si>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</si>
  <si>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</si>
  <si>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</si>
  <si>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</si>
  <si>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</si>
  <si>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</si>
  <si>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</si>
  <si>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</si>
  <si>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</si>
  <si>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</si>
  <si>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</si>
  <si>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</si>
  <si>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</si>
  <si>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</si>
  <si>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</si>
  <si>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</si>
  <si>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</si>
  <si>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</si>
  <si>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</si>
  <si>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</si>
  <si>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</si>
  <si>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</si>
  <si>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</si>
  <si>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</si>
  <si>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</si>
  <si>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</si>
  <si>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</si>
  <si>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</si>
  <si>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</si>
  <si>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</si>
  <si>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</si>
  <si>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</si>
  <si>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</si>
  <si>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</si>
  <si>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</si>
  <si>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</si>
  <si>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</si>
  <si>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</si>
  <si>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</si>
  <si>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</si>
  <si>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</si>
  <si>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</si>
  <si>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</si>
  <si>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</si>
  <si>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</si>
  <si>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</si>
  <si>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</si>
  <si>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</si>
  <si>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</si>
  <si>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</si>
  <si>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</si>
  <si>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</si>
  <si>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</si>
  <si>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</si>
  <si>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</si>
  <si>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</si>
  <si>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</si>
  <si>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</si>
  <si>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</si>
  <si>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</si>
  <si>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</si>
  <si>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</si>
  <si>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</si>
  <si>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</si>
  <si>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</si>
  <si>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</si>
  <si>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</si>
  <si>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</si>
  <si>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</si>
  <si>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</si>
  <si>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</si>
  <si>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</si>
  <si>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</si>
  <si>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</si>
  <si>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</si>
  <si>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</si>
  <si>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</si>
  <si>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</si>
  <si>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</si>
  <si>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</si>
  <si>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</si>
  <si>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</si>
  <si>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</si>
  <si>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</si>
  <si>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</si>
  <si>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</si>
  <si>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</si>
  <si>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</si>
  <si>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</si>
  <si>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</si>
  <si>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</si>
  <si>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</si>
  <si>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</si>
  <si>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</si>
  <si>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</si>
  <si>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</si>
  <si>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</si>
  <si>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</si>
  <si>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</si>
  <si>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</si>
  <si>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</si>
  <si>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</si>
  <si>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</si>
  <si>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</si>
  <si>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</si>
  <si>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</si>
  <si>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</si>
  <si>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</si>
  <si>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</si>
  <si>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</si>
  <si>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</si>
  <si>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</si>
  <si>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</si>
  <si>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</si>
  <si>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</si>
  <si>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</si>
  <si>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</si>
  <si>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</si>
  <si>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</si>
  <si>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</si>
  <si>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</si>
  <si>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</si>
  <si>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</si>
  <si>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</si>
  <si>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</si>
  <si>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</si>
  <si>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</si>
  <si>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</si>
  <si>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</si>
  <si>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</si>
  <si>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</si>
  <si>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</si>
  <si>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</si>
  <si>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</si>
  <si>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</si>
  <si>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</si>
  <si>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</si>
  <si>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</si>
  <si>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</si>
  <si>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</si>
  <si>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</si>
  <si>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</si>
  <si>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</si>
  <si>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</si>
  <si>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</si>
  <si>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</si>
  <si>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</si>
  <si>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</si>
  <si>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</si>
  <si>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</si>
  <si>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</si>
  <si>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</si>
  <si>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</si>
  <si>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</si>
  <si>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</si>
  <si>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</si>
  <si>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</si>
  <si>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</si>
  <si>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</si>
  <si>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</si>
  <si>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</si>
  <si>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</si>
  <si>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</si>
  <si>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</si>
  <si>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</si>
  <si>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</si>
  <si>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</si>
  <si>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</si>
  <si>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</si>
  <si>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</si>
  <si>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</si>
  <si>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</si>
  <si>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</si>
  <si>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</si>
  <si>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</si>
  <si>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</si>
  <si>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</si>
  <si>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</si>
  <si>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</si>
  <si>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</si>
  <si>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</si>
  <si>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</si>
  <si>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</si>
  <si>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</si>
  <si>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</si>
  <si>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</si>
  <si>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</si>
  <si>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</si>
  <si>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</si>
  <si>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</si>
  <si>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</si>
  <si>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</si>
  <si>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</si>
  <si>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</si>
  <si>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</si>
  <si>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</si>
  <si>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</si>
  <si>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</si>
  <si>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</si>
  <si>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</si>
  <si>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</si>
  <si>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</si>
  <si>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</si>
  <si>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</si>
  <si>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</si>
  <si>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</si>
  <si>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</si>
  <si>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</si>
  <si>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</si>
  <si>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</si>
  <si>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</si>
  <si>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</si>
  <si>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</si>
  <si>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</si>
  <si>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</si>
  <si>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</si>
  <si>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</si>
  <si>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</si>
  <si>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</si>
  <si>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</si>
  <si>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</si>
  <si>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</si>
  <si>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</si>
  <si>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</si>
  <si>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</si>
  <si>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</si>
  <si>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</si>
  <si>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</si>
  <si>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</si>
  <si>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</si>
  <si>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</si>
  <si>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</si>
  <si>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</si>
  <si>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</si>
  <si>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</si>
  <si>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</si>
  <si>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</si>
  <si>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</si>
  <si>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</si>
  <si>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</si>
  <si>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</si>
  <si>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</si>
  <si>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</si>
  <si>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</si>
  <si>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</si>
  <si>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</si>
  <si>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</si>
  <si>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</si>
  <si>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</si>
  <si>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</si>
  <si>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</si>
  <si>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</si>
  <si>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</si>
  <si>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</si>
  <si>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</si>
  <si>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</si>
  <si>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</si>
  <si>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</si>
  <si>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</si>
  <si>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</si>
  <si>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</si>
  <si>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</si>
  <si>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</si>
  <si>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</si>
  <si>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</si>
  <si>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</si>
  <si>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</si>
  <si>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</si>
  <si>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</si>
  <si>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</si>
  <si>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</si>
  <si>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</si>
  <si>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</si>
  <si>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</si>
  <si>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</si>
  <si>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</si>
  <si>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</si>
  <si>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</si>
  <si>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</si>
  <si>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</si>
  <si>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</si>
  <si>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</si>
  <si>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</si>
  <si>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</si>
  <si>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</si>
  <si>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</si>
  <si>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</si>
  <si>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</si>
  <si>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</si>
  <si>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</si>
  <si>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</si>
  <si>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</si>
  <si>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</si>
  <si>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</si>
  <si>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</si>
  <si>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</si>
  <si>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</si>
  <si>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</si>
  <si>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</si>
  <si>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</si>
  <si>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</si>
  <si>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</si>
  <si>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</si>
  <si>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</si>
  <si>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</si>
  <si>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</si>
  <si>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</si>
  <si>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</si>
  <si>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</si>
  <si>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</si>
  <si>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</si>
  <si>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</si>
  <si>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</si>
  <si>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</si>
  <si>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</si>
  <si>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</si>
  <si>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</si>
  <si>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</si>
  <si>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</si>
  <si>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</si>
  <si>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</si>
  <si>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</si>
  <si>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</si>
  <si>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</si>
  <si>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</si>
  <si>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</si>
  <si>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</si>
  <si>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</si>
  <si>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</si>
  <si>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</si>
  <si>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</si>
  <si>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</si>
  <si>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</si>
  <si>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</si>
  <si>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</si>
  <si>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</si>
  <si>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</si>
  <si>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</si>
  <si>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</si>
  <si>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</si>
  <si>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</si>
  <si>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</si>
  <si>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</si>
  <si>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</si>
  <si>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</si>
  <si>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</si>
  <si>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</si>
  <si>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</si>
  <si>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</si>
  <si>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</si>
  <si>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</si>
  <si>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</si>
  <si>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</si>
  <si>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</si>
  <si>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</si>
  <si>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</si>
  <si>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</si>
  <si>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</si>
  <si>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</si>
  <si>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</si>
  <si>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</si>
  <si>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</si>
  <si>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</si>
  <si>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</si>
  <si>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</si>
  <si>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</si>
  <si>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</si>
  <si>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</si>
  <si>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</si>
  <si>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</si>
  <si>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</si>
  <si>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</si>
  <si>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</si>
  <si>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</si>
  <si>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</si>
  <si>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</si>
  <si>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</si>
  <si>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</si>
  <si>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</si>
  <si>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</si>
  <si>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</si>
  <si>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</si>
  <si>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</si>
  <si>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</si>
  <si>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</si>
  <si>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</si>
  <si>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</si>
  <si>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</si>
  <si>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</si>
  <si>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</si>
  <si>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</si>
  <si>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</si>
  <si>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</si>
  <si>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</si>
  <si>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</si>
  <si>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</si>
  <si>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</si>
  <si>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</si>
  <si>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</si>
  <si>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</si>
  <si>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</si>
  <si>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</si>
  <si>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</si>
  <si>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</si>
  <si>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</si>
  <si>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</si>
  <si>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</si>
  <si>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</si>
  <si>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</si>
  <si>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</si>
  <si>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</si>
  <si>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</si>
  <si>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</si>
  <si>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</si>
  <si>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</si>
  <si>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</si>
  <si>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</si>
  <si>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</si>
  <si>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</si>
  <si>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</si>
  <si>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</si>
  <si>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</si>
  <si>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</si>
  <si>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</si>
  <si>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</si>
  <si>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</si>
  <si>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</si>
  <si>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</si>
  <si>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</si>
  <si>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</si>
  <si>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</si>
  <si>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</si>
  <si>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</si>
  <si>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</si>
  <si>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</si>
  <si>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</si>
  <si>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</si>
  <si>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</si>
  <si>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</si>
  <si>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</si>
  <si>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</si>
  <si>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</si>
  <si>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</si>
  <si>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</si>
  <si>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</si>
  <si>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</si>
  <si>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</si>
  <si>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</si>
  <si>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</si>
  <si>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</si>
  <si>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</si>
  <si>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</si>
  <si>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</si>
  <si>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</si>
  <si>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</si>
  <si>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</si>
  <si>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</si>
  <si>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</si>
  <si>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</si>
  <si>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</si>
  <si>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</si>
  <si>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</si>
  <si>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</si>
  <si>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</si>
  <si>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</si>
  <si>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</si>
  <si>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</si>
  <si>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</si>
  <si>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</si>
  <si>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</si>
  <si>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</si>
  <si>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</si>
  <si>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</si>
  <si>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</si>
  <si>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</si>
  <si>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</si>
  <si>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</si>
  <si>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</si>
  <si>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</si>
  <si>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</si>
  <si>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</si>
  <si>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</si>
  <si>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</si>
  <si>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</si>
  <si>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</si>
  <si>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</si>
  <si>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</si>
  <si>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</si>
  <si>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</si>
  <si>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</si>
  <si>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</si>
  <si>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</si>
  <si>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</si>
  <si>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</si>
  <si>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</si>
  <si>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</si>
  <si>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</si>
  <si>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</si>
  <si>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</si>
  <si>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</si>
  <si>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</si>
  <si>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</si>
  <si>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</si>
  <si>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</si>
  <si>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</si>
  <si>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</si>
  <si>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</si>
  <si>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</si>
  <si>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</si>
  <si>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</si>
  <si>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</si>
  <si>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</si>
  <si>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</si>
  <si>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</si>
  <si>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</si>
  <si>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</si>
  <si>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</si>
  <si>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</si>
  <si>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</si>
  <si>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</si>
  <si>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</si>
  <si>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</si>
  <si>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</si>
  <si>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</si>
  <si>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</si>
  <si>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</si>
  <si>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</si>
  <si>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</si>
  <si>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</si>
  <si>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</si>
  <si>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</si>
  <si>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</si>
  <si>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</si>
  <si>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</si>
  <si>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</si>
  <si>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</si>
  <si>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</si>
  <si>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</si>
  <si>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</si>
  <si>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</si>
  <si>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</si>
  <si>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</si>
  <si>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</si>
  <si>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</si>
  <si>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</si>
  <si>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</si>
  <si>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</si>
  <si>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</si>
  <si>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</si>
  <si>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</si>
  <si>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</si>
  <si>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</si>
  <si>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</si>
  <si>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</si>
  <si>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</si>
  <si>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</si>
  <si>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</si>
  <si>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</si>
  <si>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</si>
  <si>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</si>
  <si>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</si>
  <si>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</si>
  <si>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</si>
  <si>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</si>
  <si>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</si>
  <si>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</si>
  <si>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</si>
  <si>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</si>
  <si>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</si>
  <si>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</si>
  <si>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</si>
  <si>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</si>
  <si>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</si>
  <si>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</si>
  <si>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</si>
  <si>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</si>
  <si>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</si>
  <si>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</si>
  <si>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</si>
  <si>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</si>
  <si>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</si>
  <si>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</si>
  <si>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</si>
  <si>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</si>
  <si>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</si>
  <si>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</si>
  <si>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</si>
  <si>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</si>
  <si>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</si>
  <si>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</si>
  <si>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</si>
  <si>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</si>
  <si>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</si>
  <si>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</si>
  <si>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</si>
  <si>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</si>
  <si>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</si>
  <si>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</si>
  <si>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</si>
  <si>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</si>
  <si>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</si>
  <si>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</si>
  <si>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</si>
  <si>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</si>
  <si>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</si>
  <si>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</si>
  <si>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</si>
  <si>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</si>
  <si>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</si>
  <si>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</si>
  <si>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</si>
  <si>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</si>
  <si>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</si>
  <si>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</si>
  <si>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</si>
  <si>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</si>
  <si>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</si>
  <si>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</si>
  <si>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</si>
  <si>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</si>
  <si>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</si>
  <si>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</si>
  <si>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</si>
  <si>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</si>
  <si>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</si>
  <si>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</si>
  <si>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</si>
  <si>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</si>
  <si>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</si>
  <si>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</si>
  <si>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</si>
  <si>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</si>
  <si>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</si>
  <si>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</si>
  <si>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</si>
  <si>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</si>
  <si>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</si>
  <si>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</si>
  <si>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</si>
  <si>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</si>
  <si>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</si>
  <si>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</si>
  <si>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</si>
  <si>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</si>
  <si>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</si>
  <si>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</si>
  <si>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</si>
  <si>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</si>
  <si>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</si>
  <si>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</si>
  <si>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</si>
  <si>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</si>
  <si>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</si>
  <si>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</si>
  <si>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</si>
  <si>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</si>
  <si>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</si>
  <si>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</si>
  <si>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</si>
  <si>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</si>
  <si>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</si>
  <si>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</si>
  <si>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</si>
  <si>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</si>
  <si>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</si>
  <si>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</si>
  <si>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</si>
  <si>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</si>
  <si>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</si>
  <si>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</si>
  <si>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</si>
  <si>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</si>
  <si>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</si>
  <si>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</si>
  <si>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</si>
  <si>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</si>
  <si>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</si>
  <si>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</si>
  <si>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</si>
  <si>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</si>
  <si>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</si>
  <si>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</si>
  <si>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</si>
  <si>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</si>
  <si>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</si>
  <si>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</si>
  <si>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</si>
  <si>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</si>
  <si>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</si>
  <si>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</si>
  <si>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</si>
  <si>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</si>
  <si>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</si>
  <si>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</si>
  <si>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</si>
  <si>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</si>
  <si>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</si>
  <si>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</si>
  <si>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</si>
  <si>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</si>
  <si>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</si>
  <si>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</si>
  <si>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</si>
  <si>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</si>
  <si>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</si>
  <si>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</si>
  <si>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</si>
  <si>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</si>
  <si>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</si>
  <si>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</si>
  <si>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</si>
  <si>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</si>
  <si>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</si>
  <si>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</si>
  <si>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</si>
  <si>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</si>
  <si>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</si>
  <si>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</si>
  <si>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</si>
  <si>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</si>
  <si>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</si>
  <si>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</si>
  <si>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</si>
  <si>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</si>
  <si>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</si>
  <si>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</si>
  <si>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</si>
  <si>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</si>
  <si>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</si>
  <si>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</si>
  <si>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</si>
  <si>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</si>
  <si>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</si>
  <si>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</si>
  <si>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</si>
  <si>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</si>
  <si>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</si>
  <si>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</si>
  <si>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</si>
  <si>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</si>
  <si>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</si>
  <si>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</si>
  <si>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</si>
  <si>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</si>
  <si>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</si>
  <si>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</si>
  <si>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</si>
  <si>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</si>
  <si>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</si>
  <si>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</si>
  <si>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</si>
  <si>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</si>
  <si>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</si>
  <si>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</si>
  <si>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</si>
  <si>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</si>
  <si>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</si>
  <si>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</si>
  <si>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</si>
  <si>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</si>
  <si>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</si>
  <si>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</si>
  <si>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</si>
  <si>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</si>
  <si>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</si>
  <si>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</si>
  <si>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</si>
  <si>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</si>
  <si>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</si>
  <si>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</si>
  <si>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</si>
  <si>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</si>
  <si>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</si>
  <si>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</si>
  <si>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</si>
  <si>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</si>
  <si>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</si>
  <si>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</si>
  <si>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</si>
  <si>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</si>
  <si>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</si>
  <si>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</si>
  <si>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</si>
  <si>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</si>
  <si>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</si>
  <si>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</si>
  <si>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</si>
  <si>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</si>
  <si>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</si>
  <si>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</si>
  <si>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</si>
  <si>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</si>
  <si>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</si>
  <si>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</si>
  <si>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</si>
  <si>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</si>
  <si>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</si>
  <si>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</si>
  <si>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</si>
  <si>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</si>
  <si>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</si>
  <si>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</si>
  <si>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</si>
  <si>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</si>
  <si>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</si>
  <si>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</si>
  <si>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</si>
  <si>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</si>
  <si>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</si>
  <si>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</si>
  <si>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</si>
  <si>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</si>
  <si>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</si>
  <si>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</si>
  <si>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</si>
  <si>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</si>
  <si>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</si>
  <si>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</si>
  <si>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</si>
  <si>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</si>
  <si>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</si>
  <si>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</si>
  <si>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</si>
  <si>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</si>
  <si>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</si>
  <si>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</si>
  <si>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</si>
  <si>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</si>
  <si>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</si>
  <si>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</si>
  <si>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</si>
  <si>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</si>
  <si>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</si>
  <si>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</si>
  <si>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</si>
  <si>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</si>
  <si>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</si>
  <si>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</si>
  <si>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</si>
  <si>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</si>
  <si>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</si>
  <si>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</si>
  <si>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</si>
  <si>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</si>
  <si>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</si>
  <si>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</si>
  <si>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</si>
  <si>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</si>
  <si>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</si>
  <si>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</si>
  <si>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</si>
  <si>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</si>
  <si>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</si>
  <si>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</si>
  <si>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</si>
  <si>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</si>
  <si>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</si>
  <si>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</si>
  <si>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</si>
  <si>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</si>
  <si>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</si>
  <si>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</si>
  <si>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</si>
  <si>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</si>
  <si>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</si>
  <si>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</si>
  <si>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</si>
  <si>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</si>
  <si>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</si>
  <si>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</si>
  <si>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</si>
  <si>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</si>
  <si>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</si>
  <si>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</si>
  <si>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</si>
  <si>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</si>
  <si>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</si>
  <si>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</si>
  <si>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</si>
  <si>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</si>
  <si>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</si>
  <si>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</si>
  <si>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</si>
  <si>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</si>
  <si>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</si>
  <si>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</si>
  <si>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</si>
  <si>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</si>
  <si>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</si>
  <si>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</si>
  <si>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</si>
  <si>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</si>
  <si>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</si>
  <si>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</si>
  <si>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</si>
  <si>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</si>
  <si>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</si>
  <si>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</si>
  <si>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</si>
  <si>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</si>
  <si>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</si>
  <si>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</si>
  <si>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</si>
  <si>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</si>
  <si>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</si>
  <si>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</si>
  <si>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</si>
  <si>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</si>
  <si>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</si>
  <si>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</si>
  <si>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</si>
  <si>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</si>
  <si>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</si>
  <si>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</si>
  <si>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</si>
  <si>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</si>
  <si>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</si>
  <si>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</si>
  <si>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</si>
  <si>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</si>
  <si>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</si>
  <si>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</si>
  <si>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</si>
  <si>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</si>
  <si>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</si>
  <si>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</si>
  <si>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</si>
  <si>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</si>
  <si>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</si>
  <si>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</si>
  <si>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</si>
  <si>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</si>
  <si>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</si>
  <si>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</si>
  <si>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</si>
  <si>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</si>
  <si>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</si>
  <si>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</si>
  <si>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</si>
  <si>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</si>
  <si>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</si>
  <si>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</si>
  <si>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</si>
  <si>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</si>
  <si>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</si>
  <si>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</si>
  <si>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</si>
  <si>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</si>
  <si>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</si>
  <si>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</si>
  <si>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</si>
  <si>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</si>
  <si>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</si>
  <si>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</si>
  <si>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</si>
  <si>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</si>
  <si>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</si>
  <si>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</si>
  <si>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</si>
  <si>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</si>
  <si>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</si>
  <si>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</si>
  <si>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</si>
  <si>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</si>
  <si>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</si>
  <si>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</si>
  <si>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</si>
  <si>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</si>
  <si>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</si>
  <si>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</si>
  <si>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</si>
  <si>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</si>
  <si>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</si>
  <si>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</si>
  <si>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</si>
  <si>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</si>
  <si>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</si>
  <si>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</si>
  <si>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</si>
  <si>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</si>
  <si>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</si>
  <si>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</si>
  <si>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</si>
  <si>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</si>
  <si>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</si>
  <si>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</si>
  <si>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</si>
  <si>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</si>
  <si>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</si>
  <si>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</si>
  <si>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</si>
  <si>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</si>
  <si>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</si>
  <si>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</si>
  <si>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</si>
  <si>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</si>
  <si>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</si>
  <si>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</si>
  <si>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</si>
  <si>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</si>
  <si>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</si>
  <si>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</si>
  <si>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</si>
  <si>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</si>
  <si>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</si>
  <si>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</si>
  <si>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</si>
  <si>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</si>
  <si>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</si>
  <si>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</si>
  <si>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</si>
  <si>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</si>
  <si>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</si>
  <si>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</si>
  <si>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</si>
  <si>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</si>
  <si>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</si>
  <si>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</si>
  <si>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</si>
  <si>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</si>
  <si>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</si>
  <si>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</si>
  <si>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</si>
  <si>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</si>
  <si>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</si>
  <si>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</si>
  <si>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</si>
  <si>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</si>
  <si>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Alexander</t>
  </si>
  <si>
    <t>20023 Diswood Road</t>
  </si>
  <si>
    <t>Tamms</t>
  </si>
  <si>
    <t>Beussink, Hey, Roe &amp; Stroder, LLC</t>
  </si>
  <si>
    <t>Jeffrey C. Stroder, CPA</t>
  </si>
  <si>
    <t>16 S.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</si>
  <si>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</si>
  <si>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</si>
  <si>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</si>
  <si>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</si>
  <si>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</si>
  <si>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</si>
  <si>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whose practices differ from accounting principles generally accepted in the United States of America.</t>
  </si>
  <si>
    <t>General Obligation (Limited Tax) Debt Certificates</t>
  </si>
  <si>
    <t>General Obligation (Limited Tax)</t>
  </si>
  <si>
    <t>This schedule is to calculate the amount allowed on contracts obligated by the school district for the Indirect Cost Rate calculation.  The greatest amount allowed in the indirect cost calculation is $25,000 for each contract.  The contracts should be onl</t>
  </si>
  <si>
    <t>40-2550-300</t>
  </si>
  <si>
    <t>shared service - JAMP Special Education Services</t>
  </si>
  <si>
    <t>shared service - Five County Regional Vocational System</t>
  </si>
  <si>
    <t>Account Number</t>
  </si>
  <si>
    <t>Object Code</t>
  </si>
  <si>
    <t>Prepaid Services</t>
  </si>
  <si>
    <t>Prepaid Payroll Tax</t>
  </si>
  <si>
    <t>Local Fees</t>
  </si>
  <si>
    <t>Miscellaneous Receipts</t>
  </si>
  <si>
    <t>CLOC Commodities Credit</t>
  </si>
  <si>
    <t>Resource Officer Benefits</t>
  </si>
  <si>
    <t>Resource Officer Salary</t>
  </si>
  <si>
    <t>21st Century Grant Coordinator</t>
  </si>
  <si>
    <t>22nd Century Grant Coordinator Benefits</t>
  </si>
  <si>
    <t>21st Century Grant Payments to University</t>
  </si>
  <si>
    <t>TAMES/Claim Processing Fees</t>
  </si>
  <si>
    <t>21st Century Coordinator Benefits</t>
  </si>
  <si>
    <t>N/A</t>
  </si>
  <si>
    <r>
      <t xml:space="preserve">The following amounts were expended in the form of non-cash assistance by </t>
    </r>
    <r>
      <rPr>
        <b/>
        <sz val="9"/>
        <rFont val="Calibri"/>
        <family val="2"/>
        <scheme val="minor"/>
      </rPr>
      <t>Egyptian Community Unit School District No.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</si>
  <si>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</si>
  <si>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Grants to Local Education Agencies</t>
  </si>
  <si>
    <t>U.S. DEPARTMENT OF AGRICULTURE</t>
  </si>
  <si>
    <t xml:space="preserve">   Commodity Letter of Credit (CLOC) Program</t>
  </si>
  <si>
    <t xml:space="preserve">      Total for CLOC Program</t>
  </si>
  <si>
    <t>Passed Through the Illinois State Board of Education</t>
  </si>
  <si>
    <t xml:space="preserve">   School Breakfast Program</t>
  </si>
  <si>
    <t xml:space="preserve">      Total for CFDA #10.553</t>
  </si>
  <si>
    <t>Pass Through the Illinois State Board of Education</t>
  </si>
  <si>
    <t xml:space="preserve">   National School Lunch Program</t>
  </si>
  <si>
    <t xml:space="preserve">      Total for CFDA #10.555</t>
  </si>
  <si>
    <t>17-4220</t>
  </si>
  <si>
    <t>17-4210</t>
  </si>
  <si>
    <t>NA</t>
  </si>
  <si>
    <t>17-4250</t>
  </si>
  <si>
    <t>Total Child Nutrition Cluster (CFDA #10.553 and 10.555)</t>
  </si>
  <si>
    <t>18-4250</t>
  </si>
  <si>
    <t>18-4220</t>
  </si>
  <si>
    <t>18-4210</t>
  </si>
  <si>
    <t xml:space="preserve">  Fresh Fruits and Vegetables</t>
  </si>
  <si>
    <t xml:space="preserve">    Total for CFDA #10.582</t>
  </si>
  <si>
    <t>TOTAL U.S. DEPARTMENT OF AGRICULTURE</t>
  </si>
  <si>
    <t>17-4240</t>
  </si>
  <si>
    <t>U.S. DEPARTMENT OF EDUCATION</t>
  </si>
  <si>
    <t xml:space="preserve">  Title I: Grants to Local Educational Agencies (M)</t>
  </si>
  <si>
    <t xml:space="preserve">    Total for CFDA #84.010</t>
  </si>
  <si>
    <t>17-4300</t>
  </si>
  <si>
    <t xml:space="preserve">    Total for CFDA #84.287</t>
  </si>
  <si>
    <t>U.S. Department of Education - Direct</t>
  </si>
  <si>
    <t xml:space="preserve">    Total for CFDA #84.358</t>
  </si>
  <si>
    <t>17-4999</t>
  </si>
  <si>
    <t xml:space="preserve">  Twenty First Century Community Learning Centers</t>
  </si>
  <si>
    <t xml:space="preserve">  Rural Education</t>
  </si>
  <si>
    <t>18-4300</t>
  </si>
  <si>
    <t>Passed Through Illinois State Board of Education</t>
  </si>
  <si>
    <t xml:space="preserve">    Total for CFDA #84.027</t>
  </si>
  <si>
    <t>TOTAL U.S. DEPARTMENT OF EDUCATION</t>
  </si>
  <si>
    <t xml:space="preserve">  Special Education - IDEA</t>
  </si>
  <si>
    <t>17-4625</t>
  </si>
  <si>
    <t>18-2200</t>
  </si>
  <si>
    <t>17-4421</t>
  </si>
  <si>
    <t>18-4421</t>
  </si>
  <si>
    <t>18-4107</t>
  </si>
  <si>
    <t xml:space="preserve">  Title II - Teacher Quality</t>
  </si>
  <si>
    <t xml:space="preserve">    Total for CFDA #84.367</t>
  </si>
  <si>
    <t>17-4932</t>
  </si>
  <si>
    <t>U.S. DEPARTMENT OF HEALTH AND HUMAN SERVICES</t>
  </si>
  <si>
    <t>Passed Through IL Department of Healthcare &amp; Family Services - Passed Through JAMP Special Education Svcs</t>
  </si>
  <si>
    <t xml:space="preserve">  Medical Assistance Program</t>
  </si>
  <si>
    <t xml:space="preserve">    Total for CFDA #93.778</t>
  </si>
  <si>
    <t>17-2200</t>
  </si>
  <si>
    <t>TOTAL U.S. DEPARTMENT OF HEALTH AND HUMAN SERVICES</t>
  </si>
  <si>
    <t>TOTAL FEDERAL AWARDS</t>
  </si>
  <si>
    <t>18-4932</t>
  </si>
  <si>
    <t xml:space="preserve">  Title IV A - Student Support &amp; Academic Enrichment</t>
  </si>
  <si>
    <t>18-4400</t>
  </si>
  <si>
    <t xml:space="preserve">    Total for CFDA #84.424</t>
  </si>
  <si>
    <t>Passed Through Illinois State Board of Education - Passed Through JAMP Special Education Svcs</t>
  </si>
  <si>
    <r>
      <t xml:space="preserve">The accompanying Schedule of Expenditures of Federal Awards includes the federal grant activity of </t>
    </r>
    <r>
      <rPr>
        <b/>
        <sz val="9"/>
        <rFont val="Calibri"/>
        <family val="2"/>
        <scheme val="minor"/>
      </rPr>
      <t>Egyptian Community Unit School District No. 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</si>
  <si>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Egyptian Community Unit School District No. 5</t>
    </r>
    <r>
      <rPr>
        <sz val="9"/>
        <rFont val="Calibri"/>
        <family val="2"/>
        <scheme val="minor"/>
      </rPr>
      <t xml:space="preserve"> provided federal awards to subrecipients as follows:</t>
    </r>
  </si>
  <si>
    <t>NONE</t>
  </si>
  <si>
    <t>First Student, Inc.</t>
  </si>
  <si>
    <t>Transportation-Pupil Transportation -Purchased Services</t>
  </si>
  <si>
    <t>Egyptian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</si>
</sst>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singleAccounting"/>
      <sz val="10"/>
      <name val="Calibri"/>
      <family val="2"/>
      <scheme val="minor"/>
    </font>
    <font>
      <u val="doubleAccounting"/>
      <sz val="10"/>
      <name val="Calibri"/>
      <family val="2"/>
      <scheme val="minor"/>
    </font>
    <font>
      <u val="double"/>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xf numFmtId="0" fontId="3" fillId="0" borderId="0"/>
    <xf numFmtId="0" fontId="3" fillId="0" borderId="0"/>
  </cellStyleXfs>
  <cellXfs count="25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49" fontId="4" fillId="0" borderId="158" xfId="17" applyNumberFormat="1" applyFont="1" applyBorder="1" applyAlignment="1" applyProtection="1">
      <alignment horizontal="center" vertical="top"/>
      <protection locked="0"/>
    </xf>
    <xf numFmtId="0" fontId="58" fillId="0" borderId="0" xfId="0" applyFont="1" applyAlignment="1">
      <alignment horizontal="center"/>
    </xf>
    <xf numFmtId="0" fontId="58" fillId="0" borderId="78" xfId="0" applyFont="1" applyBorder="1" applyAlignment="1">
      <alignment horizontal="center"/>
    </xf>
    <xf numFmtId="44" fontId="58" fillId="0" borderId="0" xfId="19" applyFont="1"/>
    <xf numFmtId="182" fontId="58" fillId="0" borderId="0" xfId="19" applyNumberFormat="1" applyFont="1"/>
    <xf numFmtId="182" fontId="141" fillId="0" borderId="0" xfId="19" applyNumberFormat="1" applyFont="1"/>
    <xf numFmtId="181" fontId="140" fillId="0" borderId="0" xfId="1" applyNumberFormat="1" applyFont="1" applyBorder="1"/>
    <xf numFmtId="182" fontId="142" fillId="0" borderId="0" xfId="19" applyNumberFormat="1" applyFont="1"/>
    <xf numFmtId="3" fontId="12" fillId="0" borderId="22" xfId="3" applyNumberFormat="1" applyFont="1" applyBorder="1" applyAlignment="1" applyProtection="1">
      <alignment horizontal="left" vertical="center" wrapText="1"/>
      <protection locked="0"/>
    </xf>
    <xf numFmtId="169" fontId="12" fillId="0" borderId="8" xfId="3" applyNumberFormat="1" applyFont="1" applyBorder="1" applyAlignment="1" applyProtection="1">
      <alignment horizontal="center"/>
      <protection locked="0"/>
    </xf>
    <xf numFmtId="1" fontId="12" fillId="0" borderId="8"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_SEFA - 1" xfId="21"/>
    <cellStyle name="Normal 3_SEFA - 1" xfId="20"/>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3056659</xdr:colOff>
          <xdr:row>4</xdr:row>
          <xdr:rowOff>69273</xdr:rowOff>
        </xdr:from>
        <xdr:to>
          <xdr:col>1</xdr:col>
          <xdr:colOff>3968461</xdr:colOff>
          <xdr:row>8</xdr:row>
          <xdr:rowOff>107373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9B167C9-982B-4C50-B9DA-D44A3EF07AF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5" t="s">
        <v>425</v>
      </c>
      <c r="J1" s="2046"/>
      <c r="K1" s="2046"/>
      <c r="L1" s="2046"/>
      <c r="M1" s="2046"/>
      <c r="N1" s="2046"/>
      <c r="O1" s="2046"/>
      <c r="P1" s="2046"/>
      <c r="Q1" s="2046"/>
      <c r="R1" s="2046"/>
      <c r="S1" s="2046"/>
    </row>
    <row r="2" spans="1:28" ht="12" customHeight="1" x14ac:dyDescent="0.2">
      <c r="A2" s="47" t="s">
        <v>1684</v>
      </c>
      <c r="D2" s="48"/>
      <c r="I2" s="2047" t="s">
        <v>1036</v>
      </c>
      <c r="J2" s="2046"/>
      <c r="K2" s="2046"/>
      <c r="L2" s="2046"/>
      <c r="M2" s="2046"/>
      <c r="N2" s="2046"/>
      <c r="O2" s="2046"/>
      <c r="P2" s="2046"/>
      <c r="Q2" s="2046"/>
      <c r="R2" s="2046"/>
      <c r="S2" s="2046"/>
    </row>
    <row r="3" spans="1:28" ht="12" customHeight="1" x14ac:dyDescent="0.2">
      <c r="A3" s="155" t="s">
        <v>1685</v>
      </c>
      <c r="B3" s="156"/>
      <c r="C3" s="156"/>
      <c r="D3" s="157"/>
      <c r="I3" s="2047" t="s">
        <v>54</v>
      </c>
      <c r="J3" s="2046"/>
      <c r="K3" s="2046"/>
      <c r="L3" s="2046"/>
      <c r="M3" s="2046"/>
      <c r="N3" s="2046"/>
      <c r="O3" s="2046"/>
      <c r="P3" s="2046"/>
      <c r="Q3" s="2046"/>
      <c r="R3" s="2046"/>
      <c r="S3" s="2046"/>
    </row>
    <row r="4" spans="1:28" ht="12" customHeight="1" x14ac:dyDescent="0.2">
      <c r="A4" s="37"/>
      <c r="I4" s="2047" t="s">
        <v>545</v>
      </c>
      <c r="J4" s="2046"/>
      <c r="K4" s="2046"/>
      <c r="L4" s="2046"/>
      <c r="M4" s="2046"/>
      <c r="N4" s="2046"/>
      <c r="O4" s="2046"/>
      <c r="P4" s="2046"/>
      <c r="Q4" s="2046"/>
      <c r="R4" s="2046"/>
      <c r="S4" s="2046"/>
    </row>
    <row r="5" spans="1:28" ht="14.1" customHeight="1" x14ac:dyDescent="0.2">
      <c r="B5" s="104" t="s">
        <v>2073</v>
      </c>
      <c r="C5" s="26" t="s">
        <v>966</v>
      </c>
      <c r="D5" s="84"/>
      <c r="E5" s="84"/>
      <c r="H5" s="38"/>
      <c r="I5" s="2054" t="s">
        <v>701</v>
      </c>
      <c r="J5" s="1999"/>
      <c r="K5" s="1999"/>
      <c r="L5" s="1999"/>
      <c r="M5" s="1999"/>
      <c r="N5" s="1999"/>
      <c r="O5" s="1999"/>
      <c r="P5" s="1999"/>
      <c r="Q5" s="1999"/>
      <c r="R5" s="1999"/>
      <c r="S5" s="1999"/>
    </row>
    <row r="6" spans="1:28" ht="14.1" customHeight="1" x14ac:dyDescent="0.2">
      <c r="B6" s="104"/>
      <c r="C6" s="26" t="s">
        <v>967</v>
      </c>
      <c r="D6" s="84"/>
      <c r="E6" s="84"/>
      <c r="I6" s="2053" t="s">
        <v>938</v>
      </c>
      <c r="J6" s="1999"/>
      <c r="K6" s="1999"/>
      <c r="L6" s="1999"/>
      <c r="M6" s="1999"/>
      <c r="N6" s="1999"/>
      <c r="O6" s="1999"/>
      <c r="P6" s="1999"/>
      <c r="Q6" s="1999"/>
      <c r="R6" s="1999"/>
      <c r="S6" s="1999"/>
    </row>
    <row r="7" spans="1:28" ht="12.2" customHeight="1" x14ac:dyDescent="0.2">
      <c r="I7" s="2048">
        <v>43281</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695</v>
      </c>
      <c r="J9" s="2051"/>
      <c r="K9" s="2051"/>
      <c r="L9" s="2051"/>
      <c r="M9" s="2051"/>
      <c r="N9" s="2051"/>
      <c r="O9" s="2051"/>
      <c r="P9" s="2051"/>
      <c r="Q9" s="2051"/>
      <c r="R9" s="2051"/>
      <c r="S9" s="2052"/>
      <c r="T9" s="1995" t="s">
        <v>554</v>
      </c>
      <c r="U9" s="1996"/>
      <c r="V9" s="1996"/>
      <c r="W9" s="1996"/>
      <c r="X9" s="1996"/>
      <c r="Y9" s="1996"/>
      <c r="Z9" s="1996"/>
      <c r="AA9" s="1997"/>
    </row>
    <row r="10" spans="1:28" ht="13.5" customHeight="1" x14ac:dyDescent="0.2">
      <c r="A10" s="2004" t="s">
        <v>696</v>
      </c>
      <c r="B10" s="2005"/>
      <c r="C10" s="2005"/>
      <c r="D10" s="2005"/>
      <c r="E10" s="2005"/>
      <c r="F10" s="2005"/>
      <c r="G10" s="2005"/>
      <c r="H10" s="2006"/>
      <c r="I10" s="29"/>
      <c r="J10" s="30"/>
      <c r="K10" s="28"/>
      <c r="R10" s="30"/>
      <c r="S10" s="30"/>
      <c r="T10" s="1998"/>
      <c r="U10" s="1999"/>
      <c r="V10" s="1999"/>
      <c r="W10" s="1999"/>
      <c r="X10" s="1999"/>
      <c r="Y10" s="1999"/>
      <c r="Z10" s="1999"/>
      <c r="AA10" s="2000"/>
    </row>
    <row r="11" spans="1:28" ht="14.25" customHeight="1" x14ac:dyDescent="0.2">
      <c r="A11" s="2007" t="s">
        <v>1012</v>
      </c>
      <c r="B11" s="2008"/>
      <c r="C11" s="2008"/>
      <c r="D11" s="2008"/>
      <c r="E11" s="2008"/>
      <c r="F11" s="2008"/>
      <c r="G11" s="2008"/>
      <c r="H11" s="2009"/>
      <c r="I11" s="27"/>
      <c r="J11" s="74"/>
      <c r="K11" s="27"/>
      <c r="O11" s="148" t="s">
        <v>2073</v>
      </c>
      <c r="P11" s="100" t="s">
        <v>210</v>
      </c>
      <c r="Q11" s="30"/>
      <c r="R11" s="28"/>
      <c r="S11" s="27"/>
      <c r="T11" s="2001"/>
      <c r="U11" s="2002"/>
      <c r="V11" s="2002"/>
      <c r="W11" s="2002"/>
      <c r="X11" s="2002"/>
      <c r="Y11" s="2002"/>
      <c r="Z11" s="2002"/>
      <c r="AA11" s="200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5">
        <v>30002005026</v>
      </c>
      <c r="B13" s="2016"/>
      <c r="C13" s="2016"/>
      <c r="D13" s="2016"/>
      <c r="E13" s="2016"/>
      <c r="F13" s="2016"/>
      <c r="G13" s="2016"/>
      <c r="H13" s="2017"/>
      <c r="I13" s="31"/>
      <c r="J13" s="30"/>
      <c r="K13" s="28"/>
      <c r="L13" s="30"/>
      <c r="M13" s="30"/>
      <c r="N13" s="30"/>
      <c r="O13" s="30"/>
      <c r="P13" s="30"/>
      <c r="Q13" s="30"/>
      <c r="R13" s="30"/>
      <c r="S13" s="30"/>
      <c r="T13" s="2020" t="s">
        <v>2077</v>
      </c>
      <c r="U13" s="2021"/>
      <c r="V13" s="2021"/>
      <c r="W13" s="2021"/>
      <c r="X13" s="2021"/>
      <c r="Y13" s="2022"/>
      <c r="Z13" s="2022"/>
      <c r="AA13" s="202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3" t="s">
        <v>2074</v>
      </c>
      <c r="B15" s="2018"/>
      <c r="C15" s="2018"/>
      <c r="D15" s="2018"/>
      <c r="E15" s="2018"/>
      <c r="F15" s="2018"/>
      <c r="G15" s="2018"/>
      <c r="H15" s="2019"/>
      <c r="T15" s="1981" t="s">
        <v>2078</v>
      </c>
      <c r="U15" s="1982"/>
      <c r="V15" s="1982"/>
      <c r="W15" s="1982"/>
      <c r="X15" s="1982"/>
      <c r="Y15" s="2024"/>
      <c r="Z15" s="2024"/>
      <c r="AA15" s="202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3" t="s">
        <v>2172</v>
      </c>
      <c r="B17" s="2043"/>
      <c r="C17" s="2043"/>
      <c r="D17" s="2043"/>
      <c r="E17" s="2043"/>
      <c r="F17" s="2043"/>
      <c r="G17" s="2043"/>
      <c r="H17" s="2044"/>
      <c r="T17" s="2030" t="s">
        <v>2079</v>
      </c>
      <c r="U17" s="2031"/>
      <c r="V17" s="2031"/>
      <c r="W17" s="2031"/>
      <c r="X17" s="2031"/>
      <c r="Y17" s="2031"/>
      <c r="Z17" s="2031"/>
      <c r="AA17" s="2032"/>
    </row>
    <row r="18" spans="1:27" ht="13.5" customHeight="1" x14ac:dyDescent="0.2">
      <c r="A18" s="85" t="s">
        <v>551</v>
      </c>
      <c r="B18" s="76"/>
      <c r="C18" s="72"/>
      <c r="D18" s="76"/>
      <c r="E18" s="76"/>
      <c r="F18" s="76"/>
      <c r="G18" s="76"/>
      <c r="H18" s="56"/>
      <c r="I18" s="2040" t="s">
        <v>697</v>
      </c>
      <c r="J18" s="2041"/>
      <c r="K18" s="2041"/>
      <c r="L18" s="2041"/>
      <c r="M18" s="2041"/>
      <c r="N18" s="2041"/>
      <c r="O18" s="2041"/>
      <c r="P18" s="2041"/>
      <c r="Q18" s="2041"/>
      <c r="R18" s="2041"/>
      <c r="S18" s="2042"/>
      <c r="T18" s="85" t="s">
        <v>735</v>
      </c>
      <c r="U18" s="51"/>
      <c r="V18" s="72"/>
      <c r="W18" s="50"/>
      <c r="X18" s="85" t="s">
        <v>284</v>
      </c>
      <c r="Y18" s="81"/>
      <c r="Z18" s="159" t="s">
        <v>698</v>
      </c>
      <c r="AA18" s="46"/>
    </row>
    <row r="19" spans="1:27" ht="13.5" customHeight="1" x14ac:dyDescent="0.2">
      <c r="A19" s="2013" t="s">
        <v>2075</v>
      </c>
      <c r="B19" s="2014"/>
      <c r="C19" s="2014"/>
      <c r="D19" s="2014"/>
      <c r="E19" s="2014"/>
      <c r="F19" s="2014"/>
      <c r="G19" s="2014"/>
      <c r="H19" s="2012"/>
      <c r="I19" s="30"/>
      <c r="J19" s="99"/>
      <c r="K19" s="40"/>
      <c r="L19" s="38"/>
      <c r="M19" s="112" t="s">
        <v>333</v>
      </c>
      <c r="P19" s="27"/>
      <c r="Q19" s="27"/>
      <c r="R19" s="27"/>
      <c r="S19" s="31"/>
      <c r="T19" s="2013" t="s">
        <v>2080</v>
      </c>
      <c r="U19" s="2011"/>
      <c r="V19" s="2011"/>
      <c r="W19" s="2012"/>
      <c r="X19" s="2028" t="s">
        <v>2081</v>
      </c>
      <c r="Y19" s="2029"/>
      <c r="Z19" s="2026">
        <v>63703</v>
      </c>
      <c r="AA19" s="202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0" t="s">
        <v>2076</v>
      </c>
      <c r="B21" s="2011"/>
      <c r="C21" s="2011"/>
      <c r="D21" s="2011"/>
      <c r="E21" s="2011"/>
      <c r="F21" s="2011"/>
      <c r="G21" s="2011"/>
      <c r="H21" s="2012"/>
      <c r="I21" s="2036" t="s">
        <v>699</v>
      </c>
      <c r="J21" s="1999"/>
      <c r="K21" s="1999"/>
      <c r="L21" s="1999"/>
      <c r="M21" s="1999"/>
      <c r="N21" s="1999"/>
      <c r="O21" s="1999"/>
      <c r="P21" s="1999"/>
      <c r="Q21" s="1999"/>
      <c r="R21" s="1999"/>
      <c r="S21" s="2000"/>
      <c r="T21" s="1978" t="s">
        <v>2082</v>
      </c>
      <c r="U21" s="1979"/>
      <c r="V21" s="1979"/>
      <c r="W21" s="1979"/>
      <c r="X21" s="1992" t="s">
        <v>2083</v>
      </c>
      <c r="Y21" s="1993"/>
      <c r="Z21" s="1993"/>
      <c r="AA21" s="1994"/>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3"/>
      <c r="B23" s="2034"/>
      <c r="C23" s="2034"/>
      <c r="D23" s="2034"/>
      <c r="E23" s="2034"/>
      <c r="F23" s="2034"/>
      <c r="G23" s="2034"/>
      <c r="H23" s="2035"/>
      <c r="T23" s="1973" t="s">
        <v>2084</v>
      </c>
      <c r="U23" s="1974"/>
      <c r="V23" s="1974"/>
      <c r="W23" s="1974"/>
      <c r="X23" s="1989">
        <v>44530</v>
      </c>
      <c r="Y23" s="1990"/>
      <c r="Z23" s="1990"/>
      <c r="AA23" s="1991"/>
    </row>
    <row r="24" spans="1:27" ht="14.1" customHeight="1" x14ac:dyDescent="0.2">
      <c r="A24" s="88" t="s">
        <v>698</v>
      </c>
      <c r="B24" s="49"/>
      <c r="C24" s="49"/>
      <c r="D24" s="49"/>
      <c r="E24" s="49"/>
      <c r="F24" s="49"/>
      <c r="G24" s="49"/>
      <c r="H24" s="61"/>
      <c r="J24" s="2075">
        <f>IF(B5="x",IF(AUDITCHECK!D29="AFR form Incomplete.","",IF(AUDITCHECK!D29="Deficit reduction plan is required.","School District must complete a deficit reduction plan in the 2018-2019 Budget",)),"")</f>
        <v>0</v>
      </c>
      <c r="K24" s="2075"/>
      <c r="L24" s="2075"/>
      <c r="M24" s="2075"/>
      <c r="N24" s="2075"/>
      <c r="O24" s="2075"/>
      <c r="P24" s="2075"/>
      <c r="Q24" s="2075"/>
      <c r="R24" s="2075"/>
      <c r="S24" s="2076"/>
      <c r="T24" s="105" t="s">
        <v>552</v>
      </c>
      <c r="U24" s="106"/>
      <c r="V24" s="106"/>
      <c r="W24" s="106"/>
      <c r="X24" s="107"/>
      <c r="Y24" s="107"/>
      <c r="Z24" s="107"/>
      <c r="AA24" s="108"/>
    </row>
    <row r="25" spans="1:27" ht="14.1" customHeight="1" x14ac:dyDescent="0.2">
      <c r="A25" s="2010">
        <v>62988</v>
      </c>
      <c r="B25" s="2011"/>
      <c r="C25" s="2011"/>
      <c r="D25" s="2011"/>
      <c r="E25" s="2011"/>
      <c r="F25" s="2011"/>
      <c r="G25" s="2011"/>
      <c r="H25" s="2012"/>
      <c r="I25" s="113"/>
      <c r="J25" s="2077"/>
      <c r="K25" s="2077"/>
      <c r="L25" s="2077"/>
      <c r="M25" s="2077"/>
      <c r="N25" s="2077"/>
      <c r="O25" s="2077"/>
      <c r="P25" s="2077"/>
      <c r="Q25" s="2077"/>
      <c r="R25" s="2077"/>
      <c r="S25" s="2078"/>
      <c r="T25" s="1970" t="s">
        <v>2085</v>
      </c>
      <c r="U25" s="1971"/>
      <c r="V25" s="1971"/>
      <c r="W25" s="1971"/>
      <c r="X25" s="1971"/>
      <c r="Y25" s="1971"/>
      <c r="Z25" s="1971"/>
      <c r="AA25" s="19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8" t="s">
        <v>1591</v>
      </c>
      <c r="J27" s="2041"/>
      <c r="K27" s="2041"/>
      <c r="L27" s="2041"/>
      <c r="M27" s="2041"/>
      <c r="N27" s="2041"/>
      <c r="O27" s="2041"/>
      <c r="P27" s="2041"/>
      <c r="Q27" s="2041"/>
      <c r="R27" s="2041"/>
      <c r="S27" s="204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4"/>
      <c r="Q35" s="2011"/>
      <c r="R35" s="20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3"/>
      <c r="B38" s="2043"/>
      <c r="C38" s="2043"/>
      <c r="D38" s="2043"/>
      <c r="E38" s="2043"/>
      <c r="F38" s="2011"/>
      <c r="G38" s="2011"/>
      <c r="H38" s="2012"/>
      <c r="I38" s="2062"/>
      <c r="J38" s="1982"/>
      <c r="K38" s="1982"/>
      <c r="L38" s="1982"/>
      <c r="M38" s="1982"/>
      <c r="N38" s="1982"/>
      <c r="O38" s="1982"/>
      <c r="P38" s="1983"/>
      <c r="Q38" s="1983"/>
      <c r="R38" s="1983"/>
      <c r="S38" s="1984"/>
      <c r="T38" s="1981"/>
      <c r="U38" s="1982"/>
      <c r="V38" s="1982"/>
      <c r="W38" s="1982"/>
      <c r="X38" s="1983"/>
      <c r="Y38" s="1983"/>
      <c r="Z38" s="1983"/>
      <c r="AA38" s="1984"/>
    </row>
    <row r="39" spans="1:27" ht="12" customHeight="1" x14ac:dyDescent="0.2">
      <c r="A39" s="2066" t="s">
        <v>552</v>
      </c>
      <c r="B39" s="2067"/>
      <c r="C39" s="72"/>
      <c r="D39" s="69"/>
      <c r="E39" s="69"/>
      <c r="F39" s="79"/>
      <c r="G39" s="69"/>
      <c r="H39" s="56"/>
      <c r="I39" s="2066" t="s">
        <v>552</v>
      </c>
      <c r="J39" s="2067"/>
      <c r="K39" s="2067"/>
      <c r="L39" s="2067"/>
      <c r="M39" s="2067"/>
      <c r="N39" s="67"/>
      <c r="O39" s="72"/>
      <c r="P39" s="72"/>
      <c r="Q39" s="78"/>
      <c r="R39" s="72"/>
      <c r="S39" s="56"/>
      <c r="T39" s="72" t="s">
        <v>552</v>
      </c>
      <c r="U39" s="51"/>
      <c r="V39" s="72"/>
      <c r="W39" s="50"/>
      <c r="X39" s="78"/>
      <c r="Y39" s="45"/>
      <c r="Z39" s="45"/>
      <c r="AA39" s="46"/>
    </row>
    <row r="40" spans="1:27" ht="13.5" customHeight="1" x14ac:dyDescent="0.2">
      <c r="A40" s="2069"/>
      <c r="B40" s="2070"/>
      <c r="C40" s="2071"/>
      <c r="D40" s="2071"/>
      <c r="E40" s="2071"/>
      <c r="F40" s="2072"/>
      <c r="G40" s="2072"/>
      <c r="H40" s="2073"/>
      <c r="I40" s="1985"/>
      <c r="J40" s="1987"/>
      <c r="K40" s="1987"/>
      <c r="L40" s="1987"/>
      <c r="M40" s="1987"/>
      <c r="N40" s="1987"/>
      <c r="O40" s="1987"/>
      <c r="P40" s="1987"/>
      <c r="Q40" s="1987"/>
      <c r="R40" s="1987"/>
      <c r="S40" s="1988"/>
      <c r="T40" s="1985"/>
      <c r="U40" s="1986"/>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9"/>
      <c r="B42" s="2060"/>
      <c r="C42" s="2061"/>
      <c r="D42" s="2074"/>
      <c r="E42" s="2060"/>
      <c r="F42" s="2060"/>
      <c r="G42" s="2060"/>
      <c r="H42" s="2061"/>
      <c r="I42" s="1980"/>
      <c r="J42" s="1976"/>
      <c r="K42" s="1976"/>
      <c r="L42" s="1976"/>
      <c r="M42" s="1976"/>
      <c r="N42" s="1976"/>
      <c r="O42" s="1977"/>
      <c r="P42" s="1975"/>
      <c r="Q42" s="1976"/>
      <c r="R42" s="1976"/>
      <c r="S42" s="1977"/>
      <c r="T42" s="1980"/>
      <c r="U42" s="1976"/>
      <c r="V42" s="1976"/>
      <c r="W42" s="1977"/>
      <c r="X42" s="1975"/>
      <c r="Y42" s="1976"/>
      <c r="Z42" s="1976"/>
      <c r="AA42" s="197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3"/>
      <c r="B44" s="2064"/>
      <c r="C44" s="2064"/>
      <c r="D44" s="2064"/>
      <c r="E44" s="2064"/>
      <c r="F44" s="2064"/>
      <c r="G44" s="2064"/>
      <c r="H44" s="2065"/>
      <c r="I44" s="2055"/>
      <c r="J44" s="2057"/>
      <c r="K44" s="2057"/>
      <c r="L44" s="2057"/>
      <c r="M44" s="2057"/>
      <c r="N44" s="2057"/>
      <c r="O44" s="2057"/>
      <c r="P44" s="2057"/>
      <c r="Q44" s="2057"/>
      <c r="R44" s="2057"/>
      <c r="S44" s="2058"/>
      <c r="T44" s="2055"/>
      <c r="U44" s="2056"/>
      <c r="V44" s="2056"/>
      <c r="W44" s="2056"/>
      <c r="X44" s="2056"/>
      <c r="Y44" s="2056"/>
      <c r="Z44" s="2057"/>
      <c r="AA44" s="205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14" t="s">
        <v>1902</v>
      </c>
      <c r="B2" s="1547" t="s">
        <v>2033</v>
      </c>
      <c r="C2" s="715" t="s">
        <v>1907</v>
      </c>
      <c r="D2" s="715" t="s">
        <v>1908</v>
      </c>
      <c r="E2" s="715" t="s">
        <v>1909</v>
      </c>
      <c r="F2" s="715" t="s">
        <v>1910</v>
      </c>
    </row>
    <row r="3" spans="1:6" ht="12" customHeight="1" x14ac:dyDescent="0.2">
      <c r="A3" s="2215"/>
      <c r="B3" s="1544"/>
      <c r="C3" s="1545"/>
      <c r="D3" s="1546" t="s">
        <v>274</v>
      </c>
      <c r="E3" s="1545"/>
      <c r="F3" s="1546" t="s">
        <v>275</v>
      </c>
    </row>
    <row r="4" spans="1:6" ht="13.7" customHeight="1" x14ac:dyDescent="0.2">
      <c r="A4" s="716" t="s">
        <v>1217</v>
      </c>
      <c r="B4" s="1768">
        <f>'Revenues 9-14'!C5</f>
        <v>321818</v>
      </c>
      <c r="C4" s="1543"/>
      <c r="D4" s="1771">
        <f>B4-C4</f>
        <v>321818</v>
      </c>
      <c r="E4" s="1543">
        <v>332622</v>
      </c>
      <c r="F4" s="1771">
        <f>E4-C4</f>
        <v>332622</v>
      </c>
    </row>
    <row r="5" spans="1:6" ht="13.7" customHeight="1" x14ac:dyDescent="0.2">
      <c r="A5" s="716" t="s">
        <v>925</v>
      </c>
      <c r="B5" s="1769">
        <f>'Revenues 9-14'!D5</f>
        <v>87450</v>
      </c>
      <c r="C5" s="585"/>
      <c r="D5" s="1772">
        <f t="shared" ref="D5:D18" si="0">B5-C5</f>
        <v>87450</v>
      </c>
      <c r="E5" s="585">
        <v>90387</v>
      </c>
      <c r="F5" s="1772">
        <f>E5-C5</f>
        <v>90387</v>
      </c>
    </row>
    <row r="6" spans="1:6" ht="13.7" customHeight="1" x14ac:dyDescent="0.2">
      <c r="A6" s="716" t="s">
        <v>431</v>
      </c>
      <c r="B6" s="1769">
        <f>'Revenues 9-14'!E5</f>
        <v>0</v>
      </c>
      <c r="C6" s="585"/>
      <c r="D6" s="1772">
        <f t="shared" si="0"/>
        <v>0</v>
      </c>
      <c r="E6" s="585"/>
      <c r="F6" s="1772">
        <f t="shared" ref="F6:F18" si="1">E6-C6</f>
        <v>0</v>
      </c>
    </row>
    <row r="7" spans="1:6" ht="13.7" customHeight="1" x14ac:dyDescent="0.2">
      <c r="A7" s="716" t="s">
        <v>157</v>
      </c>
      <c r="B7" s="1769">
        <f>'Revenues 9-14'!F5</f>
        <v>34980</v>
      </c>
      <c r="C7" s="585"/>
      <c r="D7" s="1772">
        <f t="shared" si="0"/>
        <v>34980</v>
      </c>
      <c r="E7" s="585">
        <v>36154</v>
      </c>
      <c r="F7" s="1772">
        <f t="shared" si="1"/>
        <v>36154</v>
      </c>
    </row>
    <row r="8" spans="1:6" ht="13.7" customHeight="1" x14ac:dyDescent="0.2">
      <c r="A8" s="716" t="s">
        <v>1241</v>
      </c>
      <c r="B8" s="1769">
        <f>'Revenues 9-14'!G5</f>
        <v>55749</v>
      </c>
      <c r="C8" s="585"/>
      <c r="D8" s="1772">
        <f t="shared" si="0"/>
        <v>55749</v>
      </c>
      <c r="E8" s="585">
        <v>52238</v>
      </c>
      <c r="F8" s="1772">
        <f t="shared" si="1"/>
        <v>52238</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0</v>
      </c>
      <c r="C10" s="585"/>
      <c r="D10" s="1772">
        <f t="shared" si="0"/>
        <v>0</v>
      </c>
      <c r="E10" s="585"/>
      <c r="F10" s="1772">
        <f t="shared" si="1"/>
        <v>0</v>
      </c>
    </row>
    <row r="11" spans="1:6" x14ac:dyDescent="0.2">
      <c r="A11" s="716" t="s">
        <v>429</v>
      </c>
      <c r="B11" s="1769">
        <f>'Revenues 9-14'!J5</f>
        <v>26827</v>
      </c>
      <c r="C11" s="585"/>
      <c r="D11" s="1772">
        <f t="shared" si="0"/>
        <v>26827</v>
      </c>
      <c r="E11" s="585">
        <v>27754</v>
      </c>
      <c r="F11" s="1772">
        <f t="shared" si="1"/>
        <v>27754</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6121</v>
      </c>
      <c r="C14" s="585"/>
      <c r="D14" s="1772">
        <f t="shared" si="0"/>
        <v>6121</v>
      </c>
      <c r="E14" s="585">
        <v>6329</v>
      </c>
      <c r="F14" s="1772">
        <f t="shared" si="1"/>
        <v>6329</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53963</v>
      </c>
      <c r="C16" s="585"/>
      <c r="D16" s="1772">
        <f t="shared" si="0"/>
        <v>53963</v>
      </c>
      <c r="E16" s="585">
        <v>49495</v>
      </c>
      <c r="F16" s="1772">
        <f t="shared" si="1"/>
        <v>49495</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586908</v>
      </c>
      <c r="C19" s="1770">
        <f>SUM(C4:C18)</f>
        <v>0</v>
      </c>
      <c r="D19" s="1770">
        <f>SUM(D4:D18)</f>
        <v>586908</v>
      </c>
      <c r="E19" s="1770">
        <f>SUM(E4:E18)</f>
        <v>594979</v>
      </c>
      <c r="F19" s="1770">
        <f>SUM(F4:F18)</f>
        <v>594979</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8"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21"/>
      <c r="C1" s="722"/>
    </row>
    <row r="2" spans="1:7" ht="33.75" x14ac:dyDescent="0.2">
      <c r="A2" s="2229" t="s">
        <v>1902</v>
      </c>
      <c r="B2" s="2230"/>
      <c r="C2" s="1906" t="s">
        <v>2034</v>
      </c>
      <c r="D2" s="724" t="s">
        <v>2041</v>
      </c>
      <c r="E2" s="724" t="s">
        <v>2042</v>
      </c>
      <c r="F2" s="1906" t="s">
        <v>2035</v>
      </c>
    </row>
    <row r="3" spans="1:7" ht="15.75" customHeight="1" x14ac:dyDescent="0.2">
      <c r="A3" s="2233" t="s">
        <v>1176</v>
      </c>
      <c r="B3" s="2234"/>
      <c r="C3" s="2222"/>
      <c r="D3" s="2223"/>
      <c r="E3" s="2223"/>
      <c r="F3" s="2224"/>
    </row>
    <row r="4" spans="1:7" ht="12.75" customHeight="1" thickBot="1" x14ac:dyDescent="0.25">
      <c r="A4" s="2231" t="s">
        <v>651</v>
      </c>
      <c r="B4" s="2232"/>
      <c r="C4" s="581"/>
      <c r="D4" s="581"/>
      <c r="E4" s="581"/>
      <c r="F4" s="1774">
        <f>SUM(C4+D4)-E4</f>
        <v>0</v>
      </c>
    </row>
    <row r="5" spans="1:7" ht="15.75" customHeight="1" thickTop="1" x14ac:dyDescent="0.2">
      <c r="A5" s="2216" t="s">
        <v>1172</v>
      </c>
      <c r="B5" s="2217"/>
      <c r="C5" s="2225"/>
      <c r="D5" s="2226"/>
      <c r="E5" s="2226"/>
      <c r="F5" s="2227"/>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8" t="s">
        <v>652</v>
      </c>
      <c r="B15" s="2219"/>
      <c r="C15" s="1774">
        <f>SUM(C6:C14)</f>
        <v>0</v>
      </c>
      <c r="D15" s="1774">
        <f>SUM(D6:D14)</f>
        <v>0</v>
      </c>
      <c r="E15" s="1774">
        <f>SUM(E6:E14)</f>
        <v>0</v>
      </c>
      <c r="F15" s="1774">
        <f>SUM(F6:F14)</f>
        <v>0</v>
      </c>
      <c r="G15" s="552"/>
    </row>
    <row r="16" spans="1:7" s="202" customFormat="1" ht="15.75" customHeight="1" thickTop="1" x14ac:dyDescent="0.2">
      <c r="A16" s="2228" t="s">
        <v>1173</v>
      </c>
      <c r="B16" s="2217"/>
      <c r="C16" s="2225"/>
      <c r="D16" s="2226"/>
      <c r="E16" s="2226"/>
      <c r="F16" s="2227"/>
    </row>
    <row r="17" spans="1:11" ht="12.75" customHeight="1" thickBot="1" x14ac:dyDescent="0.25">
      <c r="A17" s="2241" t="s">
        <v>66</v>
      </c>
      <c r="B17" s="2242"/>
      <c r="C17" s="727"/>
      <c r="D17" s="585"/>
      <c r="E17" s="727"/>
      <c r="F17" s="1774">
        <f>SUM(C17+D17)-E17</f>
        <v>0</v>
      </c>
    </row>
    <row r="18" spans="1:11" ht="12.75" customHeight="1" thickTop="1" thickBot="1" x14ac:dyDescent="0.25">
      <c r="A18" s="2241" t="s">
        <v>6</v>
      </c>
      <c r="B18" s="2242"/>
      <c r="C18" s="727"/>
      <c r="D18" s="585"/>
      <c r="E18" s="727"/>
      <c r="F18" s="1774">
        <f>SUM(C18+D18)-E18</f>
        <v>0</v>
      </c>
    </row>
    <row r="19" spans="1:11" ht="12.75" customHeight="1" thickTop="1" thickBot="1" x14ac:dyDescent="0.25">
      <c r="A19" s="2241" t="s">
        <v>406</v>
      </c>
      <c r="B19" s="2242"/>
      <c r="C19" s="727"/>
      <c r="D19" s="585"/>
      <c r="E19" s="727"/>
      <c r="F19" s="1774">
        <f>SUM(C19+D19)-E19</f>
        <v>0</v>
      </c>
    </row>
    <row r="20" spans="1:11" ht="12.75" customHeight="1" thickTop="1" thickBot="1" x14ac:dyDescent="0.25">
      <c r="A20" s="2241" t="s">
        <v>468</v>
      </c>
      <c r="B20" s="2242"/>
      <c r="C20" s="727"/>
      <c r="D20" s="585"/>
      <c r="E20" s="727"/>
      <c r="F20" s="1774">
        <f>SUM(C20+D20)-E20</f>
        <v>0</v>
      </c>
    </row>
    <row r="21" spans="1:11" ht="14.25" thickTop="1" thickBot="1" x14ac:dyDescent="0.25">
      <c r="A21" s="2218" t="s">
        <v>653</v>
      </c>
      <c r="B21" s="2219"/>
      <c r="C21" s="1774">
        <f>SUM(C17:C20)</f>
        <v>0</v>
      </c>
      <c r="D21" s="1774">
        <f>SUM(D17:D20)</f>
        <v>0</v>
      </c>
      <c r="E21" s="1774">
        <f>SUM(E17:E20)</f>
        <v>0</v>
      </c>
      <c r="F21" s="1774">
        <f>SUM(F17:F20)</f>
        <v>0</v>
      </c>
      <c r="G21" s="552"/>
    </row>
    <row r="22" spans="1:11" ht="15.75" customHeight="1" thickTop="1" x14ac:dyDescent="0.2">
      <c r="A22" s="2243" t="s">
        <v>1174</v>
      </c>
      <c r="B22" s="2217"/>
      <c r="C22" s="2225"/>
      <c r="D22" s="2226"/>
      <c r="E22" s="2226"/>
      <c r="F22" s="2227"/>
    </row>
    <row r="23" spans="1:11" ht="13.5" thickBot="1" x14ac:dyDescent="0.25">
      <c r="A23" s="2231" t="s">
        <v>654</v>
      </c>
      <c r="B23" s="2232"/>
      <c r="C23" s="581"/>
      <c r="D23" s="581"/>
      <c r="E23" s="581"/>
      <c r="F23" s="1774">
        <f>SUM(C23+D23)-E23</f>
        <v>0</v>
      </c>
      <c r="G23" s="552"/>
    </row>
    <row r="24" spans="1:11" ht="15.75" customHeight="1" thickTop="1" x14ac:dyDescent="0.2">
      <c r="A24" s="2243" t="s">
        <v>1175</v>
      </c>
      <c r="B24" s="2217"/>
      <c r="C24" s="2225"/>
      <c r="D24" s="2226"/>
      <c r="E24" s="2226"/>
      <c r="F24" s="2227"/>
    </row>
    <row r="25" spans="1:11" ht="13.5" thickBot="1" x14ac:dyDescent="0.25">
      <c r="A25" s="2231" t="s">
        <v>655</v>
      </c>
      <c r="B25" s="2232"/>
      <c r="C25" s="581"/>
      <c r="D25" s="581"/>
      <c r="E25" s="581"/>
      <c r="F25" s="1774">
        <f>SUM(C25+D25)-E25</f>
        <v>0</v>
      </c>
      <c r="G25" s="552"/>
    </row>
    <row r="26" spans="1:11" ht="15.75" customHeight="1" thickTop="1" x14ac:dyDescent="0.2">
      <c r="A26" s="2216" t="s">
        <v>678</v>
      </c>
      <c r="B26" s="2217"/>
      <c r="C26" s="728"/>
      <c r="D26" s="728"/>
      <c r="E26" s="728"/>
      <c r="F26" s="729"/>
    </row>
    <row r="27" spans="1:11" ht="13.5" thickBot="1" x14ac:dyDescent="0.25">
      <c r="A27" s="2218" t="s">
        <v>1130</v>
      </c>
      <c r="B27" s="2219"/>
      <c r="C27" s="585"/>
      <c r="D27" s="585"/>
      <c r="E27" s="585"/>
      <c r="F27" s="1774">
        <f>SUM(C27+D27)-E27</f>
        <v>0</v>
      </c>
      <c r="G27" s="552"/>
    </row>
    <row r="28" spans="1:11" ht="7.5" customHeight="1" thickTop="1" x14ac:dyDescent="0.2">
      <c r="A28" s="594"/>
    </row>
    <row r="29" spans="1:11" ht="23.25" customHeight="1" x14ac:dyDescent="0.2">
      <c r="A29" s="2244" t="s">
        <v>603</v>
      </c>
      <c r="B29" s="2221"/>
      <c r="C29" s="730"/>
      <c r="D29" s="730"/>
      <c r="E29" s="730"/>
      <c r="F29" s="730"/>
      <c r="G29" s="730"/>
      <c r="H29" s="730"/>
      <c r="I29" s="730"/>
      <c r="J29" s="730"/>
    </row>
    <row r="30" spans="1:11" ht="33.75" x14ac:dyDescent="0.2">
      <c r="A30" s="1548" t="s">
        <v>1131</v>
      </c>
      <c r="B30" s="731" t="s">
        <v>1186</v>
      </c>
      <c r="C30" s="1907" t="s">
        <v>604</v>
      </c>
      <c r="D30" s="1907" t="s">
        <v>1772</v>
      </c>
      <c r="E30" s="1907" t="s">
        <v>2036</v>
      </c>
      <c r="F30" s="1907" t="s">
        <v>2037</v>
      </c>
      <c r="G30" s="1907" t="s">
        <v>2040</v>
      </c>
      <c r="H30" s="1907" t="s">
        <v>2038</v>
      </c>
      <c r="I30" s="1907" t="s">
        <v>2039</v>
      </c>
      <c r="J30" s="1908" t="s">
        <v>2</v>
      </c>
      <c r="K30" s="732"/>
    </row>
    <row r="31" spans="1:11" ht="12" customHeight="1" x14ac:dyDescent="0.2">
      <c r="A31" s="733" t="s">
        <v>2087</v>
      </c>
      <c r="B31" s="734">
        <v>39167</v>
      </c>
      <c r="C31" s="735">
        <v>338000</v>
      </c>
      <c r="D31" s="736">
        <v>7</v>
      </c>
      <c r="E31" s="735">
        <v>168977</v>
      </c>
      <c r="F31" s="735"/>
      <c r="G31" s="735"/>
      <c r="H31" s="735">
        <v>18000</v>
      </c>
      <c r="I31" s="1775">
        <f>((E31+F31)-H31)+G31</f>
        <v>150977</v>
      </c>
      <c r="J31" s="735">
        <v>118308</v>
      </c>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338000</v>
      </c>
      <c r="D49" s="746"/>
      <c r="E49" s="1775">
        <f t="shared" ref="E49:J49" si="2">SUM(E31:E48)</f>
        <v>168977</v>
      </c>
      <c r="F49" s="1775">
        <f t="shared" si="2"/>
        <v>0</v>
      </c>
      <c r="G49" s="1775">
        <f t="shared" si="2"/>
        <v>0</v>
      </c>
      <c r="H49" s="1775">
        <f t="shared" si="2"/>
        <v>18000</v>
      </c>
      <c r="I49" s="1775">
        <f t="shared" si="2"/>
        <v>150977</v>
      </c>
      <c r="J49" s="1775">
        <f t="shared" si="2"/>
        <v>118308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5" t="s">
        <v>605</v>
      </c>
      <c r="C52" s="2236"/>
      <c r="D52" s="2236"/>
      <c r="E52" s="750" t="s">
        <v>900</v>
      </c>
      <c r="F52" s="2237" t="s">
        <v>2088</v>
      </c>
      <c r="G52" s="2238"/>
      <c r="H52" s="737"/>
      <c r="I52" s="737"/>
      <c r="J52" s="747"/>
    </row>
    <row r="53" spans="1:11" ht="11.25" customHeight="1" x14ac:dyDescent="0.2">
      <c r="A53" s="751" t="s">
        <v>969</v>
      </c>
      <c r="B53" s="752" t="s">
        <v>1008</v>
      </c>
      <c r="C53" s="747"/>
      <c r="D53" s="738"/>
      <c r="E53" s="750" t="s">
        <v>518</v>
      </c>
      <c r="F53" s="2239"/>
      <c r="G53" s="2240"/>
      <c r="H53" s="737"/>
      <c r="I53" s="737"/>
      <c r="J53" s="747"/>
    </row>
    <row r="54" spans="1:11" ht="11.25" customHeight="1" x14ac:dyDescent="0.2">
      <c r="A54" s="753" t="s">
        <v>970</v>
      </c>
      <c r="B54" s="748" t="s">
        <v>1009</v>
      </c>
      <c r="C54" s="747"/>
      <c r="D54" s="738"/>
      <c r="E54" s="750" t="s">
        <v>519</v>
      </c>
      <c r="F54" s="2239"/>
      <c r="G54" s="224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9" t="s">
        <v>911</v>
      </c>
      <c r="B1" s="2270"/>
      <c r="C1" s="2270"/>
      <c r="D1" s="2270"/>
      <c r="E1" s="2270"/>
      <c r="F1" s="2270"/>
      <c r="G1" s="2271"/>
      <c r="H1" s="1549"/>
      <c r="I1" s="761"/>
      <c r="J1" s="433"/>
    </row>
    <row r="2" spans="1:11" ht="26.25" x14ac:dyDescent="0.2">
      <c r="A2" s="2248" t="s">
        <v>1776</v>
      </c>
      <c r="B2" s="2249"/>
      <c r="C2" s="2249"/>
      <c r="D2" s="2249"/>
      <c r="E2" s="2250"/>
      <c r="F2" s="762" t="s">
        <v>960</v>
      </c>
      <c r="G2" s="763" t="s">
        <v>1773</v>
      </c>
      <c r="H2" s="763" t="s">
        <v>430</v>
      </c>
      <c r="I2" s="763" t="s">
        <v>1220</v>
      </c>
      <c r="J2" s="763" t="s">
        <v>1916</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36"/>
      <c r="F4" s="767"/>
      <c r="G4" s="768"/>
      <c r="H4" s="769"/>
      <c r="I4" s="768"/>
      <c r="J4" s="770"/>
      <c r="K4" s="770"/>
    </row>
    <row r="5" spans="1:11" x14ac:dyDescent="0.2">
      <c r="A5" s="2272" t="s">
        <v>1129</v>
      </c>
      <c r="B5" s="2245"/>
      <c r="C5" s="2245"/>
      <c r="D5" s="2245"/>
      <c r="E5" s="2273"/>
      <c r="F5" s="771" t="s">
        <v>903</v>
      </c>
      <c r="G5" s="772"/>
      <c r="H5" s="765">
        <v>6121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4669</v>
      </c>
    </row>
    <row r="10" spans="1:11" x14ac:dyDescent="0.2">
      <c r="A10" s="2272" t="s">
        <v>1917</v>
      </c>
      <c r="B10" s="2245"/>
      <c r="C10" s="2245"/>
      <c r="D10" s="2245"/>
      <c r="E10" s="2274"/>
      <c r="F10" s="784" t="s">
        <v>917</v>
      </c>
      <c r="G10" s="783"/>
      <c r="H10" s="785"/>
      <c r="I10" s="765"/>
      <c r="J10" s="766"/>
      <c r="K10" s="766"/>
    </row>
    <row r="11" spans="1:11" x14ac:dyDescent="0.2">
      <c r="A11" s="2272" t="s">
        <v>162</v>
      </c>
      <c r="B11" s="2245"/>
      <c r="C11" s="2245"/>
      <c r="D11" s="2245"/>
      <c r="E11" s="2273"/>
      <c r="F11" s="771" t="s">
        <v>907</v>
      </c>
      <c r="G11" s="772"/>
      <c r="H11" s="765"/>
      <c r="I11" s="765"/>
      <c r="J11" s="766"/>
      <c r="K11" s="774"/>
    </row>
    <row r="12" spans="1:11" ht="13.5" thickBot="1" x14ac:dyDescent="0.25">
      <c r="A12" s="2262" t="s">
        <v>961</v>
      </c>
      <c r="B12" s="2263"/>
      <c r="C12" s="2263"/>
      <c r="D12" s="2263"/>
      <c r="E12" s="2264"/>
      <c r="F12" s="1776"/>
      <c r="G12" s="1777">
        <f>SUM(G5:G11)</f>
        <v>0</v>
      </c>
      <c r="H12" s="1777">
        <f>SUM(H5:H11)</f>
        <v>6121</v>
      </c>
      <c r="I12" s="1777">
        <f>SUM(I5:I11)</f>
        <v>0</v>
      </c>
      <c r="J12" s="1777">
        <f>SUM(J5:J11)</f>
        <v>0</v>
      </c>
      <c r="K12" s="1777">
        <f>SUM(K5:K11)</f>
        <v>4669</v>
      </c>
    </row>
    <row r="13" spans="1:11" ht="13.5" thickTop="1" x14ac:dyDescent="0.2">
      <c r="A13" s="2256" t="s">
        <v>388</v>
      </c>
      <c r="B13" s="2257"/>
      <c r="C13" s="2257"/>
      <c r="D13" s="2257"/>
      <c r="E13" s="2258"/>
      <c r="F13" s="786"/>
      <c r="G13" s="787"/>
      <c r="H13" s="788"/>
      <c r="I13" s="789"/>
      <c r="J13" s="789"/>
      <c r="K13" s="789"/>
    </row>
    <row r="14" spans="1:11" x14ac:dyDescent="0.2">
      <c r="A14" s="2278" t="s">
        <v>476</v>
      </c>
      <c r="B14" s="2278"/>
      <c r="C14" s="2278"/>
      <c r="D14" s="2278"/>
      <c r="E14" s="2279"/>
      <c r="F14" s="790" t="s">
        <v>909</v>
      </c>
      <c r="G14" s="783"/>
      <c r="H14" s="765">
        <v>6121</v>
      </c>
      <c r="I14" s="772"/>
      <c r="J14" s="774"/>
      <c r="K14" s="766">
        <v>4669</v>
      </c>
    </row>
    <row r="15" spans="1:11" x14ac:dyDescent="0.2">
      <c r="A15" s="2245" t="s">
        <v>4</v>
      </c>
      <c r="B15" s="2245"/>
      <c r="C15" s="2245"/>
      <c r="D15" s="2245"/>
      <c r="E15" s="2273"/>
      <c r="F15" s="790" t="s">
        <v>910</v>
      </c>
      <c r="G15" s="772"/>
      <c r="H15" s="765"/>
      <c r="I15" s="765"/>
      <c r="J15" s="766"/>
      <c r="K15" s="766"/>
    </row>
    <row r="16" spans="1:11" x14ac:dyDescent="0.2">
      <c r="A16" s="2245" t="s">
        <v>316</v>
      </c>
      <c r="B16" s="2245"/>
      <c r="C16" s="2245"/>
      <c r="D16" s="2245"/>
      <c r="E16" s="2273"/>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59" t="s">
        <v>386</v>
      </c>
      <c r="B18" s="2260"/>
      <c r="C18" s="2260"/>
      <c r="D18" s="2260"/>
      <c r="E18" s="2261"/>
      <c r="F18" s="790" t="s">
        <v>989</v>
      </c>
      <c r="G18" s="783"/>
      <c r="H18" s="783"/>
      <c r="I18" s="783"/>
      <c r="J18" s="766"/>
      <c r="K18" s="796"/>
    </row>
    <row r="19" spans="1:11" ht="21.75" customHeight="1" x14ac:dyDescent="0.2">
      <c r="A19" s="2280" t="s">
        <v>1913</v>
      </c>
      <c r="B19" s="2280"/>
      <c r="C19" s="2280"/>
      <c r="D19" s="2280"/>
      <c r="E19" s="2281"/>
      <c r="F19" s="790" t="s">
        <v>990</v>
      </c>
      <c r="G19" s="783"/>
      <c r="H19" s="783"/>
      <c r="I19" s="783"/>
      <c r="J19" s="766"/>
      <c r="K19" s="796"/>
    </row>
    <row r="20" spans="1:11" x14ac:dyDescent="0.2">
      <c r="A20" s="2259" t="s">
        <v>1918</v>
      </c>
      <c r="B20" s="2260"/>
      <c r="C20" s="2260"/>
      <c r="D20" s="2260"/>
      <c r="E20" s="2261"/>
      <c r="F20" s="790" t="s">
        <v>991</v>
      </c>
      <c r="G20" s="783"/>
      <c r="H20" s="783"/>
      <c r="I20" s="783"/>
      <c r="J20" s="766"/>
      <c r="K20" s="796"/>
    </row>
    <row r="21" spans="1:11" ht="13.5" thickBot="1" x14ac:dyDescent="0.25">
      <c r="A21" s="2265" t="s">
        <v>659</v>
      </c>
      <c r="B21" s="2265"/>
      <c r="C21" s="2265"/>
      <c r="D21" s="2265"/>
      <c r="E21" s="2265"/>
      <c r="F21" s="1778"/>
      <c r="G21" s="793"/>
      <c r="H21" s="797"/>
      <c r="I21" s="797"/>
      <c r="J21" s="1779">
        <f>SUM(J18:J20)</f>
        <v>0</v>
      </c>
      <c r="K21" s="794"/>
    </row>
    <row r="22" spans="1:11" ht="13.5" thickTop="1" x14ac:dyDescent="0.2">
      <c r="A22" s="2245" t="s">
        <v>1919</v>
      </c>
      <c r="B22" s="2245"/>
      <c r="C22" s="2245"/>
      <c r="D22" s="2245"/>
      <c r="E22" s="2273"/>
      <c r="F22" s="790" t="s">
        <v>917</v>
      </c>
      <c r="G22" s="783"/>
      <c r="H22" s="765"/>
      <c r="I22" s="765"/>
      <c r="J22" s="798"/>
      <c r="K22" s="766"/>
    </row>
    <row r="23" spans="1:11" ht="13.5" thickBot="1" x14ac:dyDescent="0.25">
      <c r="A23" s="2266" t="s">
        <v>962</v>
      </c>
      <c r="B23" s="2265"/>
      <c r="C23" s="2265"/>
      <c r="D23" s="2265"/>
      <c r="E23" s="2265"/>
      <c r="F23" s="1780"/>
      <c r="G23" s="1777">
        <f>SUM(G14:G16,G21,G22)</f>
        <v>0</v>
      </c>
      <c r="H23" s="1777">
        <f>SUM(H14:H16,H21,H22)</f>
        <v>6121</v>
      </c>
      <c r="I23" s="1777">
        <f>SUM(I14:I16,I21,I22)</f>
        <v>0</v>
      </c>
      <c r="J23" s="1777">
        <f>SUM(J14:J16,J21,J22)</f>
        <v>0</v>
      </c>
      <c r="K23" s="1777">
        <f>SUM(K14:K16,K21,K22)</f>
        <v>4669</v>
      </c>
    </row>
    <row r="24" spans="1:11" ht="14.25" thickTop="1" thickBot="1" x14ac:dyDescent="0.25">
      <c r="A24" s="2266" t="s">
        <v>2022</v>
      </c>
      <c r="B24" s="2265"/>
      <c r="C24" s="2265"/>
      <c r="D24" s="2265"/>
      <c r="E24" s="2265"/>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2032</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5"/>
      <c r="I31" s="2276"/>
      <c r="J31" s="2276"/>
      <c r="K31" s="2276"/>
    </row>
    <row r="32" spans="1:11" x14ac:dyDescent="0.2">
      <c r="A32" s="810"/>
      <c r="B32" s="237"/>
      <c r="C32" s="237"/>
      <c r="D32" s="237"/>
      <c r="E32" s="806"/>
      <c r="F32" s="812" t="s">
        <v>561</v>
      </c>
      <c r="G32" s="765"/>
      <c r="H32" s="2277"/>
      <c r="I32" s="2276"/>
      <c r="J32" s="2276"/>
      <c r="K32" s="2276"/>
    </row>
    <row r="33" spans="1:11" ht="1.5" customHeight="1" x14ac:dyDescent="0.2">
      <c r="A33" s="813" t="s">
        <v>1231</v>
      </c>
      <c r="B33" s="364"/>
      <c r="C33" s="364"/>
      <c r="D33" s="364"/>
      <c r="E33" s="364"/>
      <c r="F33" s="364"/>
      <c r="G33" s="814"/>
      <c r="H33" s="2277"/>
      <c r="I33" s="2276"/>
      <c r="J33" s="2276"/>
      <c r="K33" s="227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1914</v>
      </c>
      <c r="B46" s="408" t="s">
        <v>1774</v>
      </c>
    </row>
    <row r="47" spans="1:11" s="824" customFormat="1" ht="12.75" customHeight="1" x14ac:dyDescent="0.2">
      <c r="A47" s="822"/>
      <c r="B47" s="823" t="s">
        <v>1775</v>
      </c>
      <c r="E47" s="823"/>
      <c r="K47" s="825"/>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topLeftCell="A4"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2031</v>
      </c>
      <c r="B1" s="2285"/>
      <c r="C1" s="2286"/>
      <c r="D1" s="827"/>
      <c r="E1" s="828"/>
      <c r="F1" s="828"/>
      <c r="G1" s="829"/>
      <c r="H1" s="830"/>
      <c r="I1" s="831"/>
      <c r="J1" s="2282"/>
      <c r="K1" s="2283"/>
      <c r="L1" s="2283"/>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2038</v>
      </c>
      <c r="D5" s="842"/>
      <c r="E5" s="842"/>
      <c r="F5" s="1779">
        <f>(C5+D5)-E5</f>
        <v>2038</v>
      </c>
      <c r="G5" s="838"/>
      <c r="H5" s="843"/>
      <c r="I5" s="843"/>
      <c r="J5" s="843"/>
      <c r="K5" s="794"/>
      <c r="L5" s="1788">
        <f>F5-K5</f>
        <v>2038</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3523218</v>
      </c>
      <c r="D8" s="845">
        <v>5759</v>
      </c>
      <c r="E8" s="845"/>
      <c r="F8" s="1779">
        <f>(C8+D8)-E8</f>
        <v>3528977</v>
      </c>
      <c r="G8" s="844">
        <v>50</v>
      </c>
      <c r="H8" s="766">
        <v>1822525</v>
      </c>
      <c r="I8" s="766">
        <v>70644</v>
      </c>
      <c r="J8" s="766"/>
      <c r="K8" s="1788">
        <f>(H8+I8)-J8</f>
        <v>1893169</v>
      </c>
      <c r="L8" s="1788">
        <f>F8-K8</f>
        <v>1635808</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1677676</v>
      </c>
      <c r="D10" s="847"/>
      <c r="E10" s="847">
        <v>1680</v>
      </c>
      <c r="F10" s="1783">
        <f>(C10+D10)-E10</f>
        <v>1675996</v>
      </c>
      <c r="G10" s="844">
        <v>20</v>
      </c>
      <c r="H10" s="848">
        <v>904246</v>
      </c>
      <c r="I10" s="848">
        <v>53104</v>
      </c>
      <c r="J10" s="848">
        <v>896</v>
      </c>
      <c r="K10" s="1788">
        <f>(H10+I10)-J10</f>
        <v>956454</v>
      </c>
      <c r="L10" s="1788">
        <f>F10-K10</f>
        <v>719542</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2340765</v>
      </c>
      <c r="D12" s="845">
        <v>116366</v>
      </c>
      <c r="E12" s="845">
        <v>24354</v>
      </c>
      <c r="F12" s="1779">
        <f>(C12+D12)-E12</f>
        <v>2432777</v>
      </c>
      <c r="G12" s="844">
        <v>10</v>
      </c>
      <c r="H12" s="766">
        <v>2229193</v>
      </c>
      <c r="I12" s="766">
        <v>29504</v>
      </c>
      <c r="J12" s="766">
        <v>22448</v>
      </c>
      <c r="K12" s="1788">
        <f>(H12+I12)-J12</f>
        <v>2236249</v>
      </c>
      <c r="L12" s="1788">
        <f>F12-K12</f>
        <v>196528</v>
      </c>
    </row>
    <row r="13" spans="1:14" ht="14.25" thickTop="1" thickBot="1" x14ac:dyDescent="0.25">
      <c r="A13" s="849" t="s">
        <v>1184</v>
      </c>
      <c r="B13" s="841">
        <v>252</v>
      </c>
      <c r="C13" s="845">
        <v>847107</v>
      </c>
      <c r="D13" s="845">
        <v>81843</v>
      </c>
      <c r="E13" s="845">
        <v>15298</v>
      </c>
      <c r="F13" s="1779">
        <f>(C13+D13)-E13</f>
        <v>913652</v>
      </c>
      <c r="G13" s="844">
        <v>5</v>
      </c>
      <c r="H13" s="766">
        <v>765689</v>
      </c>
      <c r="I13" s="766">
        <v>49467</v>
      </c>
      <c r="J13" s="766">
        <v>15298</v>
      </c>
      <c r="K13" s="1788">
        <f>(H13+I13)-J13</f>
        <v>799858</v>
      </c>
      <c r="L13" s="1788">
        <f>F13-K13</f>
        <v>113794</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0" t="s">
        <v>549</v>
      </c>
      <c r="B15" s="1649">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8390804</v>
      </c>
      <c r="D16" s="1779">
        <f>SUM(D3,D5:D6,D8:D10,D12:D15)</f>
        <v>203968</v>
      </c>
      <c r="E16" s="1779">
        <f>SUM(E3,E5:E6,E8:E10,E12:E15)</f>
        <v>41332</v>
      </c>
      <c r="F16" s="1779">
        <f>SUM(F3,F5:F6,F8:F10,F12:F15)</f>
        <v>8553440</v>
      </c>
      <c r="G16" s="844"/>
      <c r="H16" s="1779">
        <f>SUM(H3,H6,H8:H10,H12:H14,)</f>
        <v>5721653</v>
      </c>
      <c r="I16" s="1779">
        <f>SUM(I3,I6,I8:I10,I12:I14,)</f>
        <v>202719</v>
      </c>
      <c r="J16" s="1779">
        <f>SUM(J3,J6,J8:J10,J12:J14,)</f>
        <v>38642</v>
      </c>
      <c r="K16" s="1779">
        <f>(H16+I16)-J16</f>
        <v>5885730</v>
      </c>
      <c r="L16" s="1779">
        <f>F16-K16</f>
        <v>2667710</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202719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0" t="s">
        <v>1699</v>
      </c>
      <c r="B1" s="2291"/>
      <c r="C1" s="2291"/>
      <c r="D1" s="2291"/>
      <c r="E1" s="2291"/>
      <c r="F1" s="2292"/>
      <c r="G1" s="856"/>
    </row>
    <row r="2" spans="1:7" ht="15" customHeight="1" thickBot="1" x14ac:dyDescent="0.25">
      <c r="A2" s="2293" t="s">
        <v>498</v>
      </c>
      <c r="B2" s="2294"/>
      <c r="C2" s="2294"/>
      <c r="D2" s="2294"/>
      <c r="E2" s="2294"/>
      <c r="F2" s="229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4556215</v>
      </c>
      <c r="G8" s="866"/>
    </row>
    <row r="9" spans="1:7" x14ac:dyDescent="0.2">
      <c r="A9" s="870" t="s">
        <v>480</v>
      </c>
      <c r="B9" s="871" t="s">
        <v>1985</v>
      </c>
      <c r="C9" s="872"/>
      <c r="D9" s="870" t="s">
        <v>522</v>
      </c>
      <c r="E9" s="869"/>
      <c r="F9" s="1932">
        <f>'Expenditures 15-22'!K151</f>
        <v>110663</v>
      </c>
      <c r="G9" s="873"/>
    </row>
    <row r="10" spans="1:7" x14ac:dyDescent="0.2">
      <c r="A10" s="870" t="s">
        <v>520</v>
      </c>
      <c r="B10" s="871" t="s">
        <v>1986</v>
      </c>
      <c r="C10" s="872"/>
      <c r="D10" s="870" t="s">
        <v>522</v>
      </c>
      <c r="E10" s="869"/>
      <c r="F10" s="1932">
        <f>'Expenditures 15-22'!K174</f>
        <v>24970</v>
      </c>
      <c r="G10" s="873"/>
    </row>
    <row r="11" spans="1:7" x14ac:dyDescent="0.2">
      <c r="A11" s="870" t="s">
        <v>481</v>
      </c>
      <c r="B11" s="871" t="s">
        <v>1987</v>
      </c>
      <c r="C11" s="872"/>
      <c r="D11" s="870" t="s">
        <v>522</v>
      </c>
      <c r="E11" s="869"/>
      <c r="F11" s="1932">
        <f>'Expenditures 15-22'!K210</f>
        <v>264147</v>
      </c>
      <c r="G11" s="873"/>
    </row>
    <row r="12" spans="1:7" x14ac:dyDescent="0.2">
      <c r="A12" s="870" t="s">
        <v>482</v>
      </c>
      <c r="B12" s="871" t="s">
        <v>1988</v>
      </c>
      <c r="C12" s="872"/>
      <c r="D12" s="870" t="s">
        <v>522</v>
      </c>
      <c r="E12" s="869"/>
      <c r="F12" s="1932">
        <f>'Expenditures 15-22'!K295</f>
        <v>110019</v>
      </c>
      <c r="G12" s="873"/>
    </row>
    <row r="13" spans="1:7" x14ac:dyDescent="0.2">
      <c r="A13" s="870" t="s">
        <v>108</v>
      </c>
      <c r="B13" s="871" t="s">
        <v>1989</v>
      </c>
      <c r="C13" s="872"/>
      <c r="D13" s="870" t="s">
        <v>522</v>
      </c>
      <c r="E13" s="869"/>
      <c r="F13" s="1932">
        <f>'Expenditures 15-22'!K342</f>
        <v>27428</v>
      </c>
      <c r="G13" s="874"/>
    </row>
    <row r="14" spans="1:7" ht="12" customHeight="1" thickBot="1" x14ac:dyDescent="0.25">
      <c r="A14" s="1789"/>
      <c r="B14" s="1790"/>
      <c r="C14" s="1791"/>
      <c r="D14" s="1792" t="s">
        <v>522</v>
      </c>
      <c r="E14" s="1793" t="s">
        <v>1015</v>
      </c>
      <c r="F14" s="1794">
        <f>SUM(F8:F13)</f>
        <v>5093442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214169</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6750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70411</v>
      </c>
      <c r="G52" s="866"/>
    </row>
    <row r="53" spans="1:7" x14ac:dyDescent="0.2">
      <c r="A53" s="870" t="s">
        <v>479</v>
      </c>
      <c r="B53" s="870" t="s">
        <v>1551</v>
      </c>
      <c r="C53" s="890">
        <f>'Expenditures 15-22'!B102</f>
        <v>4000</v>
      </c>
      <c r="D53" s="889" t="str">
        <f>'Expenditures 15-22'!A102</f>
        <v>Total Payments to Other Govt Units</v>
      </c>
      <c r="E53" s="869"/>
      <c r="F53" s="1936">
        <f>'Expenditures 15-22'!K102</f>
        <v>191397</v>
      </c>
      <c r="G53" s="866"/>
    </row>
    <row r="54" spans="1:7" x14ac:dyDescent="0.2">
      <c r="A54" s="870" t="s">
        <v>479</v>
      </c>
      <c r="B54" s="870" t="s">
        <v>1552</v>
      </c>
      <c r="C54" s="890" t="s">
        <v>1039</v>
      </c>
      <c r="D54" s="886" t="s">
        <v>1157</v>
      </c>
      <c r="E54" s="869"/>
      <c r="F54" s="1936">
        <f>'Expenditures 15-22'!G114</f>
        <v>176046</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6">
        <f>'Expenditures 15-22'!K139</f>
        <v>0</v>
      </c>
      <c r="G57" s="866"/>
    </row>
    <row r="58" spans="1:7" x14ac:dyDescent="0.2">
      <c r="A58" s="870" t="s">
        <v>480</v>
      </c>
      <c r="B58" s="870" t="s">
        <v>1991</v>
      </c>
      <c r="C58" s="887" t="s">
        <v>1039</v>
      </c>
      <c r="D58" s="886" t="s">
        <v>1157</v>
      </c>
      <c r="E58" s="869"/>
      <c r="F58" s="1938">
        <f>'Expenditures 15-22'!G151</f>
        <v>27873</v>
      </c>
      <c r="G58" s="866"/>
    </row>
    <row r="59" spans="1:7" x14ac:dyDescent="0.2">
      <c r="A59" s="894" t="s">
        <v>480</v>
      </c>
      <c r="B59" s="857" t="s">
        <v>1992</v>
      </c>
      <c r="C59" s="895" t="s">
        <v>1039</v>
      </c>
      <c r="D59" s="857" t="s">
        <v>309</v>
      </c>
      <c r="F59" s="1939">
        <f>'Expenditures 15-22'!I151</f>
        <v>0</v>
      </c>
      <c r="G59" s="866"/>
    </row>
    <row r="60" spans="1:7" x14ac:dyDescent="0.2">
      <c r="A60" s="894" t="s">
        <v>520</v>
      </c>
      <c r="B60" s="857" t="s">
        <v>1993</v>
      </c>
      <c r="C60" s="895">
        <v>4000</v>
      </c>
      <c r="D60" s="857" t="s">
        <v>330</v>
      </c>
      <c r="F60" s="1937">
        <f>'Expenditures 15-22'!K160</f>
        <v>0</v>
      </c>
      <c r="G60" s="866"/>
    </row>
    <row r="61" spans="1:7" x14ac:dyDescent="0.2">
      <c r="A61" s="896" t="s">
        <v>520</v>
      </c>
      <c r="B61" s="896" t="s">
        <v>1994</v>
      </c>
      <c r="C61" s="897" t="str">
        <f>'Expenditures 15-22'!B170</f>
        <v>5300</v>
      </c>
      <c r="D61" s="898" t="s">
        <v>329</v>
      </c>
      <c r="E61" s="880"/>
      <c r="F61" s="1936">
        <f>'Expenditures 15-22'!K170</f>
        <v>18000</v>
      </c>
      <c r="G61" s="866"/>
    </row>
    <row r="62" spans="1:7" x14ac:dyDescent="0.2">
      <c r="A62" s="870" t="s">
        <v>481</v>
      </c>
      <c r="B62" s="870" t="s">
        <v>1995</v>
      </c>
      <c r="C62" s="887">
        <f>'Expenditures 15-22'!B185</f>
        <v>3000</v>
      </c>
      <c r="D62" s="877" t="s">
        <v>469</v>
      </c>
      <c r="E62" s="869"/>
      <c r="F62" s="1936">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1997</v>
      </c>
      <c r="C64" s="897" t="str">
        <f>'Expenditures 15-22'!B206</f>
        <v>5300</v>
      </c>
      <c r="D64" s="893" t="s">
        <v>329</v>
      </c>
      <c r="E64" s="869"/>
      <c r="F64" s="1936">
        <f>'Expenditures 15-22'!K206</f>
        <v>0</v>
      </c>
      <c r="G64" s="866"/>
    </row>
    <row r="65" spans="1:8" x14ac:dyDescent="0.2">
      <c r="A65" s="870" t="s">
        <v>481</v>
      </c>
      <c r="B65" s="870" t="s">
        <v>1998</v>
      </c>
      <c r="C65" s="887" t="s">
        <v>1039</v>
      </c>
      <c r="D65" s="886" t="s">
        <v>1157</v>
      </c>
      <c r="E65" s="869"/>
      <c r="F65" s="1936">
        <f>'Expenditures 15-22'!G210</f>
        <v>0</v>
      </c>
      <c r="G65" s="866"/>
    </row>
    <row r="66" spans="1:8" x14ac:dyDescent="0.2">
      <c r="A66" s="870" t="s">
        <v>481</v>
      </c>
      <c r="B66" s="870" t="s">
        <v>1999</v>
      </c>
      <c r="C66" s="887" t="s">
        <v>1039</v>
      </c>
      <c r="D66" s="886" t="s">
        <v>309</v>
      </c>
      <c r="E66" s="869"/>
      <c r="F66" s="1936">
        <f>'Expenditures 15-22'!I210</f>
        <v>0</v>
      </c>
      <c r="G66" s="866"/>
    </row>
    <row r="67" spans="1:8" x14ac:dyDescent="0.2">
      <c r="A67" s="870" t="s">
        <v>482</v>
      </c>
      <c r="B67" s="870" t="s">
        <v>2000</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2002</v>
      </c>
      <c r="C70" s="887">
        <f>'Expenditures 15-22'!B221</f>
        <v>1300</v>
      </c>
      <c r="D70" s="888" t="str">
        <f>'Expenditures 15-22'!A221</f>
        <v>Adult/Continuing Education Programs</v>
      </c>
      <c r="E70" s="869"/>
      <c r="F70" s="1936">
        <f>'Expenditures 15-22'!K221</f>
        <v>0</v>
      </c>
      <c r="G70" s="866"/>
    </row>
    <row r="71" spans="1:8" x14ac:dyDescent="0.2">
      <c r="A71" s="870" t="s">
        <v>482</v>
      </c>
      <c r="B71" s="870" t="s">
        <v>2003</v>
      </c>
      <c r="C71" s="887">
        <f>'Expenditures 15-22'!B224</f>
        <v>1600</v>
      </c>
      <c r="D71" s="888" t="str">
        <f>'Expenditures 15-22'!A224</f>
        <v>Summer School Programs</v>
      </c>
      <c r="E71" s="869"/>
      <c r="F71" s="1936">
        <f>'Expenditures 15-22'!K224</f>
        <v>0</v>
      </c>
      <c r="G71" s="866"/>
    </row>
    <row r="72" spans="1:8" x14ac:dyDescent="0.2">
      <c r="A72" s="870" t="s">
        <v>482</v>
      </c>
      <c r="B72" s="870" t="s">
        <v>2004</v>
      </c>
      <c r="C72" s="887">
        <f>'Expenditures 15-22'!B280</f>
        <v>3000</v>
      </c>
      <c r="D72" s="877" t="s">
        <v>469</v>
      </c>
      <c r="E72" s="869"/>
      <c r="F72" s="1936">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2006</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2007</v>
      </c>
      <c r="E76" s="1793" t="s">
        <v>1015</v>
      </c>
      <c r="F76" s="1797">
        <f>SUM(F18:F74)</f>
        <v>704646</v>
      </c>
      <c r="G76" s="866"/>
    </row>
    <row r="77" spans="1:8" s="894" customFormat="1" ht="12" customHeight="1" thickTop="1" thickBot="1" x14ac:dyDescent="0.25">
      <c r="A77" s="1798"/>
      <c r="B77" s="1795"/>
      <c r="C77" s="1791"/>
      <c r="D77" s="1796" t="s">
        <v>2008</v>
      </c>
      <c r="E77" s="1793"/>
      <c r="F77" s="1799">
        <f>(F14-F76)</f>
        <v>4388796</v>
      </c>
      <c r="G77" s="870"/>
    </row>
    <row r="78" spans="1:8" s="894" customFormat="1" ht="12" customHeight="1" thickTop="1" x14ac:dyDescent="0.2">
      <c r="A78" s="1800"/>
      <c r="B78" s="1795"/>
      <c r="C78" s="1791"/>
      <c r="D78" s="1796" t="s">
        <v>2055</v>
      </c>
      <c r="E78" s="1793"/>
      <c r="F78" s="899">
        <v>411.57</v>
      </c>
      <c r="G78" s="900"/>
      <c r="H78" s="870"/>
    </row>
    <row r="79" spans="1:8" s="894" customFormat="1" ht="12" customHeight="1" thickBot="1" x14ac:dyDescent="0.25">
      <c r="A79" s="1801"/>
      <c r="B79" s="1795"/>
      <c r="C79" s="1791"/>
      <c r="D79" s="1796" t="s">
        <v>2009</v>
      </c>
      <c r="E79" s="1793" t="s">
        <v>1015</v>
      </c>
      <c r="F79" s="1802">
        <f>IF(F78&gt;0,F77/F78," Complete Line 78")</f>
        <v>10663.546905751149</v>
      </c>
      <c r="G79" s="870"/>
    </row>
    <row r="80" spans="1:8" s="894" customFormat="1" ht="8.25" customHeight="1" thickTop="1" x14ac:dyDescent="0.2">
      <c r="A80" s="901"/>
      <c r="B80" s="870"/>
      <c r="C80" s="872"/>
      <c r="D80" s="902"/>
      <c r="E80" s="869"/>
      <c r="F80" s="903"/>
      <c r="G80" s="870"/>
    </row>
    <row r="81" spans="1:7" s="894" customFormat="1" ht="12" thickBot="1" x14ac:dyDescent="0.25">
      <c r="A81" s="2287" t="s">
        <v>1167</v>
      </c>
      <c r="B81" s="2288"/>
      <c r="C81" s="2288"/>
      <c r="D81" s="2288"/>
      <c r="E81" s="2288"/>
      <c r="F81" s="228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4822</v>
      </c>
      <c r="G94" s="913"/>
    </row>
    <row r="95" spans="1:7" x14ac:dyDescent="0.2">
      <c r="A95" s="909" t="s">
        <v>142</v>
      </c>
      <c r="B95" s="909" t="s">
        <v>177</v>
      </c>
      <c r="C95" s="911">
        <v>1700</v>
      </c>
      <c r="D95" s="919" t="str">
        <f>'Revenues 9-14'!A82</f>
        <v>Total District/School Activity Income</v>
      </c>
      <c r="E95" s="907"/>
      <c r="F95" s="1808">
        <f>SUM('Revenues 9-14'!C82,'Revenues 9-14'!D82)</f>
        <v>9532</v>
      </c>
      <c r="G95" s="913"/>
    </row>
    <row r="96" spans="1:7" x14ac:dyDescent="0.2">
      <c r="A96" s="909" t="s">
        <v>479</v>
      </c>
      <c r="B96" s="909" t="s">
        <v>178</v>
      </c>
      <c r="C96" s="911">
        <f>'Revenues 9-14'!B84</f>
        <v>1811</v>
      </c>
      <c r="D96" s="912" t="str">
        <f>'Revenues 9-14'!A84</f>
        <v>Rentals - Regular Textbooks</v>
      </c>
      <c r="E96" s="907"/>
      <c r="F96" s="1808">
        <f>'Revenues 9-14'!C84</f>
        <v>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35260</v>
      </c>
      <c r="G103" s="913"/>
    </row>
    <row r="104" spans="1:7" x14ac:dyDescent="0.2">
      <c r="A104" s="909" t="s">
        <v>479</v>
      </c>
      <c r="B104" s="909" t="s">
        <v>841</v>
      </c>
      <c r="C104" s="911">
        <f>'Revenues 9-14'!B106</f>
        <v>1993</v>
      </c>
      <c r="D104" s="912" t="str">
        <f>'Revenues 9-14'!A106</f>
        <v>Other Local Fees (Describe &amp; Itemize)</v>
      </c>
      <c r="E104" s="907"/>
      <c r="F104" s="1808">
        <f>('Revenues 9-14'!C106)</f>
        <v>245</v>
      </c>
      <c r="G104" s="913"/>
    </row>
    <row r="105" spans="1:7" x14ac:dyDescent="0.2">
      <c r="A105" s="909" t="s">
        <v>524</v>
      </c>
      <c r="B105" s="909" t="s">
        <v>842</v>
      </c>
      <c r="C105" s="914">
        <v>3100</v>
      </c>
      <c r="D105" s="920" t="str">
        <f>'Revenues 9-14'!A131</f>
        <v>Total Special Education</v>
      </c>
      <c r="E105" s="907"/>
      <c r="F105" s="1808">
        <f>SUM('Revenues 9-14'!C131:D131,'Revenues 9-14'!F131)</f>
        <v>67814</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3310</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5230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4669</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258239</v>
      </c>
      <c r="G111" s="913"/>
    </row>
    <row r="112" spans="1:7" x14ac:dyDescent="0.2">
      <c r="A112" s="909" t="s">
        <v>479</v>
      </c>
      <c r="B112" s="909" t="s">
        <v>847</v>
      </c>
      <c r="C112" s="921">
        <f>'Revenues 9-14'!B155</f>
        <v>3610</v>
      </c>
      <c r="D112" s="912" t="str">
        <f>'Revenues 9-14'!A155</f>
        <v>Learning Improvement - Change Grants</v>
      </c>
      <c r="E112" s="907"/>
      <c r="F112" s="1808">
        <f>'Revenues 9-14'!C155</f>
        <v>750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7282</v>
      </c>
      <c r="G128" s="931"/>
    </row>
    <row r="129" spans="1:7" x14ac:dyDescent="0.2">
      <c r="A129" s="928" t="s">
        <v>685</v>
      </c>
      <c r="B129" s="928" t="s">
        <v>803</v>
      </c>
      <c r="C129" s="933">
        <v>4200</v>
      </c>
      <c r="D129" s="930" t="str">
        <f>'Revenues 9-14'!A201</f>
        <v>Total Food Service</v>
      </c>
      <c r="E129" s="907"/>
      <c r="F129" s="1808">
        <f>SUM('Revenues 9-14'!C201,'Revenues 9-14'!G201)</f>
        <v>316139</v>
      </c>
      <c r="G129" s="931"/>
    </row>
    <row r="130" spans="1:7" x14ac:dyDescent="0.2">
      <c r="A130" s="928" t="s">
        <v>689</v>
      </c>
      <c r="B130" s="928" t="s">
        <v>804</v>
      </c>
      <c r="C130" s="933">
        <v>4300</v>
      </c>
      <c r="D130" s="934" t="str">
        <f>'Revenues 9-14'!A211</f>
        <v>Total Title I</v>
      </c>
      <c r="E130" s="907"/>
      <c r="F130" s="1808">
        <f>SUM('Revenues 9-14'!C211,'Revenues 9-14'!D211,'Revenues 9-14'!F211,'Revenues 9-14'!G211)</f>
        <v>384273</v>
      </c>
      <c r="G130" s="931"/>
    </row>
    <row r="131" spans="1:7" x14ac:dyDescent="0.2">
      <c r="A131" s="928" t="s">
        <v>689</v>
      </c>
      <c r="B131" s="928" t="s">
        <v>805</v>
      </c>
      <c r="C131" s="933">
        <v>4400</v>
      </c>
      <c r="D131" s="934" t="str">
        <f>'Revenues 9-14'!A216</f>
        <v>Total Title IV</v>
      </c>
      <c r="E131" s="907"/>
      <c r="F131" s="1808">
        <f>SUM('Revenues 9-14'!C216,'Revenues 9-14'!D216,'Revenues 9-14'!F216,'Revenues 9-14'!G216)</f>
        <v>131479</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363</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31849</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1" t="s">
        <v>5</v>
      </c>
      <c r="B175" s="1942" t="s">
        <v>2054</v>
      </c>
      <c r="C175" s="1943">
        <v>3100</v>
      </c>
      <c r="D175" s="1944" t="s">
        <v>2057</v>
      </c>
      <c r="E175" s="907"/>
      <c r="F175" s="1928"/>
      <c r="G175" s="928"/>
    </row>
    <row r="176" spans="1:7" x14ac:dyDescent="0.2">
      <c r="A176" s="1941" t="s">
        <v>685</v>
      </c>
      <c r="B176" s="1942" t="s">
        <v>2054</v>
      </c>
      <c r="C176" s="1943">
        <v>3300</v>
      </c>
      <c r="D176" s="1944" t="s">
        <v>2058</v>
      </c>
      <c r="E176" s="907"/>
      <c r="F176" s="1928"/>
      <c r="G176" s="928"/>
    </row>
    <row r="177" spans="1:7" ht="6" customHeight="1" x14ac:dyDescent="0.2">
      <c r="A177" s="928"/>
      <c r="B177" s="928"/>
      <c r="C177" s="950"/>
      <c r="D177" s="928"/>
      <c r="E177" s="907"/>
      <c r="F177" s="951"/>
      <c r="G177" s="948"/>
    </row>
    <row r="178" spans="1:7" x14ac:dyDescent="0.2">
      <c r="A178" s="1789"/>
      <c r="B178" s="1803"/>
      <c r="C178" s="1804"/>
      <c r="D178" s="1805" t="s">
        <v>2010</v>
      </c>
      <c r="E178" s="1806" t="s">
        <v>1015</v>
      </c>
      <c r="F178" s="1807">
        <f>SUM(F84:F136,F161:F176)</f>
        <v>1261256</v>
      </c>
    </row>
    <row r="179" spans="1:7" ht="12" customHeight="1" x14ac:dyDescent="0.2">
      <c r="A179" s="1789"/>
      <c r="B179" s="1803"/>
      <c r="C179" s="1804"/>
      <c r="D179" s="1805" t="s">
        <v>2011</v>
      </c>
      <c r="E179" s="1806"/>
      <c r="F179" s="1808">
        <f>'PCTC-OEPP 27-28'!F77-F178</f>
        <v>3127540</v>
      </c>
    </row>
    <row r="180" spans="1:7" ht="12" customHeight="1" x14ac:dyDescent="0.2">
      <c r="A180" s="1789"/>
      <c r="B180" s="1803"/>
      <c r="C180" s="1804"/>
      <c r="D180" s="1805" t="s">
        <v>1921</v>
      </c>
      <c r="E180" s="1806"/>
      <c r="F180" s="1808">
        <f>'Cap Outlay Deprec 26'!I18</f>
        <v>202719</v>
      </c>
    </row>
    <row r="181" spans="1:7" ht="12" customHeight="1" x14ac:dyDescent="0.2">
      <c r="A181" s="1789"/>
      <c r="B181" s="1803"/>
      <c r="C181" s="1804"/>
      <c r="D181" s="1805" t="s">
        <v>2012</v>
      </c>
      <c r="E181" s="1806"/>
      <c r="F181" s="1808">
        <f>F179+F180</f>
        <v>3330259</v>
      </c>
    </row>
    <row r="182" spans="1:7" ht="12" customHeight="1" x14ac:dyDescent="0.2">
      <c r="A182" s="1789"/>
      <c r="B182" s="1809"/>
      <c r="C182" s="1804"/>
      <c r="D182" s="1805" t="str">
        <f>D78</f>
        <v>9 Month ADA from District Average Daily Attendance/Prior General State Aid Inquiry 2017-2018</v>
      </c>
      <c r="E182" s="1806"/>
      <c r="F182" s="1810">
        <f>'PCTC-OEPP 27-28'!F78</f>
        <v>411.57</v>
      </c>
      <c r="G182" s="931"/>
    </row>
    <row r="183" spans="1:7" ht="12" customHeight="1" thickBot="1" x14ac:dyDescent="0.25">
      <c r="A183" s="1789"/>
      <c r="B183" s="1809"/>
      <c r="C183" s="1804"/>
      <c r="D183" s="1805" t="s">
        <v>2013</v>
      </c>
      <c r="E183" s="1806" t="s">
        <v>1626</v>
      </c>
      <c r="F183" s="1811">
        <f>F181/F182</f>
        <v>8091.5980270670843</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5" customFormat="1" ht="12.2" customHeight="1" x14ac:dyDescent="0.2">
      <c r="A186" s="1945" t="s">
        <v>2061</v>
      </c>
      <c r="B186" s="1946"/>
      <c r="C186" s="1947"/>
      <c r="D186" s="1946"/>
      <c r="E186" s="1947"/>
      <c r="F186" s="1946"/>
      <c r="G186" s="1946"/>
    </row>
    <row r="187" spans="1:7" s="1945" customFormat="1" ht="12.2" customHeight="1" x14ac:dyDescent="0.2">
      <c r="A187" s="1948" t="s">
        <v>2062</v>
      </c>
      <c r="C187" s="1947"/>
      <c r="D187" s="1946"/>
      <c r="E187" s="1947"/>
      <c r="F187" s="1946"/>
      <c r="G187" s="1946"/>
    </row>
    <row r="188" spans="1:7" ht="12" customHeight="1" x14ac:dyDescent="0.2">
      <c r="C188" s="950"/>
      <c r="D188" s="931"/>
      <c r="E188" s="950"/>
      <c r="F188" s="931"/>
      <c r="G188" s="931"/>
    </row>
    <row r="189" spans="1:7" x14ac:dyDescent="0.2">
      <c r="A189" s="1949" t="s">
        <v>2060</v>
      </c>
      <c r="B189" s="1950"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90" zoomScaleNormal="90" workbookViewId="0"/>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01" t="s">
        <v>1922</v>
      </c>
      <c r="B4" s="2302"/>
      <c r="C4" s="2302"/>
      <c r="D4" s="2302"/>
      <c r="E4" s="2302"/>
      <c r="F4" s="2302"/>
      <c r="G4" s="2303"/>
    </row>
    <row r="5" spans="1:7" x14ac:dyDescent="0.25">
      <c r="A5" s="2304"/>
      <c r="B5" s="2305"/>
      <c r="C5" s="2305"/>
      <c r="D5" s="2305"/>
      <c r="E5" s="2305"/>
      <c r="F5" s="2305"/>
      <c r="G5" s="2306"/>
    </row>
    <row r="6" spans="1:7" ht="18.75" x14ac:dyDescent="0.25">
      <c r="A6" s="1553" t="s">
        <v>1923</v>
      </c>
      <c r="B6" s="1554"/>
      <c r="C6" s="1554"/>
      <c r="D6" s="1554"/>
      <c r="E6" s="1554"/>
      <c r="F6" s="1554"/>
      <c r="G6" s="1555"/>
    </row>
    <row r="7" spans="1:7" ht="30.75" customHeight="1" x14ac:dyDescent="0.25">
      <c r="A7" s="2307" t="s">
        <v>2071</v>
      </c>
      <c r="B7" s="2308"/>
      <c r="C7" s="2308"/>
      <c r="D7" s="2308"/>
      <c r="E7" s="2308"/>
      <c r="F7" s="2308"/>
      <c r="G7" s="2309"/>
    </row>
    <row r="8" spans="1:7" ht="15.75" customHeight="1" x14ac:dyDescent="0.25">
      <c r="A8" s="2310" t="s">
        <v>2020</v>
      </c>
      <c r="B8" s="2311"/>
      <c r="C8" s="2311"/>
      <c r="D8" s="2311"/>
      <c r="E8" s="2311"/>
      <c r="F8" s="2311"/>
      <c r="G8" s="2312"/>
    </row>
    <row r="9" spans="1:7" ht="35.25" customHeight="1" x14ac:dyDescent="0.25">
      <c r="A9" s="2307" t="s">
        <v>2019</v>
      </c>
      <c r="B9" s="2308"/>
      <c r="C9" s="2308"/>
      <c r="D9" s="2308"/>
      <c r="E9" s="2308"/>
      <c r="F9" s="2308"/>
      <c r="G9" s="2309"/>
    </row>
    <row r="10" spans="1:7" ht="15" customHeight="1" x14ac:dyDescent="0.25">
      <c r="A10" s="1556" t="s">
        <v>1924</v>
      </c>
      <c r="B10" s="1557"/>
      <c r="C10" s="1557"/>
      <c r="D10" s="1557"/>
      <c r="E10" s="1557"/>
      <c r="F10" s="1557"/>
      <c r="G10" s="1558"/>
    </row>
    <row r="11" spans="1:7" ht="17.25" customHeight="1" x14ac:dyDescent="0.25">
      <c r="A11" s="2307" t="s">
        <v>1938</v>
      </c>
      <c r="B11" s="2308"/>
      <c r="C11" s="2308"/>
      <c r="D11" s="2308"/>
      <c r="E11" s="2308"/>
      <c r="F11" s="2308"/>
      <c r="G11" s="2309"/>
    </row>
    <row r="12" spans="1:7" ht="15" customHeight="1" x14ac:dyDescent="0.25">
      <c r="A12" s="1556" t="s">
        <v>1929</v>
      </c>
      <c r="B12" s="1557"/>
      <c r="C12" s="1557"/>
      <c r="D12" s="1557"/>
      <c r="E12" s="1557"/>
      <c r="F12" s="1557"/>
      <c r="G12" s="1558"/>
    </row>
    <row r="13" spans="1:7" ht="32.25" customHeight="1" x14ac:dyDescent="0.25">
      <c r="A13" s="2298" t="s">
        <v>1930</v>
      </c>
      <c r="B13" s="2299"/>
      <c r="C13" s="2299"/>
      <c r="D13" s="2299"/>
      <c r="E13" s="2299"/>
      <c r="F13" s="2299"/>
      <c r="G13" s="2300"/>
    </row>
    <row r="14" spans="1:7" x14ac:dyDescent="0.25">
      <c r="A14" s="1680" t="s">
        <v>1939</v>
      </c>
      <c r="B14" s="1681"/>
      <c r="C14" s="1681"/>
      <c r="D14" s="1681"/>
      <c r="E14" s="1681"/>
      <c r="F14" s="1681"/>
      <c r="G14" s="1682"/>
    </row>
    <row r="15" spans="1:7" ht="61.5" customHeight="1" x14ac:dyDescent="0.25">
      <c r="A15" s="1565" t="s">
        <v>1931</v>
      </c>
      <c r="B15" s="1565" t="s">
        <v>1932</v>
      </c>
      <c r="C15" s="1565" t="s">
        <v>1933</v>
      </c>
      <c r="D15" s="1566" t="s">
        <v>1934</v>
      </c>
      <c r="E15" s="1566" t="s">
        <v>1925</v>
      </c>
      <c r="F15" s="1566" t="s">
        <v>1935</v>
      </c>
      <c r="G15" s="1566" t="s">
        <v>1936</v>
      </c>
    </row>
    <row r="16" spans="1:7" ht="75" x14ac:dyDescent="0.25">
      <c r="A16" s="1667" t="s">
        <v>2089</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ht="30" x14ac:dyDescent="0.25">
      <c r="A17" s="1969" t="s">
        <v>2171</v>
      </c>
      <c r="B17" s="1951" t="s">
        <v>2090</v>
      </c>
      <c r="C17" s="1968" t="s">
        <v>2170</v>
      </c>
      <c r="D17" s="1864">
        <v>252837</v>
      </c>
      <c r="E17" s="1559">
        <f t="shared" ref="E17:E141" si="1">IF(D17&lt;=25000,D17,IF(D17&gt;25000,25000,0))</f>
        <v>25000</v>
      </c>
      <c r="F17" s="1812">
        <f t="shared" si="0"/>
        <v>25000</v>
      </c>
      <c r="G17" s="1813">
        <f>IF(F17=0,0,D17-F17)</f>
        <v>227837</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252837</v>
      </c>
      <c r="E141" s="1560">
        <f t="shared" si="1"/>
        <v>25000</v>
      </c>
      <c r="F141" s="1814">
        <f>SUM(F17:F140)</f>
        <v>25000</v>
      </c>
      <c r="G141" s="1815">
        <f>SUM(G17:G140)</f>
        <v>227837</v>
      </c>
    </row>
  </sheetData>
  <sheetProtection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9"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3" t="s">
        <v>1778</v>
      </c>
      <c r="B5" s="2314"/>
      <c r="C5" s="2314"/>
      <c r="D5" s="2314"/>
      <c r="E5" s="2314"/>
      <c r="F5" s="2314"/>
      <c r="G5" s="2315"/>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5282</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160533</v>
      </c>
      <c r="F10" s="975"/>
      <c r="G10" s="976"/>
      <c r="H10" s="162"/>
      <c r="I10" s="162"/>
    </row>
    <row r="11" spans="1:9" s="669" customFormat="1" ht="22.5" customHeight="1" x14ac:dyDescent="0.2">
      <c r="A11" s="2318" t="s">
        <v>1941</v>
      </c>
      <c r="B11" s="2319"/>
      <c r="C11" s="2319"/>
      <c r="D11" s="2320"/>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2663093</v>
      </c>
      <c r="F19" s="1819"/>
      <c r="G19" s="1821">
        <f>'Expenditures 15-22'!K33-SUM('Expenditures 15-22'!G33,'Expenditures 15-22'!I33)+'Expenditures 15-22'!D229</f>
        <v>2663093</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172061</v>
      </c>
      <c r="F21" s="1822"/>
      <c r="G21" s="1825">
        <f>'Expenditures 15-22'!K42-SUM('Expenditures 15-22'!G42,'Expenditures 15-22'!I42)+'Expenditures 15-22'!K120-SUM('Expenditures 15-22'!G120,'Expenditures 15-22'!I120)+'Expenditures 15-22'!K180-SUM('Expenditures 15-22'!G180,'Expenditures 15-22'!I180)+'Expenditures 15-22'!D238</f>
        <v>172061</v>
      </c>
      <c r="H21" s="988"/>
      <c r="I21" s="162"/>
    </row>
    <row r="22" spans="1:9" s="669" customFormat="1" ht="12" customHeight="1" x14ac:dyDescent="0.2">
      <c r="A22" s="995" t="s">
        <v>585</v>
      </c>
      <c r="B22" s="996"/>
      <c r="C22" s="994">
        <v>2200</v>
      </c>
      <c r="D22" s="1822"/>
      <c r="E22" s="1824">
        <f>'Expenditures 15-22'!K47-SUM('Expenditures 15-22'!G47,'Expenditures 15-22'!I47)+'Expenditures 15-22'!D243</f>
        <v>118853</v>
      </c>
      <c r="F22" s="1822"/>
      <c r="G22" s="1825">
        <f>'Expenditures 15-22'!K47-SUM('Expenditures 15-22'!G47,'Expenditures 15-22'!I47)+'Expenditures 15-22'!D243</f>
        <v>118853</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383201</v>
      </c>
      <c r="F23" s="1822"/>
      <c r="G23" s="1824">
        <f>'Expenditures 15-22'!K53-SUM('Expenditures 15-22'!G53,'Expenditures 15-22'!I53)+'Expenditures 15-22'!D257+'Expenditures 15-22'!K330-SUM('Expenditures 15-22'!G330,'Expenditures 15-22'!I330)</f>
        <v>383201</v>
      </c>
      <c r="H23" s="988"/>
      <c r="I23" s="162"/>
    </row>
    <row r="24" spans="1:9" s="669" customFormat="1" ht="12" customHeight="1" x14ac:dyDescent="0.2">
      <c r="A24" s="995" t="s">
        <v>587</v>
      </c>
      <c r="B24" s="996"/>
      <c r="C24" s="994">
        <v>2400</v>
      </c>
      <c r="D24" s="1822"/>
      <c r="E24" s="1824">
        <f>'Expenditures 15-22'!K57-SUM('Expenditures 15-22'!G57,'Expenditures 15-22'!I57)+'Expenditures 15-22'!D261</f>
        <v>159255</v>
      </c>
      <c r="F24" s="1822"/>
      <c r="G24" s="1825">
        <f>'Expenditures 15-22'!K57-SUM('Expenditures 15-22'!G57,'Expenditures 15-22'!I57)+'Expenditures 15-22'!D261</f>
        <v>159255</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17844</v>
      </c>
      <c r="E26" s="1824">
        <f>'Expenditures 15-22'!K122-SUM('Expenditures 15-22'!G122,'Expenditures 15-22'!I122)+E7</f>
        <v>0</v>
      </c>
      <c r="F26" s="1824">
        <f>'Expenditures 15-22'!K59-SUM('Expenditures 15-22'!G59,'Expenditures 15-22'!I59)+'Expenditures 15-22'!D263-E7</f>
        <v>17844</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1</v>
      </c>
      <c r="E27" s="1824">
        <f>E8</f>
        <v>5282</v>
      </c>
      <c r="F27" s="1824">
        <f>'Expenditures 15-22'!K60-SUM('Expenditures 15-22'!G60,'Expenditures 15-22'!I60)+'Expenditures 15-22'!D264-E8</f>
        <v>1</v>
      </c>
      <c r="G27" s="1825">
        <f>E8</f>
        <v>5282</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532187</v>
      </c>
      <c r="F28" s="1826">
        <f>'Expenditures 15-22'!K61-SUM('Expenditures 15-22'!G61,'Expenditures 15-22'!I61)+'Expenditures 15-22'!K124-SUM('Expenditures 15-22'!G124,'Expenditures 15-22'!I124)+'Expenditures 15-22'!D266-E9</f>
        <v>532187</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264268</v>
      </c>
      <c r="F29" s="1822"/>
      <c r="G29" s="1825">
        <f>'Expenditures 15-22'!K62-SUM('Expenditures 15-22'!G62,'Expenditures 15-22'!I62)+'Expenditures 15-22'!K125-SUM('Expenditures 15-22'!G125,'Expenditures 15-22'!I125)+'Expenditures 15-22'!K182-SUM('Expenditures 15-22'!G182,'Expenditures 15-22'!I182)+'Expenditures 15-22'!D267</f>
        <v>264268</v>
      </c>
      <c r="H29" s="986"/>
    </row>
    <row r="30" spans="1:9" ht="12" customHeight="1" x14ac:dyDescent="0.2">
      <c r="A30" s="995" t="s">
        <v>102</v>
      </c>
      <c r="B30" s="998"/>
      <c r="C30" s="994">
        <v>2560</v>
      </c>
      <c r="D30" s="1822"/>
      <c r="E30" s="1824">
        <f>'Expenditures 15-22'!K63-SUM('Expenditures 15-22'!G63,'Expenditures 15-22'!I63)+'Expenditures 15-22'!D268-E10</f>
        <v>114239</v>
      </c>
      <c r="F30" s="1822"/>
      <c r="G30" s="1824">
        <f>'Expenditures 15-22'!K63-SUM('Expenditures 15-22'!G63,'Expenditures 15-22'!I63)+'Expenditures 15-22'!D268-E10</f>
        <v>114239</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500</v>
      </c>
      <c r="F34" s="1822"/>
      <c r="G34" s="1824">
        <f>'Expenditures 15-22'!K68-SUM('Expenditures 15-22'!G68,'Expenditures 15-22'!I68)+'Expenditures 15-22'!D273</f>
        <v>500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11428</v>
      </c>
      <c r="F38" s="1822"/>
      <c r="G38" s="1824">
        <f>'Expenditures 15-22'!K73-SUM('Expenditures 15-22'!G73,'Expenditures 15-22'!I73)+'Expenditures 15-22'!K128-SUM('Expenditures 15-22'!G128,'Expenditures 15-22'!I128)+'Expenditures 15-22'!K183-SUM('Expenditures 15-22'!G183,'Expenditures 15-22'!I183)+'Expenditures 15-22'!D278</f>
        <v>11428</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70411</v>
      </c>
      <c r="F39" s="1822"/>
      <c r="G39" s="1824">
        <f>'Expenditures 15-22'!K75-SUM('Expenditures 15-22'!G75,'Expenditures 15-22'!I75)+'Expenditures 15-22'!K130-SUM('Expenditures 15-22'!G130,'Expenditures 15-22'!I130)+'Expenditures 15-22'!K185-SUM('Expenditures 15-22'!G185,'Expenditures 15-22'!I185)+'Expenditures 15-22'!D280</f>
        <v>70411</v>
      </c>
    </row>
    <row r="40" spans="1:7" ht="12" customHeight="1" x14ac:dyDescent="0.2">
      <c r="A40" s="991" t="s">
        <v>1927</v>
      </c>
      <c r="B40" s="992"/>
      <c r="C40" s="994"/>
      <c r="D40" s="1822"/>
      <c r="E40" s="1826">
        <f>-'Contracts Paid in CY 29'!G141</f>
        <v>-227837</v>
      </c>
      <c r="F40" s="1822"/>
      <c r="G40" s="1826">
        <f>-'Contracts Paid in CY 29'!G141</f>
        <v>-227837</v>
      </c>
    </row>
    <row r="41" spans="1:7" ht="12" customHeight="1" x14ac:dyDescent="0.2">
      <c r="A41" s="999" t="s">
        <v>158</v>
      </c>
      <c r="B41" s="1000"/>
      <c r="C41" s="1001"/>
      <c r="D41" s="1826">
        <f>SUM(D19:D39)</f>
        <v>17845</v>
      </c>
      <c r="E41" s="1826">
        <f>SUM(E19:E40)</f>
        <v>4266941</v>
      </c>
      <c r="F41" s="1826">
        <f>SUM(F19:F39)</f>
        <v>550032</v>
      </c>
      <c r="G41" s="1826">
        <f>SUM(G19:G40)</f>
        <v>3734754</v>
      </c>
    </row>
    <row r="42" spans="1:7" x14ac:dyDescent="0.2">
      <c r="A42" s="988"/>
      <c r="B42" s="162"/>
      <c r="C42" s="1002"/>
      <c r="D42" s="2316" t="s">
        <v>543</v>
      </c>
      <c r="E42" s="2317"/>
      <c r="F42" s="1003" t="s">
        <v>544</v>
      </c>
      <c r="G42" s="1004"/>
    </row>
    <row r="43" spans="1:7" ht="12" customHeight="1" x14ac:dyDescent="0.2">
      <c r="A43" s="988"/>
      <c r="B43" s="162"/>
      <c r="C43" s="1002"/>
      <c r="D43" s="1827" t="s">
        <v>493</v>
      </c>
      <c r="E43" s="1828">
        <f>D41</f>
        <v>17845</v>
      </c>
      <c r="F43" s="1827" t="s">
        <v>495</v>
      </c>
      <c r="G43" s="1828">
        <f>F41</f>
        <v>550032</v>
      </c>
    </row>
    <row r="44" spans="1:7" ht="12" customHeight="1" x14ac:dyDescent="0.2">
      <c r="A44" s="988"/>
      <c r="B44" s="162"/>
      <c r="C44" s="1002"/>
      <c r="D44" s="1827" t="s">
        <v>494</v>
      </c>
      <c r="E44" s="1828">
        <f>E41</f>
        <v>4266941</v>
      </c>
      <c r="F44" s="1827" t="s">
        <v>494</v>
      </c>
      <c r="G44" s="1828">
        <f>G41</f>
        <v>3734754</v>
      </c>
    </row>
    <row r="45" spans="1:7" ht="12" customHeight="1" x14ac:dyDescent="0.2">
      <c r="A45" s="988"/>
      <c r="B45" s="162"/>
      <c r="C45" s="162"/>
      <c r="D45" s="1829" t="s">
        <v>1063</v>
      </c>
      <c r="E45" s="1830">
        <f>(E43/E44)</f>
        <v>4.1821529756328945E-3</v>
      </c>
      <c r="F45" s="1829" t="s">
        <v>1063</v>
      </c>
      <c r="G45" s="1830">
        <f>(G43/G44)</f>
        <v>0.14727395699957749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4" t="s">
        <v>1446</v>
      </c>
      <c r="B1" s="2324"/>
      <c r="C1" s="2324"/>
      <c r="D1" s="2324"/>
      <c r="E1" s="2324"/>
      <c r="F1" s="2324"/>
    </row>
    <row r="2" spans="1:10" x14ac:dyDescent="0.2">
      <c r="A2" s="1909" t="s">
        <v>2044</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5" t="s">
        <v>1627</v>
      </c>
      <c r="B5" s="2326"/>
      <c r="C5" s="2327"/>
      <c r="D5" s="2327"/>
      <c r="E5" s="2327"/>
      <c r="F5" s="2327"/>
    </row>
    <row r="6" spans="1:10" ht="12" customHeight="1" x14ac:dyDescent="0.25">
      <c r="A6" s="1872"/>
      <c r="B6" s="1873"/>
      <c r="C6" s="2328" t="str">
        <f>COVER!A17</f>
        <v>Egyptian CUSD 5</v>
      </c>
      <c r="D6" s="2328"/>
      <c r="E6" s="2328"/>
      <c r="F6" s="1874"/>
    </row>
    <row r="7" spans="1:10" ht="11.25" customHeight="1" thickBot="1" x14ac:dyDescent="0.3">
      <c r="A7" s="1872"/>
      <c r="B7" s="1873"/>
      <c r="C7" s="2329">
        <f>COVER!A13</f>
        <v>30002005026</v>
      </c>
      <c r="D7" s="2329"/>
      <c r="E7" s="2329"/>
      <c r="F7" s="1874"/>
    </row>
    <row r="8" spans="1:10" ht="25.5" customHeight="1" thickBot="1" x14ac:dyDescent="0.25">
      <c r="A8" s="1915" t="s">
        <v>2021</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2073</v>
      </c>
      <c r="D26" s="1887" t="s">
        <v>2073</v>
      </c>
      <c r="E26" s="1890"/>
      <c r="F26" s="1889" t="s">
        <v>2091</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2073</v>
      </c>
      <c r="D31" s="1887" t="s">
        <v>2073</v>
      </c>
      <c r="E31" s="1890"/>
      <c r="F31" s="1889" t="s">
        <v>2092</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10</v>
      </c>
      <c r="I34" s="1900">
        <f>SUM(I11:I32)</f>
        <v>10</v>
      </c>
      <c r="J34" s="1900">
        <f>SUM(J11:J32)</f>
        <v>0</v>
      </c>
      <c r="K34" s="1900">
        <f>SUM(H34:J34)</f>
        <v>20</v>
      </c>
    </row>
    <row r="35" spans="1:11" ht="12" customHeight="1" x14ac:dyDescent="0.2">
      <c r="A35" s="1893" t="s">
        <v>1459</v>
      </c>
      <c r="B35" s="1894"/>
      <c r="C35" s="2330"/>
      <c r="D35" s="2330"/>
      <c r="E35" s="2330"/>
      <c r="F35" s="2331"/>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35"/>
      <c r="B38" s="2336"/>
      <c r="C38" s="2336"/>
      <c r="D38" s="2336"/>
      <c r="E38" s="2336"/>
      <c r="F38" s="2337"/>
    </row>
    <row r="39" spans="1:11" ht="4.5" hidden="1" customHeight="1" x14ac:dyDescent="0.2">
      <c r="A39" s="1895"/>
      <c r="B39" s="1895"/>
      <c r="C39" s="1895"/>
      <c r="D39" s="1895"/>
      <c r="E39" s="1895"/>
      <c r="F39" s="1895"/>
    </row>
    <row r="40" spans="1:11" s="1892" customFormat="1" ht="12" customHeight="1" x14ac:dyDescent="0.25">
      <c r="A40" s="1896" t="s">
        <v>1458</v>
      </c>
      <c r="B40" s="1897"/>
      <c r="C40" s="2338"/>
      <c r="D40" s="2338"/>
      <c r="E40" s="2338"/>
      <c r="F40" s="2339"/>
      <c r="H40" s="1901"/>
      <c r="I40" s="1901"/>
      <c r="J40" s="1901"/>
      <c r="K40" s="1901"/>
    </row>
    <row r="41" spans="1:11" s="1892" customFormat="1" ht="12" customHeight="1" x14ac:dyDescent="0.25">
      <c r="A41" s="2340"/>
      <c r="B41" s="2341"/>
      <c r="C41" s="2341"/>
      <c r="D41" s="2341"/>
      <c r="E41" s="2341"/>
      <c r="F41" s="2342"/>
      <c r="H41" s="1901"/>
      <c r="I41" s="1901"/>
      <c r="J41" s="1901"/>
      <c r="K41" s="1901"/>
    </row>
    <row r="42" spans="1:11" s="1892" customFormat="1" ht="12" customHeight="1" x14ac:dyDescent="0.25">
      <c r="A42" s="2340"/>
      <c r="B42" s="2341"/>
      <c r="C42" s="2341"/>
      <c r="D42" s="2341"/>
      <c r="E42" s="2341"/>
      <c r="F42" s="2342"/>
      <c r="H42" s="1901"/>
      <c r="I42" s="1901"/>
      <c r="J42" s="1901"/>
      <c r="K42" s="1901"/>
    </row>
    <row r="43" spans="1:11" s="1892" customFormat="1" ht="15" x14ac:dyDescent="0.25">
      <c r="A43" s="2332"/>
      <c r="B43" s="2333"/>
      <c r="C43" s="2333"/>
      <c r="D43" s="2333"/>
      <c r="E43" s="2333"/>
      <c r="F43" s="2334"/>
      <c r="H43" s="1901"/>
      <c r="I43" s="1901"/>
      <c r="J43" s="1901"/>
      <c r="K43" s="1901"/>
    </row>
    <row r="44" spans="1:11" s="1892" customFormat="1" ht="12" hidden="1" customHeight="1" x14ac:dyDescent="0.25">
      <c r="A44" s="2332"/>
      <c r="B44" s="2333"/>
      <c r="C44" s="2333"/>
      <c r="D44" s="2333"/>
      <c r="E44" s="2333"/>
      <c r="F44" s="2334"/>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1"/>
      <c r="C6" s="1661"/>
      <c r="D6" s="1661"/>
      <c r="E6" s="1662"/>
      <c r="F6" s="1016"/>
      <c r="G6" s="1010"/>
      <c r="H6" s="1017" t="s">
        <v>1086</v>
      </c>
      <c r="I6" s="2348" t="str">
        <f>COVER!A17</f>
        <v>Egyptian CUSD 5</v>
      </c>
      <c r="J6" s="2349"/>
      <c r="Q6" s="1683"/>
    </row>
    <row r="7" spans="1:17" x14ac:dyDescent="0.2">
      <c r="A7" s="2350" t="s">
        <v>924</v>
      </c>
      <c r="B7" s="2351"/>
      <c r="C7" s="2351"/>
      <c r="D7" s="2351"/>
      <c r="E7" s="2352"/>
      <c r="F7" s="1018"/>
      <c r="G7" s="1010"/>
      <c r="H7" s="1017" t="s">
        <v>390</v>
      </c>
      <c r="I7" s="2353">
        <f>COVER!A13</f>
        <v>30002005026</v>
      </c>
      <c r="J7" s="2353"/>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4" t="s">
        <v>502</v>
      </c>
      <c r="B11" s="2355"/>
      <c r="C11" s="235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298019</v>
      </c>
      <c r="F12" s="1040"/>
      <c r="G12" s="1831">
        <f t="shared" ref="G12:G18" si="0">SUM(E12:F12)</f>
        <v>298019</v>
      </c>
      <c r="H12" s="1041">
        <v>309248</v>
      </c>
      <c r="I12" s="1040"/>
      <c r="J12" s="1831">
        <f t="shared" ref="J12:J18" si="1">SUM(H12:I12)</f>
        <v>309248</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15589</v>
      </c>
      <c r="F15" s="1831">
        <f>'Expenditures 15-22'!K122</f>
        <v>0</v>
      </c>
      <c r="G15" s="1831">
        <f t="shared" si="0"/>
        <v>15589</v>
      </c>
      <c r="H15" s="1041">
        <v>17955</v>
      </c>
      <c r="I15" s="1041"/>
      <c r="J15" s="1831">
        <f t="shared" si="1"/>
        <v>17955</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57" t="s">
        <v>7</v>
      </c>
      <c r="C18" s="2358"/>
      <c r="D18" s="2359"/>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313608</v>
      </c>
      <c r="F19" s="1833">
        <f t="shared" si="2"/>
        <v>0</v>
      </c>
      <c r="G19" s="1833">
        <f t="shared" si="2"/>
        <v>313608</v>
      </c>
      <c r="H19" s="1833">
        <f t="shared" si="2"/>
        <v>327203</v>
      </c>
      <c r="I19" s="1833">
        <f t="shared" si="2"/>
        <v>0</v>
      </c>
      <c r="J19" s="1833">
        <f t="shared" si="2"/>
        <v>327203</v>
      </c>
    </row>
    <row r="20" spans="1:10" ht="13.5" thickTop="1" x14ac:dyDescent="0.2">
      <c r="A20" s="1036">
        <v>9</v>
      </c>
      <c r="B20" s="2360" t="s">
        <v>1703</v>
      </c>
      <c r="C20" s="2360"/>
      <c r="D20" s="2361"/>
      <c r="E20" s="1047"/>
      <c r="F20" s="1047"/>
      <c r="G20" s="1047"/>
      <c r="H20" s="1047"/>
      <c r="I20" s="1047"/>
      <c r="J20" s="1834">
        <f>IF(AND(G19&gt;0,J19&gt;0),(((J19-G19)/G19)),"Enter Budget Data")</f>
        <v>4.3350297186296266E-2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6"/>
      <c r="D26" s="2366"/>
      <c r="E26" s="1051"/>
      <c r="F26" s="2365"/>
      <c r="G26" s="2365"/>
    </row>
    <row r="27" spans="1:10" x14ac:dyDescent="0.2">
      <c r="B27" s="1048"/>
      <c r="C27" s="1052" t="s">
        <v>1093</v>
      </c>
      <c r="D27" s="1053"/>
      <c r="E27" s="1054"/>
      <c r="F27" s="2362" t="s">
        <v>1589</v>
      </c>
      <c r="G27" s="2362"/>
    </row>
    <row r="28" spans="1:10" ht="28.5" customHeight="1" x14ac:dyDescent="0.2">
      <c r="B28" s="1048"/>
      <c r="C28" s="2364"/>
      <c r="D28" s="2364"/>
      <c r="E28" s="1055"/>
      <c r="F28" s="2364"/>
      <c r="G28" s="2364"/>
    </row>
    <row r="29" spans="1:10" x14ac:dyDescent="0.2">
      <c r="B29" s="1048"/>
      <c r="C29" s="1056" t="s">
        <v>1642</v>
      </c>
      <c r="E29" s="1057"/>
      <c r="F29" s="2363" t="s">
        <v>1590</v>
      </c>
      <c r="G29" s="236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3"/>
    </row>
    <row r="36" spans="1:10" ht="13.5" customHeight="1" x14ac:dyDescent="0.2">
      <c r="B36" s="1062"/>
      <c r="C36" s="2347" t="s">
        <v>1940</v>
      </c>
      <c r="D36" s="2346"/>
      <c r="E36" s="2346"/>
      <c r="F36" s="2346"/>
      <c r="G36" s="2346"/>
      <c r="H36" s="2346"/>
      <c r="I36" s="2346"/>
      <c r="J36" s="1064"/>
    </row>
    <row r="37" spans="1:10" ht="22.5" customHeight="1" x14ac:dyDescent="0.2">
      <c r="C37" s="2346"/>
      <c r="D37" s="2346"/>
      <c r="E37" s="2346"/>
      <c r="F37" s="2346"/>
      <c r="G37" s="2346"/>
      <c r="H37" s="2346"/>
      <c r="I37" s="2346"/>
      <c r="J37" s="1064"/>
    </row>
    <row r="38" spans="1:10" ht="7.5" customHeight="1" x14ac:dyDescent="0.2">
      <c r="C38" s="1063"/>
      <c r="D38" s="1065"/>
      <c r="E38" s="1066"/>
      <c r="F38" s="1067"/>
      <c r="G38" s="1066"/>
    </row>
    <row r="39" spans="1:10" ht="13.5" customHeight="1" x14ac:dyDescent="0.2">
      <c r="B39" s="1062"/>
      <c r="C39" s="2343" t="s">
        <v>937</v>
      </c>
      <c r="D39" s="2344"/>
      <c r="E39" s="2344"/>
      <c r="F39" s="2344"/>
      <c r="G39" s="2344"/>
      <c r="H39" s="2344"/>
      <c r="I39" s="234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J71"/>
  <sheetViews>
    <sheetView showGridLines="0" zoomScale="110" zoomScaleNormal="110" workbookViewId="0">
      <selection sqref="A1:F1"/>
    </sheetView>
  </sheetViews>
  <sheetFormatPr defaultColWidth="9.140625" defaultRowHeight="12.75" x14ac:dyDescent="0.2"/>
  <cols>
    <col min="1" max="1" width="3" style="329" customWidth="1"/>
    <col min="2" max="2" width="17.28515625" style="1952" customWidth="1"/>
    <col min="3" max="3" width="3.140625" style="1952" customWidth="1"/>
    <col min="4" max="4" width="5" style="1952" bestFit="1" customWidth="1"/>
    <col min="5" max="5" width="2.85546875" style="1952" customWidth="1"/>
    <col min="6" max="6" width="10.85546875" style="329" bestFit="1" customWidth="1"/>
    <col min="7" max="7" width="2.5703125" style="329" customWidth="1"/>
    <col min="8" max="8" width="34.140625" style="329" bestFit="1" customWidth="1"/>
    <col min="9" max="9" width="2.42578125" style="329" customWidth="1"/>
    <col min="10" max="10" width="11" style="329" bestFit="1" customWidth="1"/>
    <col min="11" max="16384" width="9.140625" style="329"/>
  </cols>
  <sheetData>
    <row r="2" spans="1:10" x14ac:dyDescent="0.2">
      <c r="A2" s="389" t="s">
        <v>276</v>
      </c>
    </row>
    <row r="3" spans="1:10" x14ac:dyDescent="0.2">
      <c r="A3" s="329" t="s">
        <v>277</v>
      </c>
    </row>
    <row r="6" spans="1:10" x14ac:dyDescent="0.2">
      <c r="B6" s="1953" t="s">
        <v>2093</v>
      </c>
      <c r="D6" s="1953" t="s">
        <v>1137</v>
      </c>
      <c r="F6" s="1953" t="s">
        <v>2094</v>
      </c>
      <c r="G6" s="1952"/>
      <c r="H6" s="1953" t="s">
        <v>502</v>
      </c>
      <c r="I6" s="1952"/>
      <c r="J6" s="1953" t="s">
        <v>920</v>
      </c>
    </row>
    <row r="7" spans="1:10" x14ac:dyDescent="0.2">
      <c r="A7" s="1069">
        <v>1</v>
      </c>
      <c r="B7" s="1952">
        <v>190</v>
      </c>
      <c r="D7" s="1952">
        <v>10</v>
      </c>
      <c r="H7" s="329" t="s">
        <v>2095</v>
      </c>
      <c r="J7" s="1955">
        <v>15512</v>
      </c>
    </row>
    <row r="8" spans="1:10" ht="15" x14ac:dyDescent="0.35">
      <c r="A8" s="1069"/>
      <c r="H8" s="329" t="s">
        <v>2096</v>
      </c>
      <c r="J8" s="1957">
        <v>1995</v>
      </c>
    </row>
    <row r="9" spans="1:10" ht="15" x14ac:dyDescent="0.35">
      <c r="A9" s="1069"/>
      <c r="J9" s="1956">
        <f>J7+J8</f>
        <v>17507</v>
      </c>
    </row>
    <row r="10" spans="1:10" x14ac:dyDescent="0.2">
      <c r="A10" s="1069"/>
    </row>
    <row r="11" spans="1:10" ht="15" x14ac:dyDescent="0.35">
      <c r="A11" s="1069">
        <v>2</v>
      </c>
      <c r="B11" s="1952">
        <v>1993</v>
      </c>
      <c r="D11" s="1952">
        <v>10</v>
      </c>
      <c r="H11" s="329" t="s">
        <v>2097</v>
      </c>
      <c r="J11" s="1956">
        <v>245</v>
      </c>
    </row>
    <row r="12" spans="1:10" ht="15" x14ac:dyDescent="0.35">
      <c r="A12" s="1069"/>
      <c r="J12" s="1956"/>
    </row>
    <row r="13" spans="1:10" ht="15" x14ac:dyDescent="0.35">
      <c r="A13" s="1069">
        <v>3</v>
      </c>
      <c r="B13" s="1952">
        <v>1999</v>
      </c>
      <c r="D13" s="1952">
        <v>10</v>
      </c>
      <c r="H13" s="329" t="s">
        <v>2098</v>
      </c>
      <c r="J13" s="1956">
        <v>2902</v>
      </c>
    </row>
    <row r="15" spans="1:10" ht="15" x14ac:dyDescent="0.35">
      <c r="A15" s="1069">
        <v>4</v>
      </c>
      <c r="B15" s="1952">
        <v>4299</v>
      </c>
      <c r="D15" s="1952">
        <v>10</v>
      </c>
      <c r="H15" s="329" t="s">
        <v>2099</v>
      </c>
      <c r="J15" s="1956">
        <v>21752</v>
      </c>
    </row>
    <row r="16" spans="1:10" x14ac:dyDescent="0.2">
      <c r="A16" s="1070"/>
    </row>
    <row r="17" spans="1:10" ht="15" x14ac:dyDescent="0.35">
      <c r="A17" s="1069">
        <v>5</v>
      </c>
      <c r="B17" s="1952">
        <v>2190</v>
      </c>
      <c r="D17" s="1952">
        <v>10</v>
      </c>
      <c r="F17" s="329">
        <v>100</v>
      </c>
      <c r="H17" s="329" t="s">
        <v>2101</v>
      </c>
      <c r="J17" s="1956">
        <v>11355</v>
      </c>
    </row>
    <row r="19" spans="1:10" ht="15" x14ac:dyDescent="0.35">
      <c r="A19" s="1069">
        <v>6</v>
      </c>
      <c r="B19" s="1952">
        <v>2190</v>
      </c>
      <c r="D19" s="1952">
        <v>10</v>
      </c>
      <c r="F19" s="329">
        <v>200</v>
      </c>
      <c r="H19" s="329" t="s">
        <v>2100</v>
      </c>
      <c r="J19" s="1956">
        <v>4</v>
      </c>
    </row>
    <row r="20" spans="1:10" x14ac:dyDescent="0.2">
      <c r="A20" s="1070"/>
    </row>
    <row r="21" spans="1:10" ht="15" x14ac:dyDescent="0.35">
      <c r="A21" s="1069">
        <v>7</v>
      </c>
      <c r="B21" s="1952">
        <v>2900</v>
      </c>
      <c r="D21" s="1952">
        <v>10</v>
      </c>
      <c r="F21" s="329">
        <v>100</v>
      </c>
      <c r="H21" s="329" t="s">
        <v>2102</v>
      </c>
      <c r="J21" s="1956">
        <v>10500</v>
      </c>
    </row>
    <row r="23" spans="1:10" ht="15" x14ac:dyDescent="0.35">
      <c r="A23" s="1069">
        <v>8</v>
      </c>
      <c r="B23" s="1952">
        <v>2900</v>
      </c>
      <c r="D23" s="1952">
        <v>10</v>
      </c>
      <c r="F23" s="329">
        <v>200</v>
      </c>
      <c r="H23" s="329" t="s">
        <v>2103</v>
      </c>
      <c r="J23" s="1956">
        <v>462</v>
      </c>
    </row>
    <row r="24" spans="1:10" x14ac:dyDescent="0.2">
      <c r="A24" s="1070"/>
      <c r="J24" s="1954"/>
    </row>
    <row r="25" spans="1:10" x14ac:dyDescent="0.2">
      <c r="A25" s="1069">
        <v>9</v>
      </c>
      <c r="B25" s="1952">
        <v>4190</v>
      </c>
      <c r="D25" s="1952">
        <v>10</v>
      </c>
      <c r="F25" s="329">
        <v>300</v>
      </c>
      <c r="H25" s="329" t="s">
        <v>2104</v>
      </c>
      <c r="J25" s="1958">
        <v>24000</v>
      </c>
    </row>
    <row r="26" spans="1:10" x14ac:dyDescent="0.2">
      <c r="J26" s="1958"/>
    </row>
    <row r="27" spans="1:10" x14ac:dyDescent="0.2">
      <c r="A27" s="1069">
        <v>10</v>
      </c>
      <c r="B27" s="1952">
        <v>4190</v>
      </c>
      <c r="D27" s="1952">
        <v>10</v>
      </c>
      <c r="F27" s="329">
        <v>600</v>
      </c>
      <c r="H27" s="329" t="s">
        <v>2105</v>
      </c>
      <c r="J27" s="1958">
        <v>1458</v>
      </c>
    </row>
    <row r="28" spans="1:10" x14ac:dyDescent="0.2">
      <c r="A28" s="1070"/>
      <c r="J28" s="1958"/>
    </row>
    <row r="29" spans="1:10" x14ac:dyDescent="0.2">
      <c r="A29" s="1069">
        <v>11</v>
      </c>
      <c r="B29" s="1952">
        <v>2190</v>
      </c>
      <c r="D29" s="1952">
        <v>50</v>
      </c>
      <c r="F29" s="329">
        <v>200</v>
      </c>
      <c r="H29" s="329" t="s">
        <v>2100</v>
      </c>
      <c r="J29" s="1958">
        <v>1642</v>
      </c>
    </row>
    <row r="30" spans="1:10" x14ac:dyDescent="0.2">
      <c r="J30" s="1958"/>
    </row>
    <row r="31" spans="1:10" x14ac:dyDescent="0.2">
      <c r="A31" s="1069">
        <v>12</v>
      </c>
      <c r="B31" s="1952">
        <v>2900</v>
      </c>
      <c r="D31" s="1952">
        <v>50</v>
      </c>
      <c r="F31" s="329">
        <v>200</v>
      </c>
      <c r="H31" s="329" t="s">
        <v>2106</v>
      </c>
      <c r="J31" s="1958">
        <v>466</v>
      </c>
    </row>
    <row r="32" spans="1:10"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70"/>
    </row>
    <row r="67" spans="1:2" x14ac:dyDescent="0.2">
      <c r="A67" s="1070"/>
    </row>
    <row r="68" spans="1:2" x14ac:dyDescent="0.2">
      <c r="A68" s="1070"/>
    </row>
    <row r="69" spans="1:2" x14ac:dyDescent="0.2">
      <c r="A69" s="1070"/>
    </row>
    <row r="70" spans="1:2" x14ac:dyDescent="0.2">
      <c r="A70" s="1070"/>
      <c r="B70" s="1952" t="str">
        <f>COVER!A17</f>
        <v>Egyptian CUSD 5</v>
      </c>
    </row>
    <row r="71" spans="1:2" x14ac:dyDescent="0.2">
      <c r="B71" s="1952">
        <f>COVER!A13</f>
        <v>30002005026</v>
      </c>
    </row>
  </sheetData>
  <phoneticPr fontId="16" type="noConversion"/>
  <printOptions horizontalCentered="1" verticalCentered="1"/>
  <pageMargins left="1" right="1" top="1" bottom="1" header="0.5" footer="1"/>
  <pageSetup scale="72"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6" t="s">
        <v>1709</v>
      </c>
    </row>
    <row r="23" spans="1:5" x14ac:dyDescent="0.2">
      <c r="A23" s="168"/>
      <c r="B23" s="162" t="s">
        <v>1965</v>
      </c>
      <c r="D23" s="167" t="s">
        <v>658</v>
      </c>
      <c r="E23" s="1856"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7" t="s">
        <v>1784</v>
      </c>
      <c r="B18" s="236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3057525</xdr:colOff>
                <xdr:row>4</xdr:row>
                <xdr:rowOff>66675</xdr:rowOff>
              </from>
              <to>
                <xdr:col>1</xdr:col>
                <xdr:colOff>3971925</xdr:colOff>
                <xdr:row>8</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74"/>
      <c r="H2" s="1074"/>
    </row>
    <row r="3" spans="1:8" ht="57" customHeight="1" x14ac:dyDescent="0.2">
      <c r="A3" s="2381" t="s">
        <v>1786</v>
      </c>
      <c r="B3" s="2382"/>
      <c r="C3" s="2382"/>
      <c r="D3" s="2382"/>
      <c r="E3" s="2382"/>
      <c r="F3" s="2383"/>
      <c r="G3" s="1074"/>
      <c r="H3" s="1074"/>
    </row>
    <row r="4" spans="1:8" ht="14.25" customHeight="1" x14ac:dyDescent="0.2">
      <c r="A4" s="2387" t="s">
        <v>2052</v>
      </c>
      <c r="B4" s="2388"/>
      <c r="C4" s="2388"/>
      <c r="D4" s="2388"/>
      <c r="E4" s="2388"/>
      <c r="F4" s="2389"/>
      <c r="G4" s="1074"/>
      <c r="H4" s="1074"/>
    </row>
    <row r="5" spans="1:8" ht="14.25" customHeight="1" x14ac:dyDescent="0.2">
      <c r="A5" s="2390" t="s">
        <v>2053</v>
      </c>
      <c r="B5" s="2391"/>
      <c r="C5" s="2391"/>
      <c r="D5" s="2391"/>
      <c r="E5" s="2391"/>
      <c r="F5" s="2392"/>
      <c r="G5" s="1074"/>
      <c r="H5" s="1074"/>
    </row>
    <row r="6" spans="1:8" s="1075" customFormat="1" ht="41.25" customHeight="1" x14ac:dyDescent="0.2">
      <c r="A6" s="2384" t="s">
        <v>1792</v>
      </c>
      <c r="B6" s="2385"/>
      <c r="C6" s="2385"/>
      <c r="D6" s="2385"/>
      <c r="E6" s="2385"/>
      <c r="F6" s="2386"/>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5">
        <f>'Acct Summary 7-8'!C8</f>
        <v>4855510</v>
      </c>
      <c r="C8" s="1835">
        <f>'Acct Summary 7-8'!D8</f>
        <v>162392</v>
      </c>
      <c r="D8" s="1835">
        <f>'Acct Summary 7-8'!F8</f>
        <v>328996</v>
      </c>
      <c r="E8" s="1835">
        <f>'Acct Summary 7-8'!I8</f>
        <v>0</v>
      </c>
      <c r="F8" s="1835">
        <f>SUM(B8:E8)</f>
        <v>5346898</v>
      </c>
    </row>
    <row r="9" spans="1:8" s="1079" customFormat="1" ht="14.25" customHeight="1" thickBot="1" x14ac:dyDescent="0.25">
      <c r="A9" s="1078" t="s">
        <v>1436</v>
      </c>
      <c r="B9" s="1836">
        <f>'Acct Summary 7-8'!C17</f>
        <v>4556215</v>
      </c>
      <c r="C9" s="1836">
        <f>'Acct Summary 7-8'!D17</f>
        <v>110663</v>
      </c>
      <c r="D9" s="1836">
        <f>'Acct Summary 7-8'!F17</f>
        <v>264147</v>
      </c>
      <c r="E9" s="1835"/>
      <c r="F9" s="1835">
        <f>SUM(B9:E9)</f>
        <v>4931025</v>
      </c>
    </row>
    <row r="10" spans="1:8" s="1079" customFormat="1" ht="14.25" thickTop="1" thickBot="1" x14ac:dyDescent="0.25">
      <c r="A10" s="1080" t="s">
        <v>1437</v>
      </c>
      <c r="B10" s="1837">
        <f>(B8-B9)</f>
        <v>299295</v>
      </c>
      <c r="C10" s="1837">
        <f>(C8-C9)</f>
        <v>51729</v>
      </c>
      <c r="D10" s="1837">
        <f>(D8-D9)</f>
        <v>64849</v>
      </c>
      <c r="E10" s="1836">
        <f>(E8-E9)</f>
        <v>0</v>
      </c>
      <c r="F10" s="1838">
        <f>SUM(F8-F9)</f>
        <v>415873</v>
      </c>
    </row>
    <row r="11" spans="1:8" s="1079" customFormat="1" ht="14.25" thickTop="1" thickBot="1" x14ac:dyDescent="0.25">
      <c r="A11" s="1081" t="s">
        <v>1785</v>
      </c>
      <c r="B11" s="1839">
        <f>'Acct Summary 7-8'!C81</f>
        <v>3212168</v>
      </c>
      <c r="C11" s="1839">
        <f>'Acct Summary 7-8'!D81</f>
        <v>182021</v>
      </c>
      <c r="D11" s="1839">
        <f>'Acct Summary 7-8'!F81</f>
        <v>97570</v>
      </c>
      <c r="E11" s="1839">
        <f>'Acct Summary 7-8'!I81</f>
        <v>0</v>
      </c>
      <c r="F11" s="1840">
        <f>SUM(B11:E11)</f>
        <v>3491759</v>
      </c>
    </row>
    <row r="12" spans="1:8" ht="16.5" customHeight="1" thickTop="1" x14ac:dyDescent="0.2">
      <c r="A12" s="1082"/>
      <c r="B12" s="1083"/>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4"/>
      <c r="B13" s="1085"/>
      <c r="C13" s="2372"/>
      <c r="D13" s="2373"/>
      <c r="E13" s="2373"/>
      <c r="F13" s="2374"/>
      <c r="H13" s="1074"/>
    </row>
    <row r="14" spans="1:8" ht="19.5" customHeight="1" x14ac:dyDescent="0.2">
      <c r="A14" s="1084"/>
      <c r="B14" s="1085"/>
      <c r="C14" s="2372"/>
      <c r="D14" s="2373"/>
      <c r="E14" s="2373"/>
      <c r="F14" s="2374"/>
      <c r="H14" s="1074"/>
    </row>
    <row r="15" spans="1:8" ht="17.25" customHeight="1" x14ac:dyDescent="0.2">
      <c r="A15" s="1084"/>
      <c r="B15" s="1085"/>
      <c r="C15" s="2375"/>
      <c r="D15" s="2376"/>
      <c r="E15" s="2376"/>
      <c r="F15" s="2377"/>
      <c r="H15" s="1074"/>
    </row>
    <row r="16" spans="1:8" s="310" customFormat="1" ht="51.75" hidden="1" customHeight="1" x14ac:dyDescent="0.2">
      <c r="A16" s="2371" t="s">
        <v>1787</v>
      </c>
      <c r="B16" s="2371"/>
      <c r="C16" s="2371"/>
      <c r="D16" s="2371"/>
      <c r="E16" s="2371"/>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9"/>
      <c r="B2" s="1920"/>
      <c r="C2" s="1921"/>
      <c r="D2" s="1922"/>
    </row>
    <row r="3" spans="1:4" ht="36" customHeight="1" x14ac:dyDescent="0.2">
      <c r="A3" s="2393" t="s">
        <v>686</v>
      </c>
      <c r="B3" s="2394"/>
      <c r="C3" s="2394"/>
      <c r="D3" s="2395"/>
    </row>
    <row r="4" spans="1:4" x14ac:dyDescent="0.2">
      <c r="A4" s="1152" t="s">
        <v>1793</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4" t="s">
        <v>1584</v>
      </c>
      <c r="D7" s="2405"/>
    </row>
    <row r="8" spans="1:4" s="669" customFormat="1" ht="12.75" x14ac:dyDescent="0.2">
      <c r="A8" s="1138"/>
      <c r="B8" s="1093"/>
      <c r="C8" s="1096" t="s">
        <v>1583</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6" t="s">
        <v>1065</v>
      </c>
      <c r="B15" s="2397"/>
      <c r="C15" s="2397"/>
      <c r="D15" s="2398"/>
    </row>
    <row r="16" spans="1:4" s="669" customFormat="1" ht="24" customHeight="1" x14ac:dyDescent="0.2">
      <c r="A16" s="2399" t="s">
        <v>684</v>
      </c>
      <c r="B16" s="2400"/>
      <c r="C16" s="2400"/>
      <c r="D16" s="2401"/>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8" t="s">
        <v>332</v>
      </c>
      <c r="D21" s="2409"/>
    </row>
    <row r="22" spans="1:10" ht="12.75" x14ac:dyDescent="0.2">
      <c r="A22" s="1139"/>
      <c r="B22" s="1140">
        <v>2</v>
      </c>
      <c r="C22" s="2406" t="s">
        <v>1605</v>
      </c>
      <c r="D22" s="2407"/>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0" t="s">
        <v>557</v>
      </c>
      <c r="D43" s="2411"/>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2" t="s">
        <v>817</v>
      </c>
      <c r="D56" s="2403"/>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1079</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OK</v>
      </c>
    </row>
    <row r="70" spans="1:4" x14ac:dyDescent="0.2">
      <c r="A70" s="1098"/>
      <c r="B70" s="1120">
        <f>B66+1</f>
        <v>9</v>
      </c>
      <c r="C70" s="2402" t="s">
        <v>1797</v>
      </c>
      <c r="D70" s="2403"/>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30002005026</v>
      </c>
    </row>
    <row r="3" spans="1:2" x14ac:dyDescent="0.2">
      <c r="A3" t="s">
        <v>1013</v>
      </c>
      <c r="B3" s="138" t="str">
        <f>COVER!A15</f>
        <v>Alexander</v>
      </c>
    </row>
    <row r="4" spans="1:2" x14ac:dyDescent="0.2">
      <c r="A4" t="s">
        <v>1064</v>
      </c>
      <c r="B4" s="138" t="str">
        <f>COVER!A17</f>
        <v>Egyptian CUSD 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2223791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17507</v>
      </c>
      <c r="D76" s="2" t="str">
        <f t="shared" si="0"/>
        <v>Error?</v>
      </c>
    </row>
    <row r="77" spans="1:4" x14ac:dyDescent="0.2">
      <c r="A77" s="5">
        <v>16</v>
      </c>
      <c r="B77" s="138">
        <f>'Assets-Liab 5-6'!C13</f>
        <v>3212168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3212168</v>
      </c>
      <c r="D92" s="2" t="str">
        <f t="shared" si="0"/>
        <v>Error?</v>
      </c>
    </row>
    <row r="93" spans="1:4" x14ac:dyDescent="0.2">
      <c r="A93" s="5">
        <v>32</v>
      </c>
      <c r="B93" s="138">
        <f>'Assets-Liab 5-6'!C41</f>
        <v>3212168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160740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182021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182021</v>
      </c>
      <c r="D123" s="2" t="str">
        <f t="shared" si="0"/>
        <v>Error?</v>
      </c>
    </row>
    <row r="124" spans="1:4" x14ac:dyDescent="0.2">
      <c r="A124" s="5">
        <v>63</v>
      </c>
      <c r="B124" s="138">
        <f>'Assets-Liab 5-6'!D41</f>
        <v>182021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32669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32669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97570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97570</v>
      </c>
      <c r="D170" s="2" t="str">
        <f t="shared" si="1"/>
        <v>Error?</v>
      </c>
    </row>
    <row r="171" spans="1:4" x14ac:dyDescent="0.2">
      <c r="A171" s="5">
        <v>110</v>
      </c>
      <c r="B171" s="138">
        <f>'Assets-Liab 5-6'!F41</f>
        <v>97570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52253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52253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993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993</v>
      </c>
      <c r="D212" s="2" t="str">
        <f t="shared" si="2"/>
        <v>Error?</v>
      </c>
    </row>
    <row r="213" spans="1:4" x14ac:dyDescent="0.2">
      <c r="A213" s="12">
        <v>152</v>
      </c>
      <c r="B213" s="138">
        <f>'Assets-Liab 5-6'!H41</f>
        <v>993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2038</v>
      </c>
      <c r="D273" s="2" t="str">
        <f t="shared" si="3"/>
        <v>Error?</v>
      </c>
    </row>
    <row r="274" spans="1:4" x14ac:dyDescent="0.2">
      <c r="A274" s="5">
        <v>213</v>
      </c>
      <c r="B274" s="138">
        <f>'Assets-Liab 5-6'!M17</f>
        <v>3528977</v>
      </c>
      <c r="D274" s="2" t="str">
        <f t="shared" si="3"/>
        <v>Error?</v>
      </c>
    </row>
    <row r="275" spans="1:4" x14ac:dyDescent="0.2">
      <c r="A275" s="5">
        <v>214</v>
      </c>
      <c r="B275" s="138">
        <f>'Assets-Liab 5-6'!M18</f>
        <v>1675996</v>
      </c>
      <c r="D275" s="2" t="str">
        <f t="shared" si="3"/>
        <v>Error?</v>
      </c>
    </row>
    <row r="276" spans="1:4" x14ac:dyDescent="0.2">
      <c r="A276" s="5">
        <v>215</v>
      </c>
      <c r="B276" s="138">
        <f>'Assets-Liab 5-6'!M19</f>
        <v>3346429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8553440</v>
      </c>
      <c r="C279" s="2" t="s">
        <v>594</v>
      </c>
      <c r="D279" s="2" t="str">
        <f t="shared" si="3"/>
        <v>Error?</v>
      </c>
    </row>
    <row r="280" spans="1:4" x14ac:dyDescent="0.2">
      <c r="A280" s="5">
        <v>219</v>
      </c>
      <c r="B280" s="138">
        <f>'Assets-Liab 5-6'!M40</f>
        <v>8553440</v>
      </c>
      <c r="D280" s="2" t="str">
        <f t="shared" si="3"/>
        <v>Error?</v>
      </c>
    </row>
    <row r="281" spans="1:4" x14ac:dyDescent="0.2">
      <c r="A281" s="5">
        <v>220</v>
      </c>
      <c r="B281" s="138">
        <f>'Assets-Liab 5-6'!M41</f>
        <v>8553440</v>
      </c>
      <c r="C281" s="2" t="s">
        <v>594</v>
      </c>
      <c r="D281" s="2" t="str">
        <f t="shared" si="3"/>
        <v>Error?</v>
      </c>
    </row>
    <row r="282" spans="1:4" x14ac:dyDescent="0.2">
      <c r="A282" s="5">
        <v>221</v>
      </c>
      <c r="B282" s="138">
        <f>'Assets-Liab 5-6'!N21</f>
        <v>32669</v>
      </c>
      <c r="D282" s="2" t="str">
        <f t="shared" si="3"/>
        <v>Error?</v>
      </c>
    </row>
    <row r="283" spans="1:4" x14ac:dyDescent="0.2">
      <c r="A283" s="5">
        <v>222</v>
      </c>
      <c r="B283" s="138">
        <f>'Assets-Liab 5-6'!N22</f>
        <v>118308</v>
      </c>
      <c r="D283" s="2" t="str">
        <f t="shared" si="3"/>
        <v>Error?</v>
      </c>
    </row>
    <row r="284" spans="1:4" x14ac:dyDescent="0.2">
      <c r="A284" s="5">
        <v>223</v>
      </c>
      <c r="B284" s="138">
        <f>'Assets-Liab 5-6'!N23</f>
        <v>150977</v>
      </c>
      <c r="C284" s="2" t="s">
        <v>594</v>
      </c>
      <c r="D284" s="2" t="str">
        <f t="shared" si="3"/>
        <v>Error?</v>
      </c>
    </row>
    <row r="285" spans="1:4" x14ac:dyDescent="0.2">
      <c r="A285" s="5">
        <v>224</v>
      </c>
      <c r="B285" s="138">
        <f>'Assets-Liab 5-6'!N36</f>
        <v>150977</v>
      </c>
      <c r="D285" s="2" t="str">
        <f t="shared" si="3"/>
        <v>Error?</v>
      </c>
    </row>
    <row r="286" spans="1:4" x14ac:dyDescent="0.2">
      <c r="A286" s="10">
        <v>225</v>
      </c>
      <c r="D286" s="2" t="str">
        <f t="shared" si="3"/>
        <v>OK</v>
      </c>
    </row>
    <row r="287" spans="1:4" x14ac:dyDescent="0.2">
      <c r="A287" s="5">
        <v>226</v>
      </c>
      <c r="B287" s="138">
        <f>'Assets-Liab 5-6'!N37</f>
        <v>150977</v>
      </c>
      <c r="C287" s="2" t="s">
        <v>594</v>
      </c>
      <c r="D287" s="2" t="str">
        <f t="shared" si="3"/>
        <v>Error?</v>
      </c>
    </row>
    <row r="288" spans="1:4" x14ac:dyDescent="0.2">
      <c r="A288" s="5">
        <v>227</v>
      </c>
      <c r="B288" s="138">
        <f>'Assets-Liab 5-6'!N41</f>
        <v>150977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1279635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23236</v>
      </c>
      <c r="D717" s="2" t="str">
        <f t="shared" si="10"/>
        <v>Error?</v>
      </c>
    </row>
    <row r="718" spans="1:4" x14ac:dyDescent="0.2">
      <c r="A718" s="5">
        <v>657</v>
      </c>
      <c r="B718" s="138">
        <f>'Expenditures 15-22'!C14</f>
        <v>48100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2109511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76669</v>
      </c>
      <c r="D722" s="2" t="str">
        <f t="shared" si="10"/>
        <v>Error?</v>
      </c>
    </row>
    <row r="723" spans="1:4" x14ac:dyDescent="0.2">
      <c r="A723" s="5">
        <v>662</v>
      </c>
      <c r="B723" s="138">
        <f>'Expenditures 15-22'!C38</f>
        <v>36175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17118</v>
      </c>
      <c r="D725" s="2" t="str">
        <f t="shared" si="10"/>
        <v>Error?</v>
      </c>
    </row>
    <row r="726" spans="1:4" x14ac:dyDescent="0.2">
      <c r="A726" s="5">
        <v>665</v>
      </c>
      <c r="B726" s="138">
        <f>'Expenditures 15-22'!C41</f>
        <v>11355</v>
      </c>
      <c r="D726" s="2" t="str">
        <f t="shared" si="10"/>
        <v>Error?</v>
      </c>
    </row>
    <row r="727" spans="1:4" x14ac:dyDescent="0.2">
      <c r="A727" s="5">
        <v>666</v>
      </c>
      <c r="B727" s="138">
        <f>'Expenditures 15-22'!C42</f>
        <v>141317</v>
      </c>
      <c r="C727" s="2" t="s">
        <v>594</v>
      </c>
      <c r="D727" s="2" t="str">
        <f t="shared" si="10"/>
        <v>Error?</v>
      </c>
    </row>
    <row r="728" spans="1:4" x14ac:dyDescent="0.2">
      <c r="A728" s="5">
        <v>667</v>
      </c>
      <c r="B728" s="138">
        <f>'Expenditures 15-22'!C44</f>
        <v>40468</v>
      </c>
      <c r="D728" s="2" t="str">
        <f t="shared" si="10"/>
        <v>Error?</v>
      </c>
    </row>
    <row r="729" spans="1:4" x14ac:dyDescent="0.2">
      <c r="A729" s="5">
        <v>668</v>
      </c>
      <c r="B729" s="138">
        <f>'Expenditures 15-22'!C45</f>
        <v>37120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77588</v>
      </c>
      <c r="C731" s="2" t="s">
        <v>594</v>
      </c>
      <c r="D731" s="2" t="str">
        <f t="shared" si="10"/>
        <v>Error?</v>
      </c>
    </row>
    <row r="732" spans="1:4" x14ac:dyDescent="0.2">
      <c r="A732" s="5">
        <v>671</v>
      </c>
      <c r="B732" s="138">
        <f>'Expenditures 15-22'!C49</f>
        <v>4220</v>
      </c>
      <c r="D732" s="2" t="str">
        <f t="shared" si="10"/>
        <v>Error?</v>
      </c>
    </row>
    <row r="733" spans="1:4" x14ac:dyDescent="0.2">
      <c r="A733" s="5">
        <v>672</v>
      </c>
      <c r="B733" s="138">
        <f>'Expenditures 15-22'!C50</f>
        <v>186871</v>
      </c>
      <c r="D733" s="2" t="str">
        <f t="shared" si="10"/>
        <v>Error?</v>
      </c>
    </row>
    <row r="734" spans="1:4" x14ac:dyDescent="0.2">
      <c r="A734" s="5">
        <v>673</v>
      </c>
      <c r="B734" s="138">
        <f>'Expenditures 15-22'!C53</f>
        <v>191091</v>
      </c>
      <c r="C734" s="2" t="s">
        <v>594</v>
      </c>
      <c r="D734" s="2" t="str">
        <f t="shared" si="10"/>
        <v>Error?</v>
      </c>
    </row>
    <row r="735" spans="1:4" x14ac:dyDescent="0.2">
      <c r="A735" s="5">
        <v>674</v>
      </c>
      <c r="B735" s="138">
        <f>'Expenditures 15-22'!C55</f>
        <v>134230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134230</v>
      </c>
      <c r="C737" s="2" t="s">
        <v>594</v>
      </c>
      <c r="D737" s="2" t="str">
        <f t="shared" si="10"/>
        <v>Error?</v>
      </c>
    </row>
    <row r="738" spans="1:4" x14ac:dyDescent="0.2">
      <c r="A738" s="5">
        <v>677</v>
      </c>
      <c r="B738" s="138">
        <f>'Expenditures 15-22'!C59</f>
        <v>15457</v>
      </c>
      <c r="D738" s="2" t="str">
        <f t="shared" si="10"/>
        <v>Error?</v>
      </c>
    </row>
    <row r="739" spans="1:4" x14ac:dyDescent="0.2">
      <c r="A739" s="5">
        <v>678</v>
      </c>
      <c r="B739" s="138">
        <f>'Expenditures 15-22'!C60</f>
        <v>4611</v>
      </c>
      <c r="D739" s="2" t="str">
        <f t="shared" si="10"/>
        <v>Error?</v>
      </c>
    </row>
    <row r="740" spans="1:4" x14ac:dyDescent="0.2">
      <c r="A740" s="5">
        <v>679</v>
      </c>
      <c r="B740" s="138">
        <f>'Expenditures 15-22'!C61</f>
        <v>201648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99985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321701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10500</v>
      </c>
      <c r="D754" s="2" t="str">
        <f t="shared" si="10"/>
        <v>Error?</v>
      </c>
    </row>
    <row r="755" spans="1:4" x14ac:dyDescent="0.2">
      <c r="A755" s="5">
        <v>694</v>
      </c>
      <c r="B755" s="138">
        <f>'Expenditures 15-22'!C74</f>
        <v>876427</v>
      </c>
      <c r="C755" s="2" t="s">
        <v>594</v>
      </c>
      <c r="D755" s="2" t="str">
        <f t="shared" si="10"/>
        <v>Error?</v>
      </c>
    </row>
    <row r="756" spans="1:4" x14ac:dyDescent="0.2">
      <c r="A756" s="5">
        <v>695</v>
      </c>
      <c r="B756" s="138">
        <f>'Expenditures 15-22'!C75</f>
        <v>49941</v>
      </c>
      <c r="D756" s="2" t="str">
        <f t="shared" si="10"/>
        <v>Error?</v>
      </c>
    </row>
    <row r="757" spans="1:4" x14ac:dyDescent="0.2">
      <c r="A757" s="5">
        <v>696</v>
      </c>
      <c r="B757" s="138">
        <f>'Expenditures 15-22'!C114</f>
        <v>3035879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122180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956</v>
      </c>
      <c r="D775" s="2" t="str">
        <f t="shared" si="11"/>
        <v>Error?</v>
      </c>
    </row>
    <row r="776" spans="1:4" x14ac:dyDescent="0.2">
      <c r="A776" s="5">
        <v>715</v>
      </c>
      <c r="B776" s="138">
        <f>'Expenditures 15-22'!D14</f>
        <v>322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219754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13066</v>
      </c>
      <c r="D780" s="2" t="str">
        <f t="shared" si="11"/>
        <v>Error?</v>
      </c>
    </row>
    <row r="781" spans="1:4" x14ac:dyDescent="0.2">
      <c r="A781" s="5">
        <v>720</v>
      </c>
      <c r="B781" s="138">
        <f>'Expenditures 15-22'!D38</f>
        <v>9639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257</v>
      </c>
      <c r="D783" s="2" t="str">
        <f t="shared" si="11"/>
        <v>Error?</v>
      </c>
    </row>
    <row r="784" spans="1:4" x14ac:dyDescent="0.2">
      <c r="A784" s="5">
        <v>723</v>
      </c>
      <c r="B784" s="138">
        <f>'Expenditures 15-22'!D41</f>
        <v>4</v>
      </c>
      <c r="D784" s="2" t="str">
        <f t="shared" si="11"/>
        <v>Error?</v>
      </c>
    </row>
    <row r="785" spans="1:4" x14ac:dyDescent="0.2">
      <c r="A785" s="5">
        <v>724</v>
      </c>
      <c r="B785" s="138">
        <f>'Expenditures 15-22'!D42</f>
        <v>22966</v>
      </c>
      <c r="C785" s="2" t="s">
        <v>594</v>
      </c>
      <c r="D785" s="2" t="str">
        <f t="shared" si="11"/>
        <v>Error?</v>
      </c>
    </row>
    <row r="786" spans="1:4" x14ac:dyDescent="0.2">
      <c r="A786" s="5">
        <v>725</v>
      </c>
      <c r="B786" s="138">
        <f>'Expenditures 15-22'!D44</f>
        <v>2984</v>
      </c>
      <c r="D786" s="2" t="str">
        <f t="shared" si="11"/>
        <v>Error?</v>
      </c>
    </row>
    <row r="787" spans="1:4" x14ac:dyDescent="0.2">
      <c r="A787" s="5">
        <v>726</v>
      </c>
      <c r="B787" s="138">
        <f>'Expenditures 15-22'!D45</f>
        <v>7400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10384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23033</v>
      </c>
      <c r="D791" s="2" t="str">
        <f t="shared" si="11"/>
        <v>Error?</v>
      </c>
    </row>
    <row r="792" spans="1:4" x14ac:dyDescent="0.2">
      <c r="A792" s="5">
        <v>731</v>
      </c>
      <c r="B792" s="138">
        <f>'Expenditures 15-22'!D53</f>
        <v>23033</v>
      </c>
      <c r="C792" s="2" t="s">
        <v>594</v>
      </c>
      <c r="D792" s="2" t="str">
        <f t="shared" si="11"/>
        <v>Error?</v>
      </c>
    </row>
    <row r="793" spans="1:4" x14ac:dyDescent="0.2">
      <c r="A793" s="5">
        <v>732</v>
      </c>
      <c r="B793" s="138">
        <f>'Expenditures 15-22'!D55</f>
        <v>11440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11440</v>
      </c>
      <c r="C795" s="2" t="s">
        <v>594</v>
      </c>
      <c r="D795" s="2" t="str">
        <f t="shared" si="11"/>
        <v>Error?</v>
      </c>
    </row>
    <row r="796" spans="1:4" x14ac:dyDescent="0.2">
      <c r="A796" s="5">
        <v>735</v>
      </c>
      <c r="B796" s="138">
        <f>'Expenditures 15-22'!D59</f>
        <v>22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27863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27959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462</v>
      </c>
      <c r="D812" s="2" t="str">
        <f t="shared" si="11"/>
        <v>Error?</v>
      </c>
    </row>
    <row r="813" spans="1:4" x14ac:dyDescent="0.2">
      <c r="A813" s="5">
        <v>752</v>
      </c>
      <c r="B813" s="138">
        <f>'Expenditures 15-22'!D74</f>
        <v>96244</v>
      </c>
      <c r="C813" s="2" t="s">
        <v>594</v>
      </c>
      <c r="D813" s="2" t="str">
        <f t="shared" si="11"/>
        <v>Error?</v>
      </c>
    </row>
    <row r="814" spans="1:4" x14ac:dyDescent="0.2">
      <c r="A814" s="5">
        <v>753</v>
      </c>
      <c r="B814" s="138">
        <f>'Expenditures 15-22'!D75</f>
        <v>8801</v>
      </c>
      <c r="D814" s="2" t="str">
        <f t="shared" si="11"/>
        <v>Error?</v>
      </c>
    </row>
    <row r="815" spans="1:4" x14ac:dyDescent="0.2">
      <c r="A815" s="5">
        <v>754</v>
      </c>
      <c r="B815" s="138">
        <f>'Expenditures 15-22'!D114</f>
        <v>324799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41526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v>
      </c>
      <c r="D833" s="2" t="str">
        <f t="shared" si="12"/>
        <v>Error?</v>
      </c>
    </row>
    <row r="834" spans="1:4" x14ac:dyDescent="0.2">
      <c r="A834" s="5">
        <v>773</v>
      </c>
      <c r="B834" s="138">
        <f>'Expenditures 15-22'!E14</f>
        <v>16645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70923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126</v>
      </c>
      <c r="C843" s="2" t="s">
        <v>594</v>
      </c>
      <c r="D843" s="2" t="str">
        <f t="shared" si="12"/>
        <v>Error?</v>
      </c>
    </row>
    <row r="844" spans="1:4" x14ac:dyDescent="0.2">
      <c r="A844" s="5">
        <v>783</v>
      </c>
      <c r="B844" s="138">
        <f>'Expenditures 15-22'!E44</f>
        <v>29768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29768</v>
      </c>
      <c r="C847" s="2" t="s">
        <v>594</v>
      </c>
      <c r="D847" s="2" t="str">
        <f t="shared" si="12"/>
        <v>Error?</v>
      </c>
    </row>
    <row r="848" spans="1:4" x14ac:dyDescent="0.2">
      <c r="A848" s="5">
        <v>787</v>
      </c>
      <c r="B848" s="138">
        <f>'Expenditures 15-22'!E49</f>
        <v>56919</v>
      </c>
      <c r="D848" s="2" t="str">
        <f t="shared" si="12"/>
        <v>Error?</v>
      </c>
    </row>
    <row r="849" spans="1:4" x14ac:dyDescent="0.2">
      <c r="A849" s="5">
        <v>788</v>
      </c>
      <c r="B849" s="138">
        <f>'Expenditures 15-22'!E50</f>
        <v>33177</v>
      </c>
      <c r="D849" s="2" t="str">
        <f t="shared" si="12"/>
        <v>Error?</v>
      </c>
    </row>
    <row r="850" spans="1:4" x14ac:dyDescent="0.2">
      <c r="A850" s="5">
        <v>789</v>
      </c>
      <c r="B850" s="138">
        <f>'Expenditures 15-22'!E53</f>
        <v>90096</v>
      </c>
      <c r="C850" s="2" t="s">
        <v>594</v>
      </c>
      <c r="D850" s="2" t="str">
        <f t="shared" si="12"/>
        <v>Error?</v>
      </c>
    </row>
    <row r="851" spans="1:4" x14ac:dyDescent="0.2">
      <c r="A851" s="5">
        <v>790</v>
      </c>
      <c r="B851" s="138">
        <f>'Expenditures 15-22'!E55</f>
        <v>3600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3600</v>
      </c>
      <c r="C853" s="2" t="s">
        <v>594</v>
      </c>
      <c r="D853" s="2" t="str">
        <f t="shared" si="12"/>
        <v>Error?</v>
      </c>
    </row>
    <row r="854" spans="1:4" x14ac:dyDescent="0.2">
      <c r="A854" s="5">
        <v>793</v>
      </c>
      <c r="B854" s="138">
        <f>'Expenditures 15-22'!E59</f>
        <v>110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14307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16506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140596</v>
      </c>
      <c r="C871" s="2" t="s">
        <v>594</v>
      </c>
      <c r="D871" s="2" t="str">
        <f t="shared" si="12"/>
        <v>Error?</v>
      </c>
    </row>
    <row r="872" spans="1:4" x14ac:dyDescent="0.2">
      <c r="A872" s="5">
        <v>811</v>
      </c>
      <c r="B872" s="138">
        <f>'Expenditures 15-22'!E75</f>
        <v>3371</v>
      </c>
      <c r="D872" s="2" t="str">
        <f t="shared" si="12"/>
        <v>Error?</v>
      </c>
    </row>
    <row r="873" spans="1:4" x14ac:dyDescent="0.2">
      <c r="A873" s="5">
        <v>812</v>
      </c>
      <c r="B873" s="138">
        <f>'Expenditures 15-22'!E114</f>
        <v>238890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115136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5332</v>
      </c>
      <c r="D891" s="2" t="str">
        <f t="shared" si="12"/>
        <v>Error?</v>
      </c>
    </row>
    <row r="892" spans="1:4" x14ac:dyDescent="0.2">
      <c r="A892" s="5">
        <v>831</v>
      </c>
      <c r="B892" s="138">
        <f>'Expenditures 15-22'!F14</f>
        <v>11743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212376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1474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1007</v>
      </c>
      <c r="C905" s="2" t="s">
        <v>594</v>
      </c>
      <c r="D905" s="2" t="str">
        <f t="shared" si="13"/>
        <v>Error?</v>
      </c>
    </row>
    <row r="906" spans="1:4" x14ac:dyDescent="0.2">
      <c r="A906" s="5">
        <v>845</v>
      </c>
      <c r="B906" s="138">
        <f>'Expenditures 15-22'!F49</f>
        <v>4129</v>
      </c>
      <c r="D906" s="2" t="str">
        <f t="shared" si="13"/>
        <v>Error?</v>
      </c>
    </row>
    <row r="907" spans="1:4" x14ac:dyDescent="0.2">
      <c r="A907" s="5">
        <v>846</v>
      </c>
      <c r="B907" s="138">
        <f>'Expenditures 15-22'!F50</f>
        <v>23846</v>
      </c>
      <c r="D907" s="2" t="str">
        <f t="shared" si="13"/>
        <v>Error?</v>
      </c>
    </row>
    <row r="908" spans="1:4" x14ac:dyDescent="0.2">
      <c r="A908" s="5">
        <v>847</v>
      </c>
      <c r="B908" s="138">
        <f>'Expenditures 15-22'!F53</f>
        <v>27975</v>
      </c>
      <c r="C908" s="2" t="s">
        <v>594</v>
      </c>
      <c r="D908" s="2" t="str">
        <f t="shared" si="13"/>
        <v>Error?</v>
      </c>
    </row>
    <row r="909" spans="1:4" x14ac:dyDescent="0.2">
      <c r="A909" s="5">
        <v>848</v>
      </c>
      <c r="B909" s="138">
        <f>'Expenditures 15-22'!F55</f>
        <v>3435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3435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178661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158444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337105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370996</v>
      </c>
      <c r="C929" s="2" t="s">
        <v>594</v>
      </c>
      <c r="D929" s="2" t="str">
        <f t="shared" si="13"/>
        <v>Error?</v>
      </c>
    </row>
    <row r="930" spans="1:4" x14ac:dyDescent="0.2">
      <c r="A930" s="5">
        <v>869</v>
      </c>
      <c r="B930" s="138">
        <f>'Expenditures 15-22'!F75</f>
        <v>8298</v>
      </c>
      <c r="D930" s="2" t="str">
        <f t="shared" si="13"/>
        <v>Error?</v>
      </c>
    </row>
    <row r="931" spans="1:4" x14ac:dyDescent="0.2">
      <c r="A931" s="5">
        <v>870</v>
      </c>
      <c r="B931" s="138">
        <f>'Expenditures 15-22'!F114</f>
        <v>591670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78144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3748</v>
      </c>
      <c r="D949" s="2" t="str">
        <f t="shared" si="13"/>
        <v>Error?</v>
      </c>
    </row>
    <row r="950" spans="1:4" x14ac:dyDescent="0.2">
      <c r="A950" s="5">
        <v>889</v>
      </c>
      <c r="B950" s="138">
        <f>'Expenditures 15-22'!G14</f>
        <v>9088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95629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28551</v>
      </c>
      <c r="D965" s="2" t="str">
        <f t="shared" si="14"/>
        <v>Error?</v>
      </c>
    </row>
    <row r="966" spans="1:4" x14ac:dyDescent="0.2">
      <c r="A966" s="5">
        <v>905</v>
      </c>
      <c r="B966" s="138">
        <f>'Expenditures 15-22'!G53</f>
        <v>28551</v>
      </c>
      <c r="C966" s="2" t="s">
        <v>594</v>
      </c>
      <c r="D966" s="2" t="str">
        <f t="shared" si="14"/>
        <v>Error?</v>
      </c>
    </row>
    <row r="967" spans="1:4" x14ac:dyDescent="0.2">
      <c r="A967" s="5">
        <v>906</v>
      </c>
      <c r="B967" s="138">
        <f>'Expenditures 15-22'!G55</f>
        <v>1029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1029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50837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50837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80417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176046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2449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13762</v>
      </c>
      <c r="D1022" s="2" t="str">
        <f t="shared" si="14"/>
        <v>Error?</v>
      </c>
    </row>
    <row r="1023" spans="1:4" x14ac:dyDescent="0.2">
      <c r="A1023" s="5">
        <v>962</v>
      </c>
      <c r="B1023" s="138">
        <f>'Expenditures 15-22'!H50</f>
        <v>2541</v>
      </c>
      <c r="D1023" s="2" t="str">
        <f t="shared" ref="D1023:D1086" si="15">IF(ISBLANK(B1023),"OK",IF(A1023-B1023=0,"OK","Error?"))</f>
        <v>Error?</v>
      </c>
    </row>
    <row r="1024" spans="1:4" x14ac:dyDescent="0.2">
      <c r="A1024" s="5">
        <v>963</v>
      </c>
      <c r="B1024" s="138">
        <f>'Expenditures 15-22'!H53</f>
        <v>16303</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16688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167397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188931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1639018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33772</v>
      </c>
      <c r="C1105" s="2" t="s">
        <v>594</v>
      </c>
      <c r="D1105" s="2" t="str">
        <f t="shared" si="16"/>
        <v>Error?</v>
      </c>
    </row>
    <row r="1106" spans="1:4" x14ac:dyDescent="0.2">
      <c r="A1106" s="5">
        <v>1045</v>
      </c>
      <c r="B1106" s="138">
        <f>'Expenditures 15-22'!K14</f>
        <v>88347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2713039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89735</v>
      </c>
      <c r="C1110" s="2" t="s">
        <v>594</v>
      </c>
      <c r="D1110" s="2" t="str">
        <f t="shared" si="16"/>
        <v>Error?</v>
      </c>
    </row>
    <row r="1111" spans="1:4" x14ac:dyDescent="0.2">
      <c r="A1111" s="5">
        <v>1050</v>
      </c>
      <c r="B1111" s="138">
        <f>'Expenditures 15-22'!K38</f>
        <v>47356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17433</v>
      </c>
      <c r="C1113" s="2" t="s">
        <v>594</v>
      </c>
      <c r="D1113" s="2" t="str">
        <f t="shared" si="16"/>
        <v>Error?</v>
      </c>
    </row>
    <row r="1114" spans="1:4" x14ac:dyDescent="0.2">
      <c r="A1114" s="5">
        <v>1053</v>
      </c>
      <c r="B1114" s="138">
        <f>'Expenditures 15-22'!K41</f>
        <v>11359</v>
      </c>
      <c r="C1114" s="2" t="s">
        <v>594</v>
      </c>
      <c r="D1114" s="2" t="str">
        <f t="shared" si="16"/>
        <v>Error?</v>
      </c>
    </row>
    <row r="1115" spans="1:4" x14ac:dyDescent="0.2">
      <c r="A1115" s="5">
        <v>1054</v>
      </c>
      <c r="B1115" s="138">
        <f>'Expenditures 15-22'!K42</f>
        <v>165883</v>
      </c>
      <c r="C1115" s="2" t="s">
        <v>594</v>
      </c>
      <c r="D1115" s="2" t="str">
        <f t="shared" si="16"/>
        <v>Error?</v>
      </c>
    </row>
    <row r="1116" spans="1:4" x14ac:dyDescent="0.2">
      <c r="A1116" s="5">
        <v>1055</v>
      </c>
      <c r="B1116" s="138">
        <f>'Expenditures 15-22'!K44</f>
        <v>73220</v>
      </c>
      <c r="C1116" s="2" t="s">
        <v>594</v>
      </c>
      <c r="D1116" s="2" t="str">
        <f t="shared" si="16"/>
        <v>Error?</v>
      </c>
    </row>
    <row r="1117" spans="1:4" x14ac:dyDescent="0.2">
      <c r="A1117" s="5">
        <v>1056</v>
      </c>
      <c r="B1117" s="138">
        <f>'Expenditures 15-22'!K45</f>
        <v>45527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118747</v>
      </c>
      <c r="C1119" s="2" t="s">
        <v>594</v>
      </c>
      <c r="D1119" s="2" t="str">
        <f t="shared" si="16"/>
        <v>Error?</v>
      </c>
    </row>
    <row r="1120" spans="1:4" x14ac:dyDescent="0.2">
      <c r="A1120" s="5">
        <v>1059</v>
      </c>
      <c r="B1120" s="138">
        <f>'Expenditures 15-22'!K49</f>
        <v>79030</v>
      </c>
      <c r="C1120" s="2" t="s">
        <v>594</v>
      </c>
      <c r="D1120" s="2" t="str">
        <f t="shared" si="16"/>
        <v>Error?</v>
      </c>
    </row>
    <row r="1121" spans="1:4" x14ac:dyDescent="0.2">
      <c r="A1121" s="5">
        <v>1060</v>
      </c>
      <c r="B1121" s="138">
        <f>'Expenditures 15-22'!K50</f>
        <v>298019</v>
      </c>
      <c r="C1121" s="2" t="s">
        <v>594</v>
      </c>
      <c r="D1121" s="2" t="str">
        <f t="shared" si="16"/>
        <v>Error?</v>
      </c>
    </row>
    <row r="1122" spans="1:4" x14ac:dyDescent="0.2">
      <c r="A1122" s="5">
        <v>1061</v>
      </c>
      <c r="B1122" s="138">
        <f>'Expenditures 15-22'!K53</f>
        <v>377049</v>
      </c>
      <c r="C1122" s="2" t="s">
        <v>594</v>
      </c>
      <c r="D1122" s="2" t="str">
        <f t="shared" si="16"/>
        <v>Error?</v>
      </c>
    </row>
    <row r="1123" spans="1:4" x14ac:dyDescent="0.2">
      <c r="A1123" s="5">
        <v>1062</v>
      </c>
      <c r="B1123" s="138">
        <f>'Expenditures 15-22'!K55</f>
        <v>154119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154119</v>
      </c>
      <c r="C1125" s="2" t="s">
        <v>594</v>
      </c>
      <c r="D1125" s="2" t="str">
        <f t="shared" si="16"/>
        <v>Error?</v>
      </c>
    </row>
    <row r="1126" spans="1:4" x14ac:dyDescent="0.2">
      <c r="A1126" s="5">
        <v>1065</v>
      </c>
      <c r="B1126" s="138">
        <f>'Expenditures 15-22'!K59</f>
        <v>15589</v>
      </c>
      <c r="C1126" s="2" t="s">
        <v>594</v>
      </c>
      <c r="D1126" s="2" t="str">
        <f t="shared" si="16"/>
        <v>Error?</v>
      </c>
    </row>
    <row r="1127" spans="1:4" x14ac:dyDescent="0.2">
      <c r="A1127" s="5">
        <v>1066</v>
      </c>
      <c r="B1127" s="138">
        <f>'Expenditures 15-22'!K60</f>
        <v>4611</v>
      </c>
      <c r="C1127" s="2" t="s">
        <v>594</v>
      </c>
      <c r="D1127" s="2" t="str">
        <f t="shared" si="16"/>
        <v>Error?</v>
      </c>
    </row>
    <row r="1128" spans="1:4" x14ac:dyDescent="0.2">
      <c r="A1128" s="5">
        <v>1067</v>
      </c>
      <c r="B1128" s="138">
        <f>'Expenditures 15-22'!K61</f>
        <v>473316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260592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754108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500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500</v>
      </c>
      <c r="C1141" s="2" t="s">
        <v>594</v>
      </c>
      <c r="D1141" s="2" t="str">
        <f t="shared" si="16"/>
        <v>Error?</v>
      </c>
    </row>
    <row r="1142" spans="1:4" x14ac:dyDescent="0.2">
      <c r="A1142" s="5">
        <v>1081</v>
      </c>
      <c r="B1142" s="138">
        <f>'Expenditures 15-22'!K73</f>
        <v>10962</v>
      </c>
      <c r="C1142" s="2" t="s">
        <v>594</v>
      </c>
      <c r="D1142" s="2" t="str">
        <f t="shared" si="16"/>
        <v>Error?</v>
      </c>
    </row>
    <row r="1143" spans="1:4" x14ac:dyDescent="0.2">
      <c r="A1143" s="5">
        <v>1082</v>
      </c>
      <c r="B1143" s="138">
        <f>'Expenditures 15-22'!K74</f>
        <v>1581368</v>
      </c>
      <c r="C1143" s="2" t="s">
        <v>594</v>
      </c>
      <c r="D1143" s="2" t="str">
        <f t="shared" si="16"/>
        <v>Error?</v>
      </c>
    </row>
    <row r="1144" spans="1:4" x14ac:dyDescent="0.2">
      <c r="A1144" s="5">
        <v>1083</v>
      </c>
      <c r="B1144" s="138">
        <f>'Expenditures 15-22'!K75</f>
        <v>70411</v>
      </c>
      <c r="C1144" s="2" t="s">
        <v>594</v>
      </c>
      <c r="D1144" s="2" t="str">
        <f t="shared" si="16"/>
        <v>Error?</v>
      </c>
    </row>
    <row r="1145" spans="1:4" x14ac:dyDescent="0.2">
      <c r="A1145" s="5">
        <v>1084</v>
      </c>
      <c r="B1145" s="138">
        <f>'Expenditures 15-22'!K102</f>
        <v>191397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4556215</v>
      </c>
      <c r="C1152" s="2" t="s">
        <v>594</v>
      </c>
      <c r="D1152" s="2" t="str">
        <f t="shared" si="17"/>
        <v>Error?</v>
      </c>
    </row>
    <row r="1153" spans="1:4" x14ac:dyDescent="0.2">
      <c r="A1153" s="5">
        <v>1092</v>
      </c>
      <c r="B1153" s="138">
        <f>'Expenditures 15-22'!K115</f>
        <v>299295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79074</v>
      </c>
      <c r="D1237" s="2" t="str">
        <f t="shared" si="18"/>
        <v>Error?</v>
      </c>
    </row>
    <row r="1238" spans="1:4" x14ac:dyDescent="0.2">
      <c r="A1238" s="10">
        <v>1177</v>
      </c>
      <c r="D1238" s="2" t="str">
        <f t="shared" si="18"/>
        <v>OK</v>
      </c>
    </row>
    <row r="1239" spans="1:4" x14ac:dyDescent="0.2">
      <c r="A1239" s="5">
        <v>1178</v>
      </c>
      <c r="B1239" s="138">
        <f>'Expenditures 15-22'!E127</f>
        <v>79074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79074</v>
      </c>
      <c r="C1241" s="2" t="s">
        <v>594</v>
      </c>
      <c r="D1241" s="2" t="str">
        <f t="shared" si="18"/>
        <v>Error?</v>
      </c>
    </row>
    <row r="1242" spans="1:4" x14ac:dyDescent="0.2">
      <c r="A1242" s="5">
        <v>1181</v>
      </c>
      <c r="B1242" s="138">
        <f>'Expenditures 15-22'!E151</f>
        <v>79074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3716</v>
      </c>
      <c r="D1245" s="2" t="str">
        <f t="shared" si="18"/>
        <v>Error?</v>
      </c>
    </row>
    <row r="1246" spans="1:4" x14ac:dyDescent="0.2">
      <c r="A1246" s="10">
        <v>1185</v>
      </c>
      <c r="D1246" s="2" t="str">
        <f t="shared" si="18"/>
        <v>OK</v>
      </c>
    </row>
    <row r="1247" spans="1:4" x14ac:dyDescent="0.2">
      <c r="A1247" s="5">
        <v>1186</v>
      </c>
      <c r="B1247" s="138">
        <f>'Expenditures 15-22'!F127</f>
        <v>3716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3716</v>
      </c>
      <c r="C1249" s="2" t="s">
        <v>594</v>
      </c>
      <c r="D1249" s="2" t="str">
        <f t="shared" si="18"/>
        <v>Error?</v>
      </c>
    </row>
    <row r="1250" spans="1:4" x14ac:dyDescent="0.2">
      <c r="A1250" s="5">
        <v>1189</v>
      </c>
      <c r="B1250" s="138">
        <f>'Expenditures 15-22'!F151</f>
        <v>3716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27873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27873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27873</v>
      </c>
      <c r="C1258" s="2" t="s">
        <v>594</v>
      </c>
      <c r="D1258" s="2" t="str">
        <f t="shared" si="18"/>
        <v>Error?</v>
      </c>
    </row>
    <row r="1259" spans="1:4" x14ac:dyDescent="0.2">
      <c r="A1259" s="5">
        <v>1198</v>
      </c>
      <c r="B1259" s="138">
        <f>'Expenditures 15-22'!G151</f>
        <v>27873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110663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110663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110663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110663</v>
      </c>
      <c r="C1288" s="2" t="s">
        <v>594</v>
      </c>
      <c r="D1288" s="2" t="str">
        <f t="shared" si="19"/>
        <v>Error?</v>
      </c>
    </row>
    <row r="1289" spans="1:4" x14ac:dyDescent="0.2">
      <c r="A1289" s="5">
        <v>1228</v>
      </c>
      <c r="B1289" s="138">
        <f>'Expenditures 15-22'!K152</f>
        <v>51729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24970</v>
      </c>
      <c r="C1317" s="2" t="s">
        <v>594</v>
      </c>
      <c r="D1317" s="2" t="str">
        <f t="shared" si="19"/>
        <v>Error?</v>
      </c>
    </row>
    <row r="1318" spans="1:4" x14ac:dyDescent="0.2">
      <c r="A1318" s="5">
        <v>1257</v>
      </c>
      <c r="B1318" s="138">
        <f>'Expenditures 15-22'!H174</f>
        <v>24970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6970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24970</v>
      </c>
      <c r="C1331" s="2" t="s">
        <v>594</v>
      </c>
      <c r="D1331" s="2" t="str">
        <f t="shared" si="19"/>
        <v>Error?</v>
      </c>
    </row>
    <row r="1332" spans="1:4" x14ac:dyDescent="0.2">
      <c r="A1332" s="5">
        <v>1271</v>
      </c>
      <c r="B1332" s="138">
        <f>'Expenditures 15-22'!K174</f>
        <v>24970</v>
      </c>
      <c r="C1332" s="2" t="s">
        <v>594</v>
      </c>
      <c r="D1332" s="2" t="str">
        <f t="shared" si="19"/>
        <v>Error?</v>
      </c>
    </row>
    <row r="1333" spans="1:4" x14ac:dyDescent="0.2">
      <c r="A1333" s="5">
        <v>1272</v>
      </c>
      <c r="B1333" s="138">
        <f>'Expenditures 15-22'!K175</f>
        <v>-24860</v>
      </c>
      <c r="C1333" s="2" t="s">
        <v>594</v>
      </c>
      <c r="D1333" s="2" t="str">
        <f t="shared" si="19"/>
        <v>Error?</v>
      </c>
    </row>
    <row r="1334" spans="1:4" x14ac:dyDescent="0.2">
      <c r="A1334" s="10">
        <v>1273</v>
      </c>
      <c r="D1334" s="2" t="str">
        <f t="shared" si="19"/>
        <v>OK</v>
      </c>
    </row>
    <row r="1335" spans="1:4" x14ac:dyDescent="0.2">
      <c r="A1335" s="5">
        <v>1274</v>
      </c>
      <c r="B1335" s="138">
        <f>'Expenditures 15-22'!C182</f>
        <v>8345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8345</v>
      </c>
      <c r="C1339" s="2" t="s">
        <v>594</v>
      </c>
      <c r="D1339" s="2" t="str">
        <f t="shared" si="19"/>
        <v>Error?</v>
      </c>
    </row>
    <row r="1340" spans="1:4" x14ac:dyDescent="0.2">
      <c r="A1340" s="5">
        <v>1279</v>
      </c>
      <c r="B1340" s="138">
        <f>'Expenditures 15-22'!C210</f>
        <v>8345</v>
      </c>
      <c r="C1340" s="2" t="s">
        <v>594</v>
      </c>
      <c r="D1340" s="2" t="str">
        <f t="shared" si="19"/>
        <v>Error?</v>
      </c>
    </row>
    <row r="1341" spans="1:4" x14ac:dyDescent="0.2">
      <c r="A1341" s="5">
        <v>1280</v>
      </c>
      <c r="B1341" s="138">
        <f>'Expenditures 15-22'!D182</f>
        <v>122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122</v>
      </c>
      <c r="C1345" s="2" t="s">
        <v>594</v>
      </c>
      <c r="D1345" s="2" t="str">
        <f t="shared" si="20"/>
        <v>Error?</v>
      </c>
    </row>
    <row r="1346" spans="1:4" x14ac:dyDescent="0.2">
      <c r="A1346" s="5">
        <v>1285</v>
      </c>
      <c r="B1346" s="138">
        <f>'Expenditures 15-22'!D210</f>
        <v>122</v>
      </c>
      <c r="C1346" s="2" t="s">
        <v>594</v>
      </c>
      <c r="D1346" s="2" t="str">
        <f t="shared" si="20"/>
        <v>Error?</v>
      </c>
    </row>
    <row r="1347" spans="1:4" x14ac:dyDescent="0.2">
      <c r="A1347" s="5">
        <v>1286</v>
      </c>
      <c r="B1347" s="138">
        <f>'Expenditures 15-22'!E182</f>
        <v>252670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252670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252670</v>
      </c>
      <c r="C1353" s="2" t="s">
        <v>594</v>
      </c>
      <c r="D1353" s="2" t="str">
        <f t="shared" si="20"/>
        <v>Error?</v>
      </c>
    </row>
    <row r="1354" spans="1:4" x14ac:dyDescent="0.2">
      <c r="A1354" s="5">
        <v>1293</v>
      </c>
      <c r="B1354" s="138">
        <f>'Expenditures 15-22'!F182</f>
        <v>3010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3010</v>
      </c>
      <c r="C1358" s="2" t="s">
        <v>594</v>
      </c>
      <c r="D1358" s="2" t="str">
        <f t="shared" si="20"/>
        <v>Error?</v>
      </c>
    </row>
    <row r="1359" spans="1:4" x14ac:dyDescent="0.2">
      <c r="A1359" s="5">
        <v>1298</v>
      </c>
      <c r="B1359" s="138">
        <f>'Expenditures 15-22'!F210</f>
        <v>3010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264147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264147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264147</v>
      </c>
      <c r="C1388" s="2" t="s">
        <v>594</v>
      </c>
      <c r="D1388" s="2" t="str">
        <f t="shared" si="20"/>
        <v>Error?</v>
      </c>
    </row>
    <row r="1389" spans="1:4" x14ac:dyDescent="0.2">
      <c r="A1389" s="5">
        <v>1328</v>
      </c>
      <c r="B1389" s="138">
        <f>'Expenditures 15-22'!K211</f>
        <v>64849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v>
      </c>
      <c r="D1407" s="2" t="str">
        <f t="shared" ref="D1407:D1470" si="21">IF(ISBLANK(B1407),"OK",IF(A1407-B1407=0,"OK","Error?"))</f>
        <v>Error?</v>
      </c>
    </row>
    <row r="1408" spans="1:4" x14ac:dyDescent="0.2">
      <c r="A1408" s="5">
        <v>1347</v>
      </c>
      <c r="B1408" s="138">
        <f>'Expenditures 15-22'!D223</f>
        <v>3216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45683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4288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248</v>
      </c>
      <c r="D1415" s="2" t="str">
        <f t="shared" si="21"/>
        <v>Error?</v>
      </c>
    </row>
    <row r="1416" spans="1:4" x14ac:dyDescent="0.2">
      <c r="A1416" s="5">
        <v>1355</v>
      </c>
      <c r="B1416" s="138">
        <f>'Expenditures 15-22'!D237</f>
        <v>1642</v>
      </c>
      <c r="D1416" s="2" t="str">
        <f t="shared" si="21"/>
        <v>Error?</v>
      </c>
    </row>
    <row r="1417" spans="1:4" x14ac:dyDescent="0.2">
      <c r="A1417" s="5">
        <v>1356</v>
      </c>
      <c r="B1417" s="138">
        <f>'Expenditures 15-22'!D238</f>
        <v>6178</v>
      </c>
      <c r="C1417" s="2" t="s">
        <v>594</v>
      </c>
      <c r="D1417" s="2" t="str">
        <f t="shared" si="21"/>
        <v>Error?</v>
      </c>
    </row>
    <row r="1418" spans="1:4" x14ac:dyDescent="0.2">
      <c r="A1418" s="5">
        <v>1357</v>
      </c>
      <c r="B1418" s="138">
        <f>'Expenditures 15-22'!D240</f>
        <v>106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v>
      </c>
      <c r="C1421" s="2" t="s">
        <v>594</v>
      </c>
      <c r="D1421" s="2" t="str">
        <f t="shared" si="21"/>
        <v>Error?</v>
      </c>
    </row>
    <row r="1422" spans="1:4" x14ac:dyDescent="0.2">
      <c r="A1422" s="5">
        <v>1361</v>
      </c>
      <c r="B1422" s="138">
        <f>'Expenditures 15-22'!D245</f>
        <v>616</v>
      </c>
      <c r="D1422" s="2" t="str">
        <f t="shared" si="21"/>
        <v>Error?</v>
      </c>
    </row>
    <row r="1423" spans="1:4" x14ac:dyDescent="0.2">
      <c r="A1423" s="5">
        <v>1362</v>
      </c>
      <c r="B1423" s="138">
        <f>'Expenditures 15-22'!D246</f>
        <v>6659</v>
      </c>
      <c r="D1423" s="2" t="str">
        <f t="shared" si="21"/>
        <v>Error?</v>
      </c>
    </row>
    <row r="1424" spans="1:4" x14ac:dyDescent="0.2">
      <c r="A1424" s="5">
        <v>1363</v>
      </c>
      <c r="B1424" s="138">
        <f>'Expenditures 15-22'!D257</f>
        <v>7275</v>
      </c>
      <c r="C1424" s="2" t="s">
        <v>594</v>
      </c>
      <c r="D1424" s="2" t="str">
        <f t="shared" si="21"/>
        <v>Error?</v>
      </c>
    </row>
    <row r="1425" spans="1:4" x14ac:dyDescent="0.2">
      <c r="A1425" s="5">
        <v>1364</v>
      </c>
      <c r="B1425" s="138">
        <f>'Expenditures 15-22'!D259</f>
        <v>6165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6165</v>
      </c>
      <c r="C1427" s="2" t="s">
        <v>594</v>
      </c>
      <c r="D1427" s="2" t="str">
        <f t="shared" si="21"/>
        <v>Error?</v>
      </c>
    </row>
    <row r="1428" spans="1:4" x14ac:dyDescent="0.2">
      <c r="A1428" s="5">
        <v>1367</v>
      </c>
      <c r="B1428" s="138">
        <f>'Expenditures 15-22'!D263</f>
        <v>2255</v>
      </c>
      <c r="D1428" s="2" t="str">
        <f t="shared" si="21"/>
        <v>Error?</v>
      </c>
    </row>
    <row r="1429" spans="1:4" x14ac:dyDescent="0.2">
      <c r="A1429" s="5">
        <v>1368</v>
      </c>
      <c r="B1429" s="138">
        <f>'Expenditures 15-22'!D264</f>
        <v>672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26918</v>
      </c>
      <c r="D1431" s="2" t="str">
        <f t="shared" si="21"/>
        <v>Error?</v>
      </c>
    </row>
    <row r="1432" spans="1:4" x14ac:dyDescent="0.2">
      <c r="A1432" s="5">
        <v>1371</v>
      </c>
      <c r="B1432" s="138">
        <f>'Expenditures 15-22'!D267</f>
        <v>121</v>
      </c>
      <c r="D1432" s="2" t="str">
        <f t="shared" si="21"/>
        <v>Error?</v>
      </c>
    </row>
    <row r="1433" spans="1:4" x14ac:dyDescent="0.2">
      <c r="A1433" s="5">
        <v>1372</v>
      </c>
      <c r="B1433" s="138">
        <f>'Expenditures 15-22'!D268</f>
        <v>14180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44146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466</v>
      </c>
      <c r="D1445" s="2" t="str">
        <f t="shared" si="21"/>
        <v>Error?</v>
      </c>
    </row>
    <row r="1446" spans="1:4" x14ac:dyDescent="0.2">
      <c r="A1446" s="5">
        <v>1385</v>
      </c>
      <c r="B1446" s="138">
        <f>'Expenditures 15-22'!D279</f>
        <v>64336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110019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v>
      </c>
      <c r="C1471" s="2" t="s">
        <v>594</v>
      </c>
      <c r="D1471" s="2" t="str">
        <f t="shared" ref="D1471:D1534" si="22">IF(ISBLANK(B1471),"OK",IF(A1471-B1471=0,"OK","Error?"))</f>
        <v>Error?</v>
      </c>
    </row>
    <row r="1472" spans="1:4" x14ac:dyDescent="0.2">
      <c r="A1472" s="5">
        <v>1411</v>
      </c>
      <c r="B1472" s="138">
        <f>'Expenditures 15-22'!K223</f>
        <v>3216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45683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4288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248</v>
      </c>
      <c r="C1479" s="2" t="s">
        <v>594</v>
      </c>
      <c r="D1479" s="2" t="str">
        <f t="shared" si="22"/>
        <v>Error?</v>
      </c>
    </row>
    <row r="1480" spans="1:4" x14ac:dyDescent="0.2">
      <c r="A1480" s="5">
        <v>1419</v>
      </c>
      <c r="B1480" s="138">
        <f>'Expenditures 15-22'!K237</f>
        <v>1642</v>
      </c>
      <c r="C1480" s="2" t="s">
        <v>594</v>
      </c>
      <c r="D1480" s="2" t="str">
        <f t="shared" si="22"/>
        <v>Error?</v>
      </c>
    </row>
    <row r="1481" spans="1:4" x14ac:dyDescent="0.2">
      <c r="A1481" s="5">
        <v>1420</v>
      </c>
      <c r="B1481" s="138">
        <f>'Expenditures 15-22'!K238</f>
        <v>6178</v>
      </c>
      <c r="C1481" s="2" t="s">
        <v>594</v>
      </c>
      <c r="D1481" s="2" t="str">
        <f t="shared" si="22"/>
        <v>Error?</v>
      </c>
    </row>
    <row r="1482" spans="1:4" x14ac:dyDescent="0.2">
      <c r="A1482" s="5">
        <v>1421</v>
      </c>
      <c r="B1482" s="138">
        <f>'Expenditures 15-22'!K240</f>
        <v>106</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106</v>
      </c>
      <c r="C1485" s="2" t="s">
        <v>594</v>
      </c>
      <c r="D1485" s="2" t="str">
        <f t="shared" si="22"/>
        <v>Error?</v>
      </c>
    </row>
    <row r="1486" spans="1:4" x14ac:dyDescent="0.2">
      <c r="A1486" s="5">
        <v>1425</v>
      </c>
      <c r="B1486" s="138">
        <f>'Expenditures 15-22'!K245</f>
        <v>616</v>
      </c>
      <c r="C1486" s="2" t="s">
        <v>594</v>
      </c>
      <c r="D1486" s="2" t="str">
        <f t="shared" si="22"/>
        <v>Error?</v>
      </c>
    </row>
    <row r="1487" spans="1:4" x14ac:dyDescent="0.2">
      <c r="A1487" s="5">
        <v>1426</v>
      </c>
      <c r="B1487" s="138">
        <f>'Expenditures 15-22'!K246</f>
        <v>6659</v>
      </c>
      <c r="C1487" s="2" t="s">
        <v>594</v>
      </c>
      <c r="D1487" s="2" t="str">
        <f t="shared" si="22"/>
        <v>Error?</v>
      </c>
    </row>
    <row r="1488" spans="1:4" x14ac:dyDescent="0.2">
      <c r="A1488" s="5">
        <v>1427</v>
      </c>
      <c r="B1488" s="138">
        <f>'Expenditures 15-22'!K257</f>
        <v>7275</v>
      </c>
      <c r="C1488" s="2" t="s">
        <v>594</v>
      </c>
      <c r="D1488" s="2" t="str">
        <f t="shared" si="22"/>
        <v>Error?</v>
      </c>
    </row>
    <row r="1489" spans="1:4" x14ac:dyDescent="0.2">
      <c r="A1489" s="5">
        <v>1428</v>
      </c>
      <c r="B1489" s="138">
        <f>'Expenditures 15-22'!K259</f>
        <v>6165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6165</v>
      </c>
      <c r="C1491" s="2" t="s">
        <v>594</v>
      </c>
      <c r="D1491" s="2" t="str">
        <f t="shared" si="22"/>
        <v>Error?</v>
      </c>
    </row>
    <row r="1492" spans="1:4" x14ac:dyDescent="0.2">
      <c r="A1492" s="5">
        <v>1431</v>
      </c>
      <c r="B1492" s="138">
        <f>'Expenditures 15-22'!K263</f>
        <v>2255</v>
      </c>
      <c r="C1492" s="2" t="s">
        <v>594</v>
      </c>
      <c r="D1492" s="2" t="str">
        <f t="shared" si="22"/>
        <v>Error?</v>
      </c>
    </row>
    <row r="1493" spans="1:4" x14ac:dyDescent="0.2">
      <c r="A1493" s="5">
        <v>1432</v>
      </c>
      <c r="B1493" s="138">
        <f>'Expenditures 15-22'!K264</f>
        <v>672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26918</v>
      </c>
      <c r="C1495" s="2" t="s">
        <v>594</v>
      </c>
      <c r="D1495" s="2" t="str">
        <f t="shared" si="22"/>
        <v>Error?</v>
      </c>
    </row>
    <row r="1496" spans="1:4" x14ac:dyDescent="0.2">
      <c r="A1496" s="5">
        <v>1435</v>
      </c>
      <c r="B1496" s="138">
        <f>'Expenditures 15-22'!K267</f>
        <v>121</v>
      </c>
      <c r="C1496" s="2" t="s">
        <v>594</v>
      </c>
      <c r="D1496" s="2" t="str">
        <f t="shared" si="22"/>
        <v>Error?</v>
      </c>
    </row>
    <row r="1497" spans="1:4" x14ac:dyDescent="0.2">
      <c r="A1497" s="5">
        <v>1436</v>
      </c>
      <c r="B1497" s="138">
        <f>'Expenditures 15-22'!K268</f>
        <v>14180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44146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466</v>
      </c>
      <c r="C1509" s="2" t="s">
        <v>594</v>
      </c>
      <c r="D1509" s="2" t="str">
        <f t="shared" si="22"/>
        <v>Error?</v>
      </c>
    </row>
    <row r="1510" spans="1:4" x14ac:dyDescent="0.2">
      <c r="A1510" s="5">
        <v>1449</v>
      </c>
      <c r="B1510" s="138">
        <f>'Expenditures 15-22'!K279</f>
        <v>64336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110019</v>
      </c>
      <c r="C1517" s="2" t="s">
        <v>594</v>
      </c>
      <c r="D1517" s="2" t="str">
        <f t="shared" si="22"/>
        <v>Error?</v>
      </c>
    </row>
    <row r="1518" spans="1:4" x14ac:dyDescent="0.2">
      <c r="A1518" s="5">
        <v>1457</v>
      </c>
      <c r="B1518" s="138">
        <f>'Expenditures 15-22'!K296</f>
        <v>17140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2912873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3212168</v>
      </c>
      <c r="C1630" s="2" t="s">
        <v>594</v>
      </c>
      <c r="D1630" s="2" t="str">
        <f t="shared" si="24"/>
        <v>Error?</v>
      </c>
    </row>
    <row r="1631" spans="1:4" x14ac:dyDescent="0.2">
      <c r="A1631" s="5">
        <v>1570</v>
      </c>
      <c r="B1631" s="138">
        <f>'Acct Summary 7-8'!D79</f>
        <v>155982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182021</v>
      </c>
      <c r="C1644" s="2" t="s">
        <v>594</v>
      </c>
      <c r="D1644" s="2" t="str">
        <f t="shared" si="24"/>
        <v>Error?</v>
      </c>
    </row>
    <row r="1645" spans="1:4" x14ac:dyDescent="0.2">
      <c r="A1645" s="5">
        <v>1584</v>
      </c>
      <c r="B1645" s="138">
        <f>'Acct Summary 7-8'!E79</f>
        <v>31839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32669</v>
      </c>
      <c r="C1658" s="2" t="s">
        <v>594</v>
      </c>
      <c r="D1658" s="2" t="str">
        <f t="shared" si="24"/>
        <v>Error?</v>
      </c>
    </row>
    <row r="1659" spans="1:4" x14ac:dyDescent="0.2">
      <c r="A1659" s="5">
        <v>1598</v>
      </c>
      <c r="B1659" s="138">
        <f>'Acct Summary 7-8'!F79</f>
        <v>32721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97570</v>
      </c>
      <c r="C1672" s="2" t="s">
        <v>594</v>
      </c>
      <c r="D1672" s="2" t="str">
        <f t="shared" si="25"/>
        <v>Error?</v>
      </c>
    </row>
    <row r="1673" spans="1:4" x14ac:dyDescent="0.2">
      <c r="A1673" s="5">
        <v>1612</v>
      </c>
      <c r="B1673" s="138">
        <f>'Acct Summary 7-8'!G79</f>
        <v>35113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52253</v>
      </c>
      <c r="C1686" s="2" t="s">
        <v>594</v>
      </c>
      <c r="D1686" s="2" t="str">
        <f t="shared" si="25"/>
        <v>Error?</v>
      </c>
    </row>
    <row r="1687" spans="1:4" x14ac:dyDescent="0.2">
      <c r="A1687" s="5">
        <v>1626</v>
      </c>
      <c r="B1687" s="138">
        <f>'Acct Summary 7-8'!H79</f>
        <v>993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993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321818</v>
      </c>
      <c r="C1744" s="2" t="s">
        <v>594</v>
      </c>
      <c r="D1744" s="2" t="str">
        <f t="shared" si="26"/>
        <v>Error?</v>
      </c>
    </row>
    <row r="1745" spans="1:5" x14ac:dyDescent="0.2">
      <c r="A1745" s="5">
        <v>1684</v>
      </c>
      <c r="B1745" s="138">
        <f>'Tax Sched 23'!B5</f>
        <v>87450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34980</v>
      </c>
      <c r="C1747" s="2" t="s">
        <v>594</v>
      </c>
      <c r="D1747" s="2" t="str">
        <f t="shared" si="26"/>
        <v>Error?</v>
      </c>
    </row>
    <row r="1748" spans="1:5" x14ac:dyDescent="0.2">
      <c r="A1748" s="5">
        <v>1687</v>
      </c>
      <c r="B1748" s="138">
        <f>'Tax Sched 23'!B8</f>
        <v>55749</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26827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6121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586908</v>
      </c>
      <c r="C1759" s="2" t="s">
        <v>594</v>
      </c>
      <c r="D1759" s="2" t="str">
        <f t="shared" si="26"/>
        <v>Error?</v>
      </c>
    </row>
    <row r="1760" spans="1:5" x14ac:dyDescent="0.2">
      <c r="A1760" s="5">
        <v>1699</v>
      </c>
      <c r="B1760" s="138">
        <f>'Tax Sched 23'!D4</f>
        <v>321818</v>
      </c>
      <c r="C1760" s="2" t="s">
        <v>594</v>
      </c>
      <c r="D1760" s="2" t="str">
        <f t="shared" si="26"/>
        <v>Error?</v>
      </c>
    </row>
    <row r="1761" spans="1:5" x14ac:dyDescent="0.2">
      <c r="A1761" s="5">
        <v>1700</v>
      </c>
      <c r="B1761" s="138">
        <f>'Tax Sched 23'!D5</f>
        <v>87450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34980</v>
      </c>
      <c r="C1763" s="2" t="s">
        <v>594</v>
      </c>
      <c r="D1763" s="2" t="str">
        <f t="shared" si="26"/>
        <v>Error?</v>
      </c>
    </row>
    <row r="1764" spans="1:5" x14ac:dyDescent="0.2">
      <c r="A1764" s="5">
        <v>1703</v>
      </c>
      <c r="B1764" s="138">
        <f>'Tax Sched 23'!D8</f>
        <v>55749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26827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6121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586908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332622</v>
      </c>
      <c r="C1792" s="2" t="s">
        <v>594</v>
      </c>
      <c r="D1792" s="2" t="str">
        <f t="shared" si="27"/>
        <v>Error?</v>
      </c>
    </row>
    <row r="1793" spans="1:4" x14ac:dyDescent="0.2">
      <c r="A1793" s="5">
        <v>1732</v>
      </c>
      <c r="B1793" s="138">
        <f>'Tax Sched 23'!F5</f>
        <v>90387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36154</v>
      </c>
      <c r="C1795" s="2" t="s">
        <v>594</v>
      </c>
      <c r="D1795" s="2" t="str">
        <f t="shared" si="27"/>
        <v>Error?</v>
      </c>
    </row>
    <row r="1796" spans="1:4" x14ac:dyDescent="0.2">
      <c r="A1796" s="5">
        <v>1735</v>
      </c>
      <c r="B1796" s="138">
        <f>'Tax Sched 23'!F8</f>
        <v>52238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27754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6329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594979</v>
      </c>
      <c r="C1807" s="2" t="s">
        <v>594</v>
      </c>
      <c r="D1807" s="2" t="str">
        <f t="shared" si="27"/>
        <v>Error?</v>
      </c>
    </row>
    <row r="1808" spans="1:4" x14ac:dyDescent="0.2">
      <c r="A1808" s="5">
        <v>1747</v>
      </c>
      <c r="B1808" s="138">
        <f>'Tax Sched 23'!E4</f>
        <v>332622</v>
      </c>
      <c r="D1808" s="2" t="str">
        <f t="shared" si="27"/>
        <v>Error?</v>
      </c>
    </row>
    <row r="1809" spans="1:4" x14ac:dyDescent="0.2">
      <c r="A1809" s="5">
        <v>1748</v>
      </c>
      <c r="B1809" s="138">
        <f>'Tax Sched 23'!E5</f>
        <v>90387</v>
      </c>
      <c r="D1809" s="2" t="str">
        <f t="shared" si="27"/>
        <v>Error?</v>
      </c>
    </row>
    <row r="1810" spans="1:4" x14ac:dyDescent="0.2">
      <c r="A1810" s="5">
        <v>1749</v>
      </c>
      <c r="B1810" s="138">
        <f>'Tax Sched 23'!E6</f>
        <v>0</v>
      </c>
      <c r="D1810" s="2" t="str">
        <f t="shared" si="27"/>
        <v>Error?</v>
      </c>
    </row>
    <row r="1811" spans="1:4" x14ac:dyDescent="0.2">
      <c r="A1811" s="5">
        <v>1750</v>
      </c>
      <c r="B1811" s="138">
        <f>'Tax Sched 23'!E7</f>
        <v>36154</v>
      </c>
      <c r="D1811" s="2" t="str">
        <f t="shared" si="27"/>
        <v>Error?</v>
      </c>
    </row>
    <row r="1812" spans="1:4" x14ac:dyDescent="0.2">
      <c r="A1812" s="5">
        <v>1751</v>
      </c>
      <c r="B1812" s="138">
        <f>'Tax Sched 23'!E8</f>
        <v>52238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27754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6329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594979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168977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6121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2038</v>
      </c>
      <c r="D2008" s="2" t="str">
        <f t="shared" si="30"/>
        <v>Error?</v>
      </c>
    </row>
    <row r="2009" spans="1:4" x14ac:dyDescent="0.2">
      <c r="A2009" s="5">
        <v>1948</v>
      </c>
      <c r="B2009" s="138">
        <f>'Cap Outlay Deprec 26'!C8</f>
        <v>3523218</v>
      </c>
      <c r="D2009" s="2" t="str">
        <f t="shared" si="30"/>
        <v>Error?</v>
      </c>
    </row>
    <row r="2010" spans="1:4" x14ac:dyDescent="0.2">
      <c r="A2010" s="5">
        <v>1949</v>
      </c>
      <c r="B2010" s="138">
        <f>'Cap Outlay Deprec 26'!C10</f>
        <v>1677676</v>
      </c>
      <c r="D2010" s="2" t="str">
        <f t="shared" si="30"/>
        <v>Error?</v>
      </c>
    </row>
    <row r="2011" spans="1:4" x14ac:dyDescent="0.2">
      <c r="A2011" s="5">
        <v>1950</v>
      </c>
      <c r="B2011" s="138">
        <f>'Cap Outlay Deprec 26'!C12</f>
        <v>2340765</v>
      </c>
      <c r="D2011" s="2" t="str">
        <f t="shared" si="30"/>
        <v>Error?</v>
      </c>
    </row>
    <row r="2012" spans="1:4" x14ac:dyDescent="0.2">
      <c r="A2012" s="5">
        <v>1951</v>
      </c>
      <c r="B2012" s="138">
        <f>'Cap Outlay Deprec 26'!C13</f>
        <v>847107</v>
      </c>
      <c r="D2012" s="2" t="str">
        <f t="shared" si="30"/>
        <v>Error?</v>
      </c>
    </row>
    <row r="2013" spans="1:4" x14ac:dyDescent="0.2">
      <c r="A2013" s="5">
        <v>1952</v>
      </c>
      <c r="B2013" s="138">
        <f>'Cap Outlay Deprec 26'!C16</f>
        <v>8390804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5759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116366</v>
      </c>
      <c r="D2017" s="2" t="str">
        <f t="shared" si="30"/>
        <v>Error?</v>
      </c>
    </row>
    <row r="2018" spans="1:4" x14ac:dyDescent="0.2">
      <c r="A2018" s="5">
        <v>1957</v>
      </c>
      <c r="B2018" s="138">
        <f>'Cap Outlay Deprec 26'!D13</f>
        <v>81843</v>
      </c>
      <c r="D2018" s="2" t="str">
        <f t="shared" si="30"/>
        <v>Error?</v>
      </c>
    </row>
    <row r="2019" spans="1:4" x14ac:dyDescent="0.2">
      <c r="A2019" s="5">
        <v>1958</v>
      </c>
      <c r="B2019" s="138">
        <f>'Cap Outlay Deprec 26'!D16</f>
        <v>203968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1680</v>
      </c>
      <c r="D2022" s="2" t="str">
        <f t="shared" si="30"/>
        <v>Error?</v>
      </c>
    </row>
    <row r="2023" spans="1:4" x14ac:dyDescent="0.2">
      <c r="A2023" s="5">
        <v>1962</v>
      </c>
      <c r="B2023" s="138">
        <f>'Cap Outlay Deprec 26'!E12</f>
        <v>24354</v>
      </c>
      <c r="D2023" s="2" t="str">
        <f t="shared" si="30"/>
        <v>Error?</v>
      </c>
    </row>
    <row r="2024" spans="1:4" x14ac:dyDescent="0.2">
      <c r="A2024" s="5">
        <v>1963</v>
      </c>
      <c r="B2024" s="138">
        <f>'Cap Outlay Deprec 26'!E13</f>
        <v>15298</v>
      </c>
      <c r="D2024" s="2" t="str">
        <f t="shared" si="30"/>
        <v>Error?</v>
      </c>
    </row>
    <row r="2025" spans="1:4" x14ac:dyDescent="0.2">
      <c r="A2025" s="5">
        <v>1964</v>
      </c>
      <c r="B2025" s="138">
        <f>'Cap Outlay Deprec 26'!E16</f>
        <v>41332</v>
      </c>
      <c r="C2025" s="2" t="s">
        <v>594</v>
      </c>
      <c r="D2025" s="2" t="str">
        <f t="shared" si="30"/>
        <v>Error?</v>
      </c>
    </row>
    <row r="2026" spans="1:4" x14ac:dyDescent="0.2">
      <c r="A2026" s="5">
        <v>1965</v>
      </c>
      <c r="B2026" s="138">
        <f>'Cap Outlay Deprec 26'!F5</f>
        <v>2038</v>
      </c>
      <c r="C2026" s="2" t="s">
        <v>594</v>
      </c>
      <c r="D2026" s="2" t="str">
        <f t="shared" si="30"/>
        <v>Error?</v>
      </c>
    </row>
    <row r="2027" spans="1:4" x14ac:dyDescent="0.2">
      <c r="A2027" s="5">
        <v>1966</v>
      </c>
      <c r="B2027" s="138">
        <f>'Cap Outlay Deprec 26'!F8</f>
        <v>3528977</v>
      </c>
      <c r="C2027" s="2" t="s">
        <v>594</v>
      </c>
      <c r="D2027" s="2" t="str">
        <f t="shared" si="30"/>
        <v>Error?</v>
      </c>
    </row>
    <row r="2028" spans="1:4" x14ac:dyDescent="0.2">
      <c r="A2028" s="5">
        <v>1967</v>
      </c>
      <c r="B2028" s="138">
        <f>'Cap Outlay Deprec 26'!F10</f>
        <v>1675996</v>
      </c>
      <c r="C2028" s="2" t="s">
        <v>594</v>
      </c>
      <c r="D2028" s="2" t="str">
        <f t="shared" si="30"/>
        <v>Error?</v>
      </c>
    </row>
    <row r="2029" spans="1:4" x14ac:dyDescent="0.2">
      <c r="A2029" s="5">
        <v>1968</v>
      </c>
      <c r="B2029" s="138">
        <f>'Cap Outlay Deprec 26'!F12</f>
        <v>2432777</v>
      </c>
      <c r="C2029" s="2" t="s">
        <v>594</v>
      </c>
      <c r="D2029" s="2" t="str">
        <f t="shared" si="30"/>
        <v>Error?</v>
      </c>
    </row>
    <row r="2030" spans="1:4" x14ac:dyDescent="0.2">
      <c r="A2030" s="5">
        <v>1969</v>
      </c>
      <c r="B2030" s="138">
        <f>'Cap Outlay Deprec 26'!F13</f>
        <v>913652</v>
      </c>
      <c r="C2030" s="2" t="s">
        <v>594</v>
      </c>
      <c r="D2030" s="2" t="str">
        <f t="shared" si="30"/>
        <v>Error?</v>
      </c>
    </row>
    <row r="2031" spans="1:4" x14ac:dyDescent="0.2">
      <c r="A2031" s="5">
        <v>1970</v>
      </c>
      <c r="B2031" s="138">
        <f>'Cap Outlay Deprec 26'!F16</f>
        <v>8553440</v>
      </c>
      <c r="C2031" s="2" t="s">
        <v>594</v>
      </c>
      <c r="D2031" s="2" t="str">
        <f t="shared" si="30"/>
        <v>Error?</v>
      </c>
    </row>
    <row r="2032" spans="1:4" x14ac:dyDescent="0.2">
      <c r="A2032" s="10">
        <v>1971</v>
      </c>
      <c r="D2032" s="2" t="str">
        <f t="shared" si="30"/>
        <v>OK</v>
      </c>
    </row>
    <row r="2033" spans="1:4" x14ac:dyDescent="0.2">
      <c r="A2033" s="5">
        <v>1972</v>
      </c>
      <c r="B2033" s="138">
        <f>'Cap Outlay Deprec 26'!H8</f>
        <v>1822525</v>
      </c>
      <c r="D2033" s="2" t="str">
        <f t="shared" si="30"/>
        <v>Error?</v>
      </c>
    </row>
    <row r="2034" spans="1:4" x14ac:dyDescent="0.2">
      <c r="A2034" s="5">
        <v>1973</v>
      </c>
      <c r="B2034" s="138">
        <f>'Cap Outlay Deprec 26'!H10</f>
        <v>904246</v>
      </c>
      <c r="D2034" s="2" t="str">
        <f t="shared" si="30"/>
        <v>Error?</v>
      </c>
    </row>
    <row r="2035" spans="1:4" x14ac:dyDescent="0.2">
      <c r="A2035" s="5">
        <v>1974</v>
      </c>
      <c r="B2035" s="138">
        <f>'Cap Outlay Deprec 26'!H12</f>
        <v>2229193</v>
      </c>
      <c r="D2035" s="2" t="str">
        <f t="shared" si="30"/>
        <v>Error?</v>
      </c>
    </row>
    <row r="2036" spans="1:4" x14ac:dyDescent="0.2">
      <c r="A2036" s="5">
        <v>1975</v>
      </c>
      <c r="B2036" s="138">
        <f>'Cap Outlay Deprec 26'!H13</f>
        <v>765689</v>
      </c>
      <c r="D2036" s="2" t="str">
        <f t="shared" si="30"/>
        <v>Error?</v>
      </c>
    </row>
    <row r="2037" spans="1:4" x14ac:dyDescent="0.2">
      <c r="A2037" s="5">
        <v>1976</v>
      </c>
      <c r="B2037" s="138">
        <f>'Cap Outlay Deprec 26'!H16</f>
        <v>5721653</v>
      </c>
      <c r="C2037" s="2" t="s">
        <v>594</v>
      </c>
      <c r="D2037" s="2" t="str">
        <f t="shared" si="30"/>
        <v>Error?</v>
      </c>
    </row>
    <row r="2038" spans="1:4" x14ac:dyDescent="0.2">
      <c r="A2038" s="10">
        <v>1977</v>
      </c>
      <c r="D2038" s="2" t="str">
        <f t="shared" si="30"/>
        <v>OK</v>
      </c>
    </row>
    <row r="2039" spans="1:4" x14ac:dyDescent="0.2">
      <c r="A2039" s="5">
        <v>1978</v>
      </c>
      <c r="B2039" s="138">
        <f>'Cap Outlay Deprec 26'!I8</f>
        <v>70644</v>
      </c>
      <c r="D2039" s="2" t="str">
        <f t="shared" si="30"/>
        <v>Error?</v>
      </c>
    </row>
    <row r="2040" spans="1:4" x14ac:dyDescent="0.2">
      <c r="A2040" s="5">
        <v>1979</v>
      </c>
      <c r="B2040" s="138">
        <f>'Cap Outlay Deprec 26'!I10</f>
        <v>53104</v>
      </c>
      <c r="D2040" s="2" t="str">
        <f t="shared" si="30"/>
        <v>Error?</v>
      </c>
    </row>
    <row r="2041" spans="1:4" x14ac:dyDescent="0.2">
      <c r="A2041" s="5">
        <v>1980</v>
      </c>
      <c r="B2041" s="138">
        <f>'Cap Outlay Deprec 26'!I12</f>
        <v>29504</v>
      </c>
      <c r="D2041" s="2" t="str">
        <f t="shared" si="30"/>
        <v>Error?</v>
      </c>
    </row>
    <row r="2042" spans="1:4" x14ac:dyDescent="0.2">
      <c r="A2042" s="5">
        <v>1981</v>
      </c>
      <c r="B2042" s="138">
        <f>'Cap Outlay Deprec 26'!I13</f>
        <v>49467</v>
      </c>
      <c r="D2042" s="2" t="str">
        <f t="shared" si="30"/>
        <v>Error?</v>
      </c>
    </row>
    <row r="2043" spans="1:4" x14ac:dyDescent="0.2">
      <c r="A2043" s="5">
        <v>1982</v>
      </c>
      <c r="B2043" s="138">
        <f>'Cap Outlay Deprec 26'!I16</f>
        <v>202719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896</v>
      </c>
      <c r="D2046" s="2" t="str">
        <f t="shared" si="30"/>
        <v>Error?</v>
      </c>
    </row>
    <row r="2047" spans="1:4" x14ac:dyDescent="0.2">
      <c r="A2047" s="5">
        <v>1986</v>
      </c>
      <c r="B2047" s="138">
        <f>'Cap Outlay Deprec 26'!J12</f>
        <v>22448</v>
      </c>
      <c r="D2047" s="2" t="str">
        <f t="shared" ref="D2047:D2110" si="31">IF(ISBLANK(B2047),"OK",IF(A2047-B2047=0,"OK","Error?"))</f>
        <v>Error?</v>
      </c>
    </row>
    <row r="2048" spans="1:4" x14ac:dyDescent="0.2">
      <c r="A2048" s="5">
        <v>1987</v>
      </c>
      <c r="B2048" s="138">
        <f>'Cap Outlay Deprec 26'!J13</f>
        <v>15298</v>
      </c>
      <c r="D2048" s="2" t="str">
        <f t="shared" si="31"/>
        <v>Error?</v>
      </c>
    </row>
    <row r="2049" spans="1:4" x14ac:dyDescent="0.2">
      <c r="A2049" s="5">
        <v>1988</v>
      </c>
      <c r="B2049" s="138">
        <f>'Cap Outlay Deprec 26'!J16</f>
        <v>38642</v>
      </c>
      <c r="C2049" s="2" t="s">
        <v>594</v>
      </c>
      <c r="D2049" s="2" t="str">
        <f t="shared" si="31"/>
        <v>Error?</v>
      </c>
    </row>
    <row r="2050" spans="1:4" x14ac:dyDescent="0.2">
      <c r="A2050" s="10">
        <v>1989</v>
      </c>
      <c r="D2050" s="2" t="str">
        <f t="shared" si="31"/>
        <v>OK</v>
      </c>
    </row>
    <row r="2051" spans="1:4" x14ac:dyDescent="0.2">
      <c r="A2051" s="5">
        <v>1990</v>
      </c>
      <c r="B2051" s="138">
        <f>'Cap Outlay Deprec 26'!K8</f>
        <v>1893169</v>
      </c>
      <c r="C2051" s="2" t="s">
        <v>594</v>
      </c>
      <c r="D2051" s="2" t="str">
        <f t="shared" si="31"/>
        <v>Error?</v>
      </c>
    </row>
    <row r="2052" spans="1:4" x14ac:dyDescent="0.2">
      <c r="A2052" s="5">
        <v>1991</v>
      </c>
      <c r="B2052" s="138">
        <f>'Cap Outlay Deprec 26'!K10</f>
        <v>956454</v>
      </c>
      <c r="C2052" s="2" t="s">
        <v>594</v>
      </c>
      <c r="D2052" s="2" t="str">
        <f t="shared" si="31"/>
        <v>Error?</v>
      </c>
    </row>
    <row r="2053" spans="1:4" x14ac:dyDescent="0.2">
      <c r="A2053" s="5">
        <v>1992</v>
      </c>
      <c r="B2053" s="138">
        <f>'Cap Outlay Deprec 26'!K12</f>
        <v>2236249</v>
      </c>
      <c r="C2053" s="2" t="s">
        <v>594</v>
      </c>
      <c r="D2053" s="2" t="str">
        <f t="shared" si="31"/>
        <v>Error?</v>
      </c>
    </row>
    <row r="2054" spans="1:4" x14ac:dyDescent="0.2">
      <c r="A2054" s="5">
        <v>1993</v>
      </c>
      <c r="B2054" s="138">
        <f>'Cap Outlay Deprec 26'!K13</f>
        <v>799858</v>
      </c>
      <c r="C2054" s="2" t="s">
        <v>594</v>
      </c>
      <c r="D2054" s="2" t="str">
        <f t="shared" si="31"/>
        <v>Error?</v>
      </c>
    </row>
    <row r="2055" spans="1:4" x14ac:dyDescent="0.2">
      <c r="A2055" s="5">
        <v>1994</v>
      </c>
      <c r="B2055" s="138">
        <f>'Cap Outlay Deprec 26'!K16</f>
        <v>5885730</v>
      </c>
      <c r="C2055" s="2" t="s">
        <v>594</v>
      </c>
      <c r="D2055" s="2" t="str">
        <f t="shared" si="31"/>
        <v>Error?</v>
      </c>
    </row>
    <row r="2056" spans="1:4" x14ac:dyDescent="0.2">
      <c r="A2056" s="5">
        <v>1995</v>
      </c>
      <c r="B2056" s="138">
        <f>'Cap Outlay Deprec 26'!L5</f>
        <v>2038</v>
      </c>
      <c r="C2056" s="2" t="s">
        <v>594</v>
      </c>
      <c r="D2056" s="2" t="str">
        <f t="shared" si="31"/>
        <v>Error?</v>
      </c>
    </row>
    <row r="2057" spans="1:4" x14ac:dyDescent="0.2">
      <c r="A2057" s="5">
        <v>1996</v>
      </c>
      <c r="B2057" s="138">
        <f>'Cap Outlay Deprec 26'!L8</f>
        <v>1635808</v>
      </c>
      <c r="C2057" s="2" t="s">
        <v>594</v>
      </c>
      <c r="D2057" s="2" t="str">
        <f t="shared" si="31"/>
        <v>Error?</v>
      </c>
    </row>
    <row r="2058" spans="1:4" x14ac:dyDescent="0.2">
      <c r="A2058" s="5">
        <v>1997</v>
      </c>
      <c r="B2058" s="138">
        <f>'Cap Outlay Deprec 26'!L10</f>
        <v>719542</v>
      </c>
      <c r="C2058" s="2" t="s">
        <v>594</v>
      </c>
      <c r="D2058" s="2" t="str">
        <f t="shared" si="31"/>
        <v>Error?</v>
      </c>
    </row>
    <row r="2059" spans="1:4" x14ac:dyDescent="0.2">
      <c r="A2059" s="5">
        <v>1998</v>
      </c>
      <c r="B2059" s="138">
        <f>'Cap Outlay Deprec 26'!L12</f>
        <v>196528</v>
      </c>
      <c r="C2059" s="2" t="s">
        <v>594</v>
      </c>
      <c r="D2059" s="2" t="str">
        <f t="shared" si="31"/>
        <v>Error?</v>
      </c>
    </row>
    <row r="2060" spans="1:4" x14ac:dyDescent="0.2">
      <c r="A2060" s="5">
        <v>1999</v>
      </c>
      <c r="B2060" s="138">
        <f>'Cap Outlay Deprec 26'!L13</f>
        <v>113794</v>
      </c>
      <c r="C2060" s="2" t="s">
        <v>594</v>
      </c>
      <c r="D2060" s="2" t="str">
        <f t="shared" si="31"/>
        <v>Error?</v>
      </c>
    </row>
    <row r="2061" spans="1:4" x14ac:dyDescent="0.2">
      <c r="A2061" s="5">
        <v>2000</v>
      </c>
      <c r="B2061" s="138">
        <f>'Cap Outlay Deprec 26'!L16</f>
        <v>2667710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167397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191397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52253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32669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613570</v>
      </c>
      <c r="C2551" s="2" t="s">
        <v>594</v>
      </c>
      <c r="D2551" s="2" t="str">
        <f t="shared" si="38"/>
        <v>Error?</v>
      </c>
    </row>
    <row r="2552" spans="1:4" x14ac:dyDescent="0.2">
      <c r="A2552" s="10">
        <v>2491</v>
      </c>
      <c r="D2552" s="2" t="str">
        <f t="shared" si="38"/>
        <v>OK</v>
      </c>
    </row>
    <row r="2553" spans="1:4" x14ac:dyDescent="0.2">
      <c r="A2553" s="5">
        <v>2492</v>
      </c>
      <c r="B2553" s="138">
        <f>'Acct Summary 7-8'!C6</f>
        <v>3306700</v>
      </c>
      <c r="C2553" s="2" t="s">
        <v>594</v>
      </c>
      <c r="D2553" s="2" t="str">
        <f t="shared" si="38"/>
        <v>Error?</v>
      </c>
    </row>
    <row r="2554" spans="1:4" x14ac:dyDescent="0.2">
      <c r="A2554" s="5">
        <v>2493</v>
      </c>
      <c r="B2554" s="138">
        <f>'Acct Summary 7-8'!C7</f>
        <v>871385</v>
      </c>
      <c r="C2554" s="2" t="s">
        <v>594</v>
      </c>
      <c r="D2554" s="2" t="str">
        <f t="shared" si="38"/>
        <v>Error?</v>
      </c>
    </row>
    <row r="2555" spans="1:4" x14ac:dyDescent="0.2">
      <c r="A2555" s="5">
        <v>2494</v>
      </c>
      <c r="B2555" s="138">
        <f>'Acct Summary 7-8'!C8</f>
        <v>4855510</v>
      </c>
      <c r="C2555" s="2" t="s">
        <v>594</v>
      </c>
      <c r="D2555" s="2" t="str">
        <f t="shared" si="38"/>
        <v>Error?</v>
      </c>
    </row>
    <row r="2556" spans="1:4" x14ac:dyDescent="0.2">
      <c r="A2556" s="5">
        <v>2495</v>
      </c>
      <c r="B2556" s="138">
        <f>'Acct Summary 7-8'!C12</f>
        <v>2713039</v>
      </c>
      <c r="C2556" s="2" t="s">
        <v>594</v>
      </c>
      <c r="D2556" s="2" t="str">
        <f t="shared" si="38"/>
        <v>Error?</v>
      </c>
    </row>
    <row r="2557" spans="1:4" x14ac:dyDescent="0.2">
      <c r="A2557" s="5">
        <v>2496</v>
      </c>
      <c r="B2557" s="138">
        <f>'Acct Summary 7-8'!C13</f>
        <v>1581368</v>
      </c>
      <c r="C2557" s="2" t="s">
        <v>594</v>
      </c>
      <c r="D2557" s="2" t="str">
        <f t="shared" si="38"/>
        <v>Error?</v>
      </c>
    </row>
    <row r="2558" spans="1:4" x14ac:dyDescent="0.2">
      <c r="A2558" s="5">
        <v>2497</v>
      </c>
      <c r="B2558" s="138">
        <f>'Acct Summary 7-8'!C14</f>
        <v>70411</v>
      </c>
      <c r="C2558" s="2" t="s">
        <v>594</v>
      </c>
      <c r="D2558" s="2" t="str">
        <f t="shared" si="38"/>
        <v>Error?</v>
      </c>
    </row>
    <row r="2559" spans="1:4" x14ac:dyDescent="0.2">
      <c r="A2559" s="5">
        <v>2498</v>
      </c>
      <c r="B2559" s="138">
        <f>'Acct Summary 7-8'!C15</f>
        <v>191397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4556215</v>
      </c>
      <c r="C2561" s="2" t="s">
        <v>594</v>
      </c>
      <c r="D2561" s="2" t="str">
        <f t="shared" si="39"/>
        <v>Error?</v>
      </c>
    </row>
    <row r="2562" spans="1:4" x14ac:dyDescent="0.2">
      <c r="A2562" s="5">
        <v>2501</v>
      </c>
      <c r="B2562" s="138">
        <f>'Acct Summary 7-8'!C20</f>
        <v>299295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89392</v>
      </c>
      <c r="C2564" s="2" t="s">
        <v>594</v>
      </c>
      <c r="D2564" s="2" t="str">
        <f t="shared" si="39"/>
        <v>Error?</v>
      </c>
    </row>
    <row r="2565" spans="1:4" x14ac:dyDescent="0.2">
      <c r="A2565" s="10">
        <v>2504</v>
      </c>
      <c r="D2565" s="2" t="str">
        <f t="shared" si="39"/>
        <v>OK</v>
      </c>
    </row>
    <row r="2566" spans="1:4" x14ac:dyDescent="0.2">
      <c r="A2566" s="5">
        <v>2505</v>
      </c>
      <c r="B2566" s="138">
        <f>'Acct Summary 7-8'!D6</f>
        <v>73000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162392</v>
      </c>
      <c r="C2568" s="2" t="s">
        <v>594</v>
      </c>
      <c r="D2568" s="2" t="str">
        <f t="shared" si="39"/>
        <v>Error?</v>
      </c>
    </row>
    <row r="2569" spans="1:4" x14ac:dyDescent="0.2">
      <c r="A2569" s="5">
        <v>2508</v>
      </c>
      <c r="B2569" s="138">
        <f>'Acct Summary 7-8'!D13</f>
        <v>110663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110663</v>
      </c>
      <c r="C2573" s="2" t="s">
        <v>594</v>
      </c>
      <c r="D2573" s="2" t="str">
        <f t="shared" si="39"/>
        <v>Error?</v>
      </c>
    </row>
    <row r="2574" spans="1:4" x14ac:dyDescent="0.2">
      <c r="A2574" s="5">
        <v>2513</v>
      </c>
      <c r="B2574" s="138">
        <f>'Acct Summary 7-8'!D20</f>
        <v>51729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35757</v>
      </c>
      <c r="C2591" s="2" t="s">
        <v>594</v>
      </c>
      <c r="D2591" s="2" t="str">
        <f t="shared" si="39"/>
        <v>Error?</v>
      </c>
    </row>
    <row r="2592" spans="1:4" x14ac:dyDescent="0.2">
      <c r="A2592" s="10">
        <v>2531</v>
      </c>
      <c r="D2592" s="2" t="str">
        <f t="shared" si="39"/>
        <v>OK</v>
      </c>
    </row>
    <row r="2593" spans="1:4" x14ac:dyDescent="0.2">
      <c r="A2593" s="5">
        <v>2532</v>
      </c>
      <c r="B2593" s="138">
        <f>'Acct Summary 7-8'!F6</f>
        <v>293239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328996</v>
      </c>
      <c r="C2595" s="2" t="s">
        <v>594</v>
      </c>
      <c r="D2595" s="2" t="str">
        <f t="shared" si="39"/>
        <v>Error?</v>
      </c>
    </row>
    <row r="2596" spans="1:4" x14ac:dyDescent="0.2">
      <c r="A2596" s="5">
        <v>2535</v>
      </c>
      <c r="B2596" s="138">
        <f>'Acct Summary 7-8'!F13</f>
        <v>264147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264147</v>
      </c>
      <c r="C2600" s="2" t="s">
        <v>594</v>
      </c>
      <c r="D2600" s="2" t="str">
        <f t="shared" si="39"/>
        <v>Error?</v>
      </c>
    </row>
    <row r="2601" spans="1:4" x14ac:dyDescent="0.2">
      <c r="A2601" s="5">
        <v>2540</v>
      </c>
      <c r="B2601" s="138">
        <f>'Acct Summary 7-8'!F20</f>
        <v>64849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127159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127159</v>
      </c>
      <c r="C2606" s="2" t="s">
        <v>594</v>
      </c>
      <c r="D2606" s="2" t="str">
        <f t="shared" si="39"/>
        <v>Error?</v>
      </c>
    </row>
    <row r="2607" spans="1:4" x14ac:dyDescent="0.2">
      <c r="A2607" s="5">
        <v>2546</v>
      </c>
      <c r="B2607" s="138">
        <f>'Acct Summary 7-8'!G12</f>
        <v>45683</v>
      </c>
      <c r="C2607" s="2" t="s">
        <v>594</v>
      </c>
      <c r="D2607" s="2" t="str">
        <f t="shared" si="39"/>
        <v>Error?</v>
      </c>
    </row>
    <row r="2608" spans="1:4" x14ac:dyDescent="0.2">
      <c r="A2608" s="5">
        <v>2547</v>
      </c>
      <c r="B2608" s="138">
        <f>'Acct Summary 7-8'!G13</f>
        <v>64336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110019</v>
      </c>
      <c r="C2612" s="2" t="s">
        <v>594</v>
      </c>
      <c r="D2612" s="2" t="str">
        <f t="shared" si="39"/>
        <v>Error?</v>
      </c>
    </row>
    <row r="2613" spans="1:4" x14ac:dyDescent="0.2">
      <c r="A2613" s="5">
        <v>2552</v>
      </c>
      <c r="B2613" s="138">
        <f>'Acct Summary 7-8'!G20</f>
        <v>17140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24970</v>
      </c>
      <c r="C2634" s="2" t="s">
        <v>594</v>
      </c>
      <c r="D2634" s="2" t="str">
        <f t="shared" si="40"/>
        <v>Error?</v>
      </c>
    </row>
    <row r="2635" spans="1:4" x14ac:dyDescent="0.2">
      <c r="A2635" s="5">
        <v>2574</v>
      </c>
      <c r="B2635" s="138">
        <f>'Acct Summary 7-8'!E17</f>
        <v>24970</v>
      </c>
      <c r="C2635" s="2" t="s">
        <v>594</v>
      </c>
      <c r="D2635" s="2" t="str">
        <f t="shared" si="40"/>
        <v>Error?</v>
      </c>
    </row>
    <row r="2636" spans="1:4" x14ac:dyDescent="0.2">
      <c r="A2636" s="5">
        <v>2575</v>
      </c>
      <c r="B2636" s="138">
        <f>'Acct Summary 7-8'!E20</f>
        <v>-24860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24000</v>
      </c>
      <c r="C2789" s="2" t="s">
        <v>594</v>
      </c>
      <c r="D2789" s="2" t="str">
        <f t="shared" si="42"/>
        <v>Error?</v>
      </c>
    </row>
    <row r="2790" spans="1:4" x14ac:dyDescent="0.2">
      <c r="A2790" s="5">
        <v>2729</v>
      </c>
      <c r="B2790" s="138">
        <f>'Expenditures 15-22'!E102</f>
        <v>24000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5282</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51633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51633</v>
      </c>
      <c r="D2914" s="2" t="str">
        <f t="shared" si="44"/>
        <v>Error?</v>
      </c>
    </row>
    <row r="2915" spans="1:4" x14ac:dyDescent="0.2">
      <c r="A2915" s="10">
        <v>2854</v>
      </c>
      <c r="D2915" s="2" t="str">
        <f t="shared" si="44"/>
        <v>OK</v>
      </c>
    </row>
    <row r="2916" spans="1:4" x14ac:dyDescent="0.2">
      <c r="A2916" s="5">
        <v>2855</v>
      </c>
      <c r="B2916" s="138">
        <f>'Assets-Liab 5-6'!L34</f>
        <v>51633</v>
      </c>
      <c r="C2916" s="2" t="s">
        <v>594</v>
      </c>
      <c r="D2916" s="2" t="str">
        <f t="shared" si="44"/>
        <v>Error?</v>
      </c>
    </row>
    <row r="2917" spans="1:4" x14ac:dyDescent="0.2">
      <c r="A2917" s="5">
        <v>2856</v>
      </c>
      <c r="B2917" s="138">
        <f>'Assets-Liab 5-6'!L41</f>
        <v>51633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133195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32744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1458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133195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32744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25458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269456</v>
      </c>
      <c r="D3055" s="2" t="str">
        <f t="shared" si="46"/>
        <v>Error?</v>
      </c>
    </row>
    <row r="3056" spans="1:4" x14ac:dyDescent="0.2">
      <c r="A3056" s="5">
        <v>2995</v>
      </c>
      <c r="B3056" s="138">
        <f>'Expenditures 15-22'!D10</f>
        <v>43277</v>
      </c>
      <c r="D3056" s="2" t="str">
        <f t="shared" si="46"/>
        <v>Error?</v>
      </c>
    </row>
    <row r="3057" spans="1:4" x14ac:dyDescent="0.2">
      <c r="A3057" s="5">
        <v>2996</v>
      </c>
      <c r="B3057" s="138">
        <f>'Expenditures 15-22'!E10</f>
        <v>3337</v>
      </c>
      <c r="D3057" s="2" t="str">
        <f t="shared" si="46"/>
        <v>Error?</v>
      </c>
    </row>
    <row r="3058" spans="1:4" x14ac:dyDescent="0.2">
      <c r="A3058" s="5">
        <v>2997</v>
      </c>
      <c r="B3058" s="138">
        <f>'Expenditures 15-22'!F10</f>
        <v>60783</v>
      </c>
      <c r="D3058" s="2" t="str">
        <f t="shared" si="46"/>
        <v>Error?</v>
      </c>
    </row>
    <row r="3059" spans="1:4" x14ac:dyDescent="0.2">
      <c r="A3059" s="5">
        <v>2998</v>
      </c>
      <c r="B3059" s="138">
        <f>'Expenditures 15-22'!G10</f>
        <v>3924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380777</v>
      </c>
      <c r="C3062" s="2" t="s">
        <v>594</v>
      </c>
      <c r="D3062" s="2" t="str">
        <f t="shared" si="46"/>
        <v>Error?</v>
      </c>
    </row>
    <row r="3063" spans="1:4" x14ac:dyDescent="0.2">
      <c r="A3063" s="10">
        <v>3002</v>
      </c>
      <c r="D3063" s="2" t="str">
        <f t="shared" si="46"/>
        <v>OK</v>
      </c>
    </row>
    <row r="3064" spans="1:4" x14ac:dyDescent="0.2">
      <c r="A3064" s="5">
        <v>3003</v>
      </c>
      <c r="B3064" s="138">
        <f>'Expenditures 15-22'!D219</f>
        <v>969</v>
      </c>
      <c r="D3064" s="2" t="str">
        <f t="shared" si="46"/>
        <v>Error?</v>
      </c>
    </row>
    <row r="3065" spans="1:4" x14ac:dyDescent="0.2">
      <c r="A3065" s="5">
        <v>3004</v>
      </c>
      <c r="B3065" s="138">
        <f>'Expenditures 15-22'!K219</f>
        <v>969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299295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25690</v>
      </c>
      <c r="C3237" s="2" t="s">
        <v>594</v>
      </c>
      <c r="D3237" s="2" t="str">
        <f t="shared" si="49"/>
        <v>Error?</v>
      </c>
    </row>
    <row r="3238" spans="1:4" x14ac:dyDescent="0.2">
      <c r="A3238" s="5">
        <v>3177</v>
      </c>
      <c r="B3238" s="138">
        <f>'Acct Summary 7-8'!D77</f>
        <v>-25690</v>
      </c>
      <c r="C3238" s="2" t="s">
        <v>594</v>
      </c>
      <c r="D3238" s="2" t="str">
        <f t="shared" si="49"/>
        <v>Error?</v>
      </c>
    </row>
    <row r="3239" spans="1:4" x14ac:dyDescent="0.2">
      <c r="A3239" s="5">
        <v>3178</v>
      </c>
      <c r="B3239" s="138">
        <f>'Acct Summary 7-8'!D78</f>
        <v>26039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64849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17140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25690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25690</v>
      </c>
      <c r="C3277" s="2" t="s">
        <v>594</v>
      </c>
      <c r="D3277" s="2" t="str">
        <f t="shared" si="50"/>
        <v>Error?</v>
      </c>
    </row>
    <row r="3278" spans="1:4" x14ac:dyDescent="0.2">
      <c r="A3278" s="5">
        <v>3217</v>
      </c>
      <c r="B3278" s="138">
        <f>'Acct Summary 7-8'!E78</f>
        <v>830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311486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34489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349481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20665</v>
      </c>
      <c r="D3387" s="2" t="str">
        <f t="shared" si="51"/>
        <v>Error?</v>
      </c>
    </row>
    <row r="3388" spans="1:4" x14ac:dyDescent="0.2">
      <c r="A3388" s="5">
        <v>3327</v>
      </c>
      <c r="B3388" s="138">
        <f>'Expenditures 15-22'!D217</f>
        <v>20830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20665</v>
      </c>
      <c r="C3390" s="2" t="s">
        <v>594</v>
      </c>
      <c r="D3390" s="2" t="str">
        <f t="shared" si="51"/>
        <v>Error?</v>
      </c>
    </row>
    <row r="3391" spans="1:4" x14ac:dyDescent="0.2">
      <c r="A3391" s="5">
        <v>3330</v>
      </c>
      <c r="B3391" s="138">
        <f>'Expenditures 15-22'!K217</f>
        <v>20830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63855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970870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32669</v>
      </c>
      <c r="D3417" s="2" t="str">
        <f t="shared" si="52"/>
        <v>Error?</v>
      </c>
    </row>
    <row r="3418" spans="1:4" x14ac:dyDescent="0.2">
      <c r="A3418" s="10">
        <v>3357</v>
      </c>
      <c r="D3418" s="2" t="str">
        <f t="shared" si="52"/>
        <v>OK</v>
      </c>
    </row>
    <row r="3419" spans="1:4" x14ac:dyDescent="0.2">
      <c r="A3419" s="5">
        <v>3358</v>
      </c>
      <c r="B3419" s="138">
        <f>'Assets-Liab 5-6'!F4</f>
        <v>97570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52253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993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51633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53963</v>
      </c>
      <c r="C3446" s="2" t="s">
        <v>594</v>
      </c>
      <c r="D3446" s="2" t="str">
        <f t="shared" si="52"/>
        <v>Error?</v>
      </c>
    </row>
    <row r="3447" spans="1:4" x14ac:dyDescent="0.2">
      <c r="A3447" s="5">
        <v>3386</v>
      </c>
      <c r="B3447" s="138">
        <f>'Tax Sched 23'!D16</f>
        <v>53963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49495</v>
      </c>
      <c r="C3449" s="2" t="s">
        <v>594</v>
      </c>
      <c r="D3449" s="2" t="str">
        <f t="shared" si="52"/>
        <v>Error?</v>
      </c>
    </row>
    <row r="3450" spans="1:4" x14ac:dyDescent="0.2">
      <c r="A3450" s="5">
        <v>3389</v>
      </c>
      <c r="B3450" s="138">
        <f>'Tax Sched 23'!E16</f>
        <v>49495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160533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1558098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6413608</v>
      </c>
      <c r="C4122" s="2" t="s">
        <v>594</v>
      </c>
      <c r="D4122" s="2" t="str">
        <f t="shared" si="63"/>
        <v>Error?</v>
      </c>
    </row>
    <row r="4123" spans="1:4" x14ac:dyDescent="0.2">
      <c r="A4123" s="5">
        <v>4062</v>
      </c>
      <c r="B4123" s="138">
        <f>'Acct Summary 7-8'!D10</f>
        <v>162392</v>
      </c>
      <c r="C4123" s="2" t="s">
        <v>594</v>
      </c>
      <c r="D4123" s="2" t="str">
        <f t="shared" si="63"/>
        <v>Error?</v>
      </c>
    </row>
    <row r="4124" spans="1:4" x14ac:dyDescent="0.2">
      <c r="A4124" s="5">
        <v>4063</v>
      </c>
      <c r="B4124" s="138">
        <f>'Acct Summary 7-8'!E10</f>
        <v>110</v>
      </c>
      <c r="C4124" s="2" t="s">
        <v>594</v>
      </c>
      <c r="D4124" s="2" t="str">
        <f t="shared" si="63"/>
        <v>Error?</v>
      </c>
    </row>
    <row r="4125" spans="1:4" x14ac:dyDescent="0.2">
      <c r="A4125" s="5">
        <v>4064</v>
      </c>
      <c r="B4125" s="138">
        <f>'Acct Summary 7-8'!F10</f>
        <v>328996</v>
      </c>
      <c r="C4125" s="2" t="s">
        <v>594</v>
      </c>
      <c r="D4125" s="2" t="str">
        <f t="shared" si="63"/>
        <v>Error?</v>
      </c>
    </row>
    <row r="4126" spans="1:4" x14ac:dyDescent="0.2">
      <c r="A4126" s="5">
        <v>4065</v>
      </c>
      <c r="B4126" s="138">
        <f>'Acct Summary 7-8'!G10</f>
        <v>127159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1558098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6114313</v>
      </c>
      <c r="C4136" s="2" t="s">
        <v>594</v>
      </c>
      <c r="D4136" s="2" t="str">
        <f t="shared" si="63"/>
        <v>Error?</v>
      </c>
    </row>
    <row r="4137" spans="1:4" x14ac:dyDescent="0.2">
      <c r="A4137" s="5">
        <v>4076</v>
      </c>
      <c r="B4137" s="138">
        <f>'Acct Summary 7-8'!D19</f>
        <v>110663</v>
      </c>
      <c r="C4137" s="2" t="s">
        <v>594</v>
      </c>
      <c r="D4137" s="2" t="str">
        <f t="shared" si="63"/>
        <v>Error?</v>
      </c>
    </row>
    <row r="4138" spans="1:4" x14ac:dyDescent="0.2">
      <c r="A4138" s="5">
        <v>4077</v>
      </c>
      <c r="B4138" s="138">
        <f>'Acct Summary 7-8'!E19</f>
        <v>24970</v>
      </c>
      <c r="C4138" s="2" t="s">
        <v>594</v>
      </c>
      <c r="D4138" s="2" t="str">
        <f t="shared" si="63"/>
        <v>Error?</v>
      </c>
    </row>
    <row r="4139" spans="1:4" x14ac:dyDescent="0.2">
      <c r="A4139" s="5">
        <v>4078</v>
      </c>
      <c r="B4139" s="138">
        <f>'Acct Summary 7-8'!F19</f>
        <v>264147</v>
      </c>
      <c r="C4139" s="2" t="s">
        <v>594</v>
      </c>
      <c r="D4139" s="2" t="str">
        <f t="shared" si="63"/>
        <v>Error?</v>
      </c>
    </row>
    <row r="4140" spans="1:4" x14ac:dyDescent="0.2">
      <c r="A4140" s="5">
        <v>4079</v>
      </c>
      <c r="B4140" s="138">
        <f>'Acct Summary 7-8'!G19</f>
        <v>110019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150977</v>
      </c>
      <c r="C4171" s="2" t="s">
        <v>594</v>
      </c>
      <c r="D4171" s="2" t="str">
        <f t="shared" si="64"/>
        <v>Error?</v>
      </c>
    </row>
    <row r="4172" spans="1:4" x14ac:dyDescent="0.2">
      <c r="A4172" s="5">
        <v>4111</v>
      </c>
      <c r="B4172" s="138">
        <f>'Short-Term Long-Term Debt 24'!J49</f>
        <v>118308</v>
      </c>
      <c r="C4172" s="2" t="s">
        <v>594</v>
      </c>
      <c r="D4172" s="2" t="str">
        <f t="shared" si="64"/>
        <v>Error?</v>
      </c>
    </row>
    <row r="4173" spans="1:4" x14ac:dyDescent="0.2">
      <c r="A4173" s="5">
        <v>4112</v>
      </c>
      <c r="B4173" s="138">
        <f>'Short-Term Long-Term Debt 24'!H49</f>
        <v>18000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1788.58</v>
      </c>
      <c r="C4265" s="2" t="s">
        <v>594</v>
      </c>
      <c r="D4265" s="2" t="str">
        <f t="shared" si="65"/>
        <v>Error?</v>
      </c>
      <c r="E4265" s="128"/>
    </row>
    <row r="4266" spans="1:5" x14ac:dyDescent="0.2">
      <c r="A4266" s="12">
        <v>4205</v>
      </c>
      <c r="B4266" s="138">
        <f>('FP Info 3'!F10)*100000</f>
        <v>486.03</v>
      </c>
      <c r="C4266" s="2" t="s">
        <v>594</v>
      </c>
      <c r="D4266" s="2" t="str">
        <f t="shared" si="65"/>
        <v>Error?</v>
      </c>
      <c r="E4266" s="128"/>
    </row>
    <row r="4267" spans="1:5" x14ac:dyDescent="0.2">
      <c r="A4267" s="12">
        <v>4206</v>
      </c>
      <c r="B4267" s="138">
        <f>('FP Info 3'!H10)*100000</f>
        <v>194.41</v>
      </c>
      <c r="C4267" s="2" t="s">
        <v>594</v>
      </c>
      <c r="D4267" s="2" t="str">
        <f t="shared" si="65"/>
        <v>Error?</v>
      </c>
      <c r="E4267" s="128"/>
    </row>
    <row r="4268" spans="1:5" x14ac:dyDescent="0.2">
      <c r="A4268" s="12">
        <v>4207</v>
      </c>
      <c r="B4268" s="138">
        <f>('FP Info 3'!J10)*100000</f>
        <v>2469</v>
      </c>
      <c r="C4268" s="2" t="s">
        <v>594</v>
      </c>
      <c r="D4268" s="2" t="str">
        <f t="shared" si="65"/>
        <v>Error?</v>
      </c>
    </row>
    <row r="4269" spans="1:5" x14ac:dyDescent="0.2">
      <c r="A4269" s="12">
        <v>4208</v>
      </c>
      <c r="B4269" s="138">
        <f>'FP Info 3'!J16</f>
        <v>3491759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21752</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7282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7282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131479</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131479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31849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35260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18593268</v>
      </c>
      <c r="D4995" s="2" t="str">
        <f t="shared" si="77"/>
        <v>Error?</v>
      </c>
    </row>
    <row r="4996" spans="1:4" x14ac:dyDescent="0.2">
      <c r="A4996" s="12">
        <v>4935</v>
      </c>
      <c r="B4996" s="138">
        <f>'FP Info 3'!H31</f>
        <v>2565870.9840000002</v>
      </c>
      <c r="D4996" s="2" t="str">
        <f t="shared" si="77"/>
        <v>Error?</v>
      </c>
    </row>
    <row r="4997" spans="1:4" x14ac:dyDescent="0.2">
      <c r="A4997" s="12">
        <v>4936</v>
      </c>
      <c r="B4997" s="138">
        <f>'FP Info 3'!H37</f>
        <v>150977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321818</v>
      </c>
      <c r="D5061" s="2" t="str">
        <f t="shared" si="78"/>
        <v>Error?</v>
      </c>
    </row>
    <row r="5062" spans="1:4" x14ac:dyDescent="0.2">
      <c r="A5062" s="10">
        <v>5001</v>
      </c>
      <c r="D5062" s="2" t="str">
        <f t="shared" si="78"/>
        <v>OK</v>
      </c>
    </row>
    <row r="5063" spans="1:4" x14ac:dyDescent="0.2">
      <c r="A5063" s="5">
        <v>5002</v>
      </c>
      <c r="B5063" s="138">
        <f>'Revenues 9-14'!C7</f>
        <v>6121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327939</v>
      </c>
      <c r="C5066" s="2" t="s">
        <v>594</v>
      </c>
      <c r="D5066" s="2" t="str">
        <f t="shared" si="78"/>
        <v>Error?</v>
      </c>
    </row>
    <row r="5067" spans="1:4" x14ac:dyDescent="0.2">
      <c r="A5067" s="5">
        <v>5006</v>
      </c>
      <c r="B5067" s="138">
        <f>'Revenues 9-14'!C14</f>
        <v>7284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126124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133408</v>
      </c>
      <c r="C5071" s="2" t="s">
        <v>594</v>
      </c>
      <c r="D5071" s="2" t="str">
        <f t="shared" si="78"/>
        <v>Error?</v>
      </c>
    </row>
    <row r="5072" spans="1:4" x14ac:dyDescent="0.2">
      <c r="A5072" s="5">
        <v>5011</v>
      </c>
      <c r="B5072" s="138">
        <f>'Revenues 9-14'!C20</f>
        <v>6000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6000</v>
      </c>
      <c r="C5087" s="2" t="s">
        <v>594</v>
      </c>
      <c r="D5087" s="2" t="str">
        <f t="shared" si="78"/>
        <v>Error?</v>
      </c>
    </row>
    <row r="5088" spans="1:4" x14ac:dyDescent="0.2">
      <c r="A5088" s="5">
        <v>5027</v>
      </c>
      <c r="B5088" s="138">
        <f>'Revenues 9-14'!C65</f>
        <v>36028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36028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4822</v>
      </c>
      <c r="C5096" s="2" t="s">
        <v>594</v>
      </c>
      <c r="D5096" s="2" t="str">
        <f t="shared" si="78"/>
        <v>Error?</v>
      </c>
    </row>
    <row r="5097" spans="1:4" x14ac:dyDescent="0.2">
      <c r="A5097" s="5">
        <v>5036</v>
      </c>
      <c r="B5097" s="138">
        <f>'Revenues 9-14'!C77</f>
        <v>9532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9532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52368</v>
      </c>
      <c r="D5116" s="2" t="str">
        <f t="shared" si="78"/>
        <v>Error?</v>
      </c>
    </row>
    <row r="5117" spans="1:4" x14ac:dyDescent="0.2">
      <c r="A5117" s="5">
        <v>5056</v>
      </c>
      <c r="B5117" s="138">
        <f>'Revenues 9-14'!C105</f>
        <v>5066</v>
      </c>
      <c r="D5117" s="2" t="str">
        <f t="shared" si="78"/>
        <v>Error?</v>
      </c>
    </row>
    <row r="5118" spans="1:4" x14ac:dyDescent="0.2">
      <c r="A5118" s="5">
        <v>5057</v>
      </c>
      <c r="B5118" s="138">
        <f>'Revenues 9-14'!C106</f>
        <v>245</v>
      </c>
      <c r="D5118" s="2" t="str">
        <f t="shared" si="78"/>
        <v>Error?</v>
      </c>
    </row>
    <row r="5119" spans="1:4" x14ac:dyDescent="0.2">
      <c r="A5119" s="5">
        <v>5058</v>
      </c>
      <c r="B5119" s="138">
        <f>'Revenues 9-14'!C107</f>
        <v>2902</v>
      </c>
      <c r="D5119" s="2" t="str">
        <f t="shared" ref="D5119:D5182" si="79">IF(ISBLANK(B5119),"OK",IF(A5119-B5119=0,"OK","Error?"))</f>
        <v>Error?</v>
      </c>
    </row>
    <row r="5120" spans="1:4" x14ac:dyDescent="0.2">
      <c r="A5120" s="5">
        <v>5059</v>
      </c>
      <c r="B5120" s="138">
        <f>'Revenues 9-14'!C108</f>
        <v>95841</v>
      </c>
      <c r="C5120" s="2" t="s">
        <v>594</v>
      </c>
      <c r="D5120" s="2" t="str">
        <f t="shared" si="79"/>
        <v>Error?</v>
      </c>
    </row>
    <row r="5121" spans="1:4" x14ac:dyDescent="0.2">
      <c r="A5121" s="5">
        <v>5060</v>
      </c>
      <c r="B5121" s="138">
        <f>'Revenues 9-14'!C109</f>
        <v>613570</v>
      </c>
      <c r="C5121" s="2" t="s">
        <v>594</v>
      </c>
      <c r="D5121" s="2" t="str">
        <f t="shared" si="79"/>
        <v>Error?</v>
      </c>
    </row>
    <row r="5122" spans="1:4" x14ac:dyDescent="0.2">
      <c r="A5122" s="5">
        <v>5061</v>
      </c>
      <c r="B5122" s="138">
        <f>'Revenues 9-14'!C111</f>
        <v>37881</v>
      </c>
      <c r="D5122" s="2" t="str">
        <f t="shared" si="79"/>
        <v>Error?</v>
      </c>
    </row>
    <row r="5123" spans="1:4" x14ac:dyDescent="0.2">
      <c r="A5123" s="5">
        <v>5062</v>
      </c>
      <c r="B5123" s="138">
        <f>'Revenues 9-14'!C112</f>
        <v>25974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63855</v>
      </c>
      <c r="C5125" s="2" t="s">
        <v>594</v>
      </c>
      <c r="D5125" s="2" t="str">
        <f t="shared" si="79"/>
        <v>Error?</v>
      </c>
    </row>
    <row r="5126" spans="1:4" x14ac:dyDescent="0.2">
      <c r="A5126" s="5">
        <v>5065</v>
      </c>
      <c r="B5126" s="138">
        <f>'Revenues 9-14'!C117</f>
        <v>2809718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2809718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31990</v>
      </c>
      <c r="D5134" s="2" t="str">
        <f t="shared" si="79"/>
        <v>Error?</v>
      </c>
    </row>
    <row r="5135" spans="1:4" x14ac:dyDescent="0.2">
      <c r="A5135" s="5">
        <v>5074</v>
      </c>
      <c r="B5135" s="138">
        <f>'Revenues 9-14'!C126</f>
        <v>35824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67814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3310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5230</v>
      </c>
      <c r="D5167" s="2" t="str">
        <f t="shared" si="79"/>
        <v>Error?</v>
      </c>
    </row>
    <row r="5168" spans="1:4" x14ac:dyDescent="0.2">
      <c r="A5168" s="5">
        <v>5107</v>
      </c>
      <c r="B5168" s="138">
        <f>'Revenues 9-14'!C147</f>
        <v>4669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750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415209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496982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3306700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200018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93402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316139</v>
      </c>
      <c r="C5246" s="2" t="s">
        <v>594</v>
      </c>
      <c r="D5246" s="2" t="str">
        <f t="shared" si="80"/>
        <v>Error?</v>
      </c>
    </row>
    <row r="5247" spans="1:4" x14ac:dyDescent="0.2">
      <c r="A5247" s="5">
        <v>5186</v>
      </c>
      <c r="B5247" s="138">
        <f>'Revenues 9-14'!C203</f>
        <v>384273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384273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363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363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871385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871385</v>
      </c>
      <c r="C5326" s="2" t="s">
        <v>594</v>
      </c>
      <c r="D5326" s="2" t="str">
        <f t="shared" si="82"/>
        <v>Error?</v>
      </c>
    </row>
    <row r="5327" spans="1:4" x14ac:dyDescent="0.2">
      <c r="A5327" s="5">
        <v>5266</v>
      </c>
      <c r="B5327" s="138">
        <f>'Revenues 9-14'!C275</f>
        <v>4855510</v>
      </c>
      <c r="C5327" s="2" t="s">
        <v>594</v>
      </c>
      <c r="D5327" s="2" t="str">
        <f t="shared" si="82"/>
        <v>Error?</v>
      </c>
    </row>
    <row r="5328" spans="1:4" x14ac:dyDescent="0.2">
      <c r="A5328" s="5">
        <v>5267</v>
      </c>
      <c r="B5328" s="138">
        <f>'Revenues 9-14'!D5</f>
        <v>87450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87450</v>
      </c>
      <c r="C5334" s="2" t="s">
        <v>594</v>
      </c>
      <c r="D5334" s="2" t="str">
        <f t="shared" si="82"/>
        <v>Error?</v>
      </c>
    </row>
    <row r="5335" spans="1:4" x14ac:dyDescent="0.2">
      <c r="A5335" s="5">
        <v>5274</v>
      </c>
      <c r="B5335" s="138">
        <f>'Revenues 9-14'!D14</f>
        <v>1942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1942</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89392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73000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73000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73000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162392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110</v>
      </c>
      <c r="C5552" s="2" t="s">
        <v>594</v>
      </c>
      <c r="D5552" s="2" t="str">
        <f t="shared" si="85"/>
        <v>Error?</v>
      </c>
    </row>
    <row r="5553" spans="1:4" x14ac:dyDescent="0.2">
      <c r="A5553" s="5">
        <v>5492</v>
      </c>
      <c r="B5553" s="138">
        <f>'Revenues 9-14'!F5</f>
        <v>34980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34980</v>
      </c>
      <c r="C5557" s="2" t="s">
        <v>594</v>
      </c>
      <c r="D5557" s="2" t="str">
        <f t="shared" si="85"/>
        <v>Error?</v>
      </c>
    </row>
    <row r="5558" spans="1:4" x14ac:dyDescent="0.2">
      <c r="A5558" s="5">
        <v>5497</v>
      </c>
      <c r="B5558" s="138">
        <f>'Revenues 9-14'!F14</f>
        <v>777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777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35757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218390</v>
      </c>
      <c r="D5615" s="2" t="str">
        <f t="shared" si="86"/>
        <v>Error?</v>
      </c>
    </row>
    <row r="5616" spans="1:4" x14ac:dyDescent="0.2">
      <c r="A5616" s="10">
        <v>5555</v>
      </c>
      <c r="D5616" s="2" t="str">
        <f t="shared" si="86"/>
        <v>OK</v>
      </c>
    </row>
    <row r="5617" spans="1:4" x14ac:dyDescent="0.2">
      <c r="A5617" s="5">
        <v>5556</v>
      </c>
      <c r="B5617" s="138">
        <f>'Revenues 9-14'!F152</f>
        <v>39849</v>
      </c>
      <c r="D5617" s="2" t="str">
        <f t="shared" si="86"/>
        <v>Error?</v>
      </c>
    </row>
    <row r="5618" spans="1:4" x14ac:dyDescent="0.2">
      <c r="A5618" s="5">
        <v>5557</v>
      </c>
      <c r="B5618" s="138">
        <f>'Revenues 9-14'!F154</f>
        <v>258239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258239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293239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328996</v>
      </c>
      <c r="C5720" s="2" t="s">
        <v>594</v>
      </c>
      <c r="D5720" s="2" t="str">
        <f t="shared" si="88"/>
        <v>Error?</v>
      </c>
    </row>
    <row r="5721" spans="1:4" x14ac:dyDescent="0.2">
      <c r="A5721" s="5">
        <v>5660</v>
      </c>
      <c r="B5721" s="138">
        <f>'Revenues 9-14'!G5</f>
        <v>55749</v>
      </c>
      <c r="D5721" s="2" t="str">
        <f t="shared" si="88"/>
        <v>Error?</v>
      </c>
    </row>
    <row r="5722" spans="1:4" x14ac:dyDescent="0.2">
      <c r="A5722" s="5">
        <v>5661</v>
      </c>
      <c r="B5722" s="138">
        <f>'Revenues 9-14'!G7</f>
        <v>0</v>
      </c>
      <c r="D5722" s="2" t="str">
        <f t="shared" si="88"/>
        <v>Error?</v>
      </c>
    </row>
    <row r="5723" spans="1:4" x14ac:dyDescent="0.2">
      <c r="A5723" s="5">
        <v>5662</v>
      </c>
      <c r="B5723" s="138">
        <f>'Revenues 9-14'!G8</f>
        <v>53963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109712</v>
      </c>
      <c r="C5725" s="2" t="s">
        <v>594</v>
      </c>
      <c r="D5725" s="2" t="str">
        <f t="shared" si="88"/>
        <v>Error?</v>
      </c>
    </row>
    <row r="5726" spans="1:4" x14ac:dyDescent="0.2">
      <c r="A5726" s="5">
        <v>5665</v>
      </c>
      <c r="B5726" s="138">
        <f>'Revenues 9-14'!G14</f>
        <v>2447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17447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127159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127159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411.57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27428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27428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27428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27428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27428</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299295</v>
      </c>
      <c r="D6267" s="2" t="str">
        <f t="shared" si="96"/>
        <v>Error?</v>
      </c>
      <c r="E6267" s="2" t="s">
        <v>199</v>
      </c>
    </row>
    <row r="6268" spans="1:5" x14ac:dyDescent="0.2">
      <c r="A6268">
        <v>6207</v>
      </c>
      <c r="B6268" s="138">
        <f>'Acct Summary 7-8'!D82</f>
        <v>26039</v>
      </c>
      <c r="D6268" s="2" t="str">
        <f t="shared" si="96"/>
        <v>Error?</v>
      </c>
      <c r="E6268" s="2" t="s">
        <v>199</v>
      </c>
    </row>
    <row r="6269" spans="1:5" x14ac:dyDescent="0.2">
      <c r="A6269">
        <v>6208</v>
      </c>
      <c r="B6269" s="138">
        <f>'Acct Summary 7-8'!E82</f>
        <v>830</v>
      </c>
      <c r="D6269" s="2" t="str">
        <f t="shared" si="96"/>
        <v>Error?</v>
      </c>
      <c r="E6269" s="2" t="s">
        <v>199</v>
      </c>
    </row>
    <row r="6270" spans="1:5" x14ac:dyDescent="0.2">
      <c r="A6270">
        <v>6209</v>
      </c>
      <c r="B6270" s="138">
        <f>'Acct Summary 7-8'!F82</f>
        <v>64849</v>
      </c>
      <c r="D6270" s="2" t="str">
        <f t="shared" si="96"/>
        <v>Error?</v>
      </c>
      <c r="E6270" s="2" t="s">
        <v>199</v>
      </c>
    </row>
    <row r="6271" spans="1:5" x14ac:dyDescent="0.2">
      <c r="A6271">
        <v>6210</v>
      </c>
      <c r="B6271" s="138">
        <f>'Acct Summary 7-8'!G82</f>
        <v>17140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9.317538808679994E-2</v>
      </c>
      <c r="D6276" s="2" t="str">
        <f t="shared" si="97"/>
        <v>Error?</v>
      </c>
      <c r="E6276" s="2" t="s">
        <v>199</v>
      </c>
    </row>
    <row r="6277" spans="1:5" x14ac:dyDescent="0.2">
      <c r="A6277">
        <v>6216</v>
      </c>
      <c r="B6277" s="138">
        <f>'Acct Summary 7-8'!D83</f>
        <v>0.14305492223424771</v>
      </c>
      <c r="D6277" s="2" t="str">
        <f t="shared" si="97"/>
        <v>Error?</v>
      </c>
      <c r="E6277" s="2" t="s">
        <v>199</v>
      </c>
    </row>
    <row r="6278" spans="1:5" x14ac:dyDescent="0.2">
      <c r="A6278">
        <v>6217</v>
      </c>
      <c r="B6278" s="138">
        <f>'Acct Summary 7-8'!E83</f>
        <v>2.5406348526125683E-2</v>
      </c>
      <c r="D6278" s="2" t="str">
        <f t="shared" si="97"/>
        <v>Error?</v>
      </c>
      <c r="E6278" s="2" t="s">
        <v>199</v>
      </c>
    </row>
    <row r="6279" spans="1:5" x14ac:dyDescent="0.2">
      <c r="A6279">
        <v>6218</v>
      </c>
      <c r="B6279" s="138">
        <f>'Acct Summary 7-8'!F83</f>
        <v>0.66464077072870764</v>
      </c>
      <c r="D6279" s="2" t="str">
        <f t="shared" si="97"/>
        <v>Error?</v>
      </c>
      <c r="E6279" s="2" t="s">
        <v>199</v>
      </c>
    </row>
    <row r="6280" spans="1:5" x14ac:dyDescent="0.2">
      <c r="A6280">
        <v>6219</v>
      </c>
      <c r="B6280" s="138">
        <f>'Acct Summary 7-8'!G83</f>
        <v>0.32801944385968268</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18000</v>
      </c>
      <c r="D6287" s="2" t="str">
        <f t="shared" si="97"/>
        <v>Error?</v>
      </c>
      <c r="E6287" s="2" t="s">
        <v>199</v>
      </c>
    </row>
    <row r="6288" spans="1:5" x14ac:dyDescent="0.2">
      <c r="A6288">
        <v>6227</v>
      </c>
      <c r="B6288" s="138">
        <f>'Acct Summary 7-8'!E40</f>
        <v>7690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26827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26827</v>
      </c>
      <c r="D6301" s="2" t="str">
        <f t="shared" si="97"/>
        <v>Error?</v>
      </c>
      <c r="E6301" s="2" t="s">
        <v>199</v>
      </c>
    </row>
    <row r="6302" spans="1:5" x14ac:dyDescent="0.2">
      <c r="A6302">
        <v>6241</v>
      </c>
      <c r="B6302" s="138">
        <f>'Revenues 9-14'!J14</f>
        <v>601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601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27428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3310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170848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214894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6750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27428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27428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27428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27428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27428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27428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27428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27428</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18530</v>
      </c>
      <c r="D7246" s="2" t="str">
        <f t="shared" si="112"/>
        <v>Error?</v>
      </c>
    </row>
    <row r="7247" spans="1:4" x14ac:dyDescent="0.2">
      <c r="A7247">
        <f t="shared" si="113"/>
        <v>7186</v>
      </c>
      <c r="B7247" s="138">
        <f>'Expenditures 15-22'!E7</f>
        <v>7050</v>
      </c>
      <c r="D7247" s="2" t="str">
        <f t="shared" si="112"/>
        <v>Error?</v>
      </c>
    </row>
    <row r="7248" spans="1:4" x14ac:dyDescent="0.2">
      <c r="A7248">
        <f t="shared" si="113"/>
        <v>7187</v>
      </c>
      <c r="B7248" s="138">
        <f>'Expenditures 15-22'!F7</f>
        <v>17741</v>
      </c>
      <c r="D7248" s="2" t="str">
        <f t="shared" si="112"/>
        <v>Error?</v>
      </c>
    </row>
    <row r="7249" spans="1:4" x14ac:dyDescent="0.2">
      <c r="A7249">
        <f t="shared" si="113"/>
        <v>7188</v>
      </c>
      <c r="B7249" s="138">
        <f>'Expenditures 15-22'!G7</f>
        <v>725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6750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202719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18000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7690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967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4669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4669</v>
      </c>
      <c r="D7719" s="2" t="str">
        <f t="shared" si="126"/>
        <v>Error?</v>
      </c>
      <c r="E7719" s="2" t="s">
        <v>881</v>
      </c>
    </row>
    <row r="7720" spans="1:6" x14ac:dyDescent="0.2">
      <c r="A7720">
        <v>7659</v>
      </c>
      <c r="B7720" s="138">
        <f>'Rest Tax Levies-Tort Im 25'!H14</f>
        <v>6121</v>
      </c>
      <c r="D7720" s="2" t="str">
        <f t="shared" si="126"/>
        <v>Error?</v>
      </c>
      <c r="E7720" s="2" t="s">
        <v>881</v>
      </c>
    </row>
    <row r="7721" spans="1:6" x14ac:dyDescent="0.2">
      <c r="A7721">
        <v>7660</v>
      </c>
      <c r="B7721" s="138">
        <f>'Rest Tax Levies-Tort Im 25'!K14</f>
        <v>4669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252837</v>
      </c>
      <c r="D7797" s="2" t="str">
        <f t="shared" si="127"/>
        <v>Error?</v>
      </c>
      <c r="E7797" s="4" t="s">
        <v>2016</v>
      </c>
    </row>
    <row r="7798" spans="1:5" x14ac:dyDescent="0.2">
      <c r="A7798">
        <v>7737</v>
      </c>
      <c r="B7798" s="138">
        <f>'Contracts Paid in CY 29'!F141</f>
        <v>25000</v>
      </c>
      <c r="D7798" s="2" t="str">
        <f t="shared" si="127"/>
        <v>Error?</v>
      </c>
      <c r="E7798" s="4" t="s">
        <v>2016</v>
      </c>
    </row>
    <row r="7799" spans="1:5" x14ac:dyDescent="0.2">
      <c r="A7799">
        <v>7738</v>
      </c>
      <c r="B7799" s="138">
        <f>'Contracts Paid in CY 29'!G141</f>
        <v>227837</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M46" sqref="M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1253</v>
      </c>
      <c r="B2" s="2412"/>
      <c r="C2" s="2412"/>
      <c r="D2" s="2412"/>
      <c r="E2" s="2412"/>
      <c r="F2" s="2412"/>
      <c r="G2" s="2412"/>
      <c r="H2" s="2412"/>
      <c r="I2" s="2412"/>
      <c r="J2" s="2412"/>
      <c r="K2" s="2412"/>
      <c r="L2" s="2412"/>
    </row>
    <row r="3" spans="1:29" ht="13.5" customHeight="1" x14ac:dyDescent="0.2">
      <c r="A3" s="2443" t="s">
        <v>1252</v>
      </c>
      <c r="B3" s="2443"/>
      <c r="C3" s="2443"/>
      <c r="D3" s="2443"/>
      <c r="E3" s="2443"/>
      <c r="F3" s="2443"/>
      <c r="G3" s="2443"/>
      <c r="H3" s="2443"/>
      <c r="I3" s="2443"/>
      <c r="J3" s="2443"/>
      <c r="K3" s="2443"/>
      <c r="L3" s="2443"/>
    </row>
    <row r="4" spans="1:29" ht="13.5" customHeight="1" x14ac:dyDescent="0.2">
      <c r="A4" s="2412" t="s">
        <v>1799</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4" t="str">
        <f>COVER!A17</f>
        <v>Egyptian CUSD 5</v>
      </c>
      <c r="B7" s="2435"/>
      <c r="C7" s="2435"/>
      <c r="D7" s="2436"/>
      <c r="E7" s="2437">
        <f>COVER!A13</f>
        <v>30002005026</v>
      </c>
      <c r="F7" s="2438"/>
      <c r="G7" s="2444" t="str">
        <f>COVER!T23</f>
        <v>066-003889</v>
      </c>
      <c r="H7" s="2445"/>
      <c r="I7" s="2445"/>
      <c r="J7" s="2445"/>
      <c r="K7" s="2445"/>
      <c r="L7" s="244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7"/>
      <c r="B9" s="2448"/>
      <c r="C9" s="2448"/>
      <c r="D9" s="2448"/>
      <c r="E9" s="2448"/>
      <c r="F9" s="2449"/>
      <c r="G9" s="2418" t="str">
        <f>COVER!T13</f>
        <v>Beussink, Hey, Roe &amp; Stroder, LLC</v>
      </c>
      <c r="H9" s="2450"/>
      <c r="I9" s="2450"/>
      <c r="J9" s="2450"/>
      <c r="K9" s="2450"/>
      <c r="L9" s="2451"/>
    </row>
    <row r="10" spans="1:29" ht="13.5" customHeight="1" x14ac:dyDescent="0.2">
      <c r="A10" s="2424">
        <f>COVER!A38</f>
        <v>0</v>
      </c>
      <c r="B10" s="2425"/>
      <c r="C10" s="2425"/>
      <c r="D10" s="2425"/>
      <c r="E10" s="2425"/>
      <c r="F10" s="2426"/>
      <c r="G10" s="2418" t="str">
        <f>COVER!T17</f>
        <v>16 S. Silver Springs Road</v>
      </c>
      <c r="H10" s="2419"/>
      <c r="I10" s="2419"/>
      <c r="J10" s="2419"/>
      <c r="K10" s="2419"/>
      <c r="L10" s="2420"/>
    </row>
    <row r="11" spans="1:29" ht="13.5" customHeight="1" x14ac:dyDescent="0.2">
      <c r="A11" s="1184" t="s">
        <v>1599</v>
      </c>
      <c r="B11" s="1185"/>
      <c r="C11" s="1186"/>
      <c r="D11" s="1191"/>
      <c r="E11" s="1186"/>
      <c r="F11" s="1190"/>
      <c r="G11" s="2418" t="str">
        <f>COVER!T19</f>
        <v>Cape Girardeau</v>
      </c>
      <c r="H11" s="2419"/>
      <c r="I11" s="2419"/>
      <c r="J11" s="2419"/>
      <c r="K11" s="2419"/>
      <c r="L11" s="2420"/>
    </row>
    <row r="12" spans="1:29" ht="13.5" customHeight="1" x14ac:dyDescent="0.2">
      <c r="A12" s="2427" t="s">
        <v>1598</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1600</v>
      </c>
      <c r="H13" s="2414"/>
      <c r="I13" s="2430" t="str">
        <f>COVER!T25</f>
        <v>jstroder@bhrcpas.com</v>
      </c>
      <c r="J13" s="2431"/>
      <c r="K13" s="2431"/>
      <c r="L13" s="2432"/>
    </row>
    <row r="14" spans="1:29" ht="13.5" customHeight="1" x14ac:dyDescent="0.2">
      <c r="A14" s="2418" t="str">
        <f>COVER!A19</f>
        <v>20023 Diswood Road</v>
      </c>
      <c r="B14" s="2419"/>
      <c r="C14" s="2419"/>
      <c r="D14" s="2419"/>
      <c r="E14" s="2419"/>
      <c r="F14" s="2420"/>
      <c r="G14" s="1195" t="s">
        <v>1247</v>
      </c>
      <c r="H14" s="1193"/>
      <c r="I14" s="1193"/>
      <c r="J14" s="1193"/>
      <c r="K14" s="1193"/>
      <c r="L14" s="1194"/>
    </row>
    <row r="15" spans="1:29" ht="13.5" customHeight="1" x14ac:dyDescent="0.2">
      <c r="A15" s="2418" t="str">
        <f>COVER!A21</f>
        <v>Tamms</v>
      </c>
      <c r="B15" s="2419"/>
      <c r="C15" s="2419"/>
      <c r="D15" s="2419"/>
      <c r="E15" s="2419"/>
      <c r="F15" s="2420"/>
      <c r="G15" s="2415" t="str">
        <f>COVER!T15</f>
        <v>Jeffrey C. Stroder, CPA</v>
      </c>
      <c r="H15" s="2416"/>
      <c r="I15" s="2416"/>
      <c r="J15" s="2416"/>
      <c r="K15" s="2416"/>
      <c r="L15" s="2417"/>
    </row>
    <row r="16" spans="1:29" ht="12.2" customHeight="1" x14ac:dyDescent="0.2">
      <c r="A16" s="2440">
        <f>COVER!A25</f>
        <v>62988</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5" t="s">
        <v>1246</v>
      </c>
      <c r="H17" s="1193"/>
      <c r="I17" s="1193"/>
      <c r="J17" s="1193"/>
      <c r="K17" s="1197" t="s">
        <v>1245</v>
      </c>
      <c r="L17" s="1190"/>
      <c r="M17" s="1183"/>
    </row>
    <row r="18" spans="1:13" ht="12.2" customHeight="1" x14ac:dyDescent="0.2">
      <c r="A18" s="2424"/>
      <c r="B18" s="2425"/>
      <c r="C18" s="2425"/>
      <c r="D18" s="2425"/>
      <c r="E18" s="2425"/>
      <c r="F18" s="2426"/>
      <c r="G18" s="2434" t="str">
        <f>COVER!T21</f>
        <v>573-334-7971</v>
      </c>
      <c r="H18" s="2435"/>
      <c r="I18" s="2435"/>
      <c r="J18" s="2435"/>
      <c r="K18" s="2434" t="str">
        <f>COVER!X21</f>
        <v>573-334-8875</v>
      </c>
      <c r="L18" s="243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M46" sqref="M46"/>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6" t="str">
        <f>'Single Audit Cover'!A7</f>
        <v>Egyptian CUSD 5</v>
      </c>
      <c r="B1" s="2433"/>
      <c r="C1" s="2433"/>
      <c r="D1" s="2433"/>
    </row>
    <row r="2" spans="1:11" s="1214" customFormat="1" ht="12.75" x14ac:dyDescent="0.2">
      <c r="A2" s="2457">
        <f>'Single Audit Cover'!E7</f>
        <v>30002005026</v>
      </c>
      <c r="B2" s="2458"/>
      <c r="C2" s="2458"/>
      <c r="D2" s="2458"/>
    </row>
    <row r="3" spans="1:11" s="1214" customFormat="1" ht="12.75" x14ac:dyDescent="0.2">
      <c r="A3" s="2456" t="s">
        <v>1593</v>
      </c>
      <c r="B3" s="2433"/>
      <c r="C3" s="2433"/>
      <c r="D3" s="243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0" t="str">
        <f>'Single Audit Cover'!A7</f>
        <v>Egyptian CUSD 5</v>
      </c>
      <c r="B1" s="2460"/>
      <c r="C1" s="2460"/>
      <c r="D1" s="2460"/>
      <c r="E1" s="2460"/>
    </row>
    <row r="2" spans="1:5" x14ac:dyDescent="0.2">
      <c r="A2" s="2461">
        <f>'Single Audit Cover'!E7</f>
        <v>30002005026</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59" t="s">
        <v>1305</v>
      </c>
    </row>
    <row r="10" spans="1:5" x14ac:dyDescent="0.2">
      <c r="A10" s="1260" t="s">
        <v>1304</v>
      </c>
      <c r="B10" s="1261" t="s">
        <v>1303</v>
      </c>
      <c r="C10" s="1261"/>
      <c r="D10" s="1262">
        <f>SUM('Acct Summary 7-8'!C7:K7)</f>
        <v>871385</v>
      </c>
    </row>
    <row r="11" spans="1:5" ht="18" customHeight="1" x14ac:dyDescent="0.2">
      <c r="A11" s="1260" t="s">
        <v>1302</v>
      </c>
      <c r="B11" s="1261"/>
      <c r="C11" s="1261"/>
    </row>
    <row r="12" spans="1:5" x14ac:dyDescent="0.2">
      <c r="A12" s="1260" t="s">
        <v>1301</v>
      </c>
      <c r="B12" s="1261" t="s">
        <v>1300</v>
      </c>
      <c r="C12" s="1261"/>
      <c r="D12" s="1263">
        <f>SUM('Revenues 9-14'!C112:D112,'Revenues 9-14'!F112:G112)</f>
        <v>25974</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1952</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897359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2"/>
      <c r="B24" s="2462"/>
      <c r="D24" s="1267"/>
    </row>
    <row r="25" spans="1:4" x14ac:dyDescent="0.2">
      <c r="A25" s="2459"/>
      <c r="B25" s="2459"/>
      <c r="D25" s="1267"/>
    </row>
    <row r="26" spans="1:4" x14ac:dyDescent="0.2">
      <c r="A26" s="2459"/>
      <c r="B26" s="2459"/>
      <c r="D26" s="1267"/>
    </row>
    <row r="27" spans="1:4" x14ac:dyDescent="0.2">
      <c r="A27" s="2459"/>
      <c r="B27" s="2459"/>
      <c r="D27" s="1267"/>
    </row>
    <row r="28" spans="1:4" x14ac:dyDescent="0.2">
      <c r="A28" s="2459"/>
      <c r="B28" s="2459"/>
      <c r="D28" s="1267"/>
    </row>
    <row r="29" spans="1:4" x14ac:dyDescent="0.2">
      <c r="A29" s="2459"/>
      <c r="B29" s="2459"/>
      <c r="D29" s="1267"/>
    </row>
    <row r="30" spans="1:4" x14ac:dyDescent="0.2">
      <c r="A30" s="2459"/>
      <c r="B30" s="2459"/>
      <c r="D30" s="1267"/>
    </row>
    <row r="32" spans="1:4" x14ac:dyDescent="0.2">
      <c r="A32" s="1259" t="s">
        <v>1295</v>
      </c>
      <c r="D32" s="1262">
        <f>SUM(D19:D30)</f>
        <v>897359</v>
      </c>
    </row>
    <row r="33" spans="1:4" x14ac:dyDescent="0.2">
      <c r="D33" s="1268"/>
    </row>
    <row r="34" spans="1:4" x14ac:dyDescent="0.2">
      <c r="A34" s="317" t="s">
        <v>1294</v>
      </c>
    </row>
    <row r="35" spans="1:4" x14ac:dyDescent="0.2">
      <c r="A35" s="317" t="s">
        <v>1293</v>
      </c>
      <c r="B35" s="1257" t="s">
        <v>1292</v>
      </c>
      <c r="D35" s="1269">
        <v>897359</v>
      </c>
    </row>
    <row r="37" spans="1:4" x14ac:dyDescent="0.2">
      <c r="A37" s="1259" t="s">
        <v>1291</v>
      </c>
    </row>
    <row r="39" spans="1:4" ht="13.35" customHeight="1" x14ac:dyDescent="0.2">
      <c r="A39" s="1266" t="s">
        <v>1290</v>
      </c>
    </row>
    <row r="40" spans="1:4" x14ac:dyDescent="0.2">
      <c r="A40" s="2459"/>
      <c r="B40" s="2459"/>
      <c r="D40" s="1267"/>
    </row>
    <row r="41" spans="1:4" x14ac:dyDescent="0.2">
      <c r="A41" s="2459"/>
      <c r="B41" s="2459"/>
      <c r="D41" s="1270"/>
    </row>
    <row r="42" spans="1:4" x14ac:dyDescent="0.2">
      <c r="A42" s="2459"/>
      <c r="B42" s="2459"/>
      <c r="D42" s="1270"/>
    </row>
    <row r="43" spans="1:4" x14ac:dyDescent="0.2">
      <c r="A43" s="2459"/>
      <c r="B43" s="2459"/>
      <c r="D43" s="1270"/>
    </row>
    <row r="44" spans="1:4" x14ac:dyDescent="0.2">
      <c r="A44" s="2459"/>
      <c r="B44" s="2459"/>
      <c r="D44" s="1270"/>
    </row>
    <row r="45" spans="1:4" x14ac:dyDescent="0.2">
      <c r="A45" s="2459"/>
      <c r="B45" s="2459"/>
      <c r="D45" s="1270"/>
    </row>
    <row r="47" spans="1:4" x14ac:dyDescent="0.2">
      <c r="B47" s="1271" t="s">
        <v>1289</v>
      </c>
      <c r="C47" s="1271"/>
      <c r="D47" s="1272">
        <f>SUM(D35:D45)</f>
        <v>897359</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6" zoomScaleNormal="100" workbookViewId="0">
      <selection activeCell="M46" sqref="M46"/>
    </sheetView>
  </sheetViews>
  <sheetFormatPr defaultColWidth="33.5703125" defaultRowHeight="12.75" x14ac:dyDescent="0.2"/>
  <cols>
    <col min="1" max="1" width="0.140625" style="317" customWidth="1"/>
    <col min="2" max="2" width="39"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Egyptian CUSD 5</v>
      </c>
      <c r="C1" s="2464"/>
      <c r="D1" s="2464"/>
      <c r="E1" s="2464"/>
      <c r="F1" s="2464"/>
      <c r="G1" s="2464"/>
      <c r="H1" s="2464"/>
      <c r="I1" s="2464"/>
      <c r="J1" s="2464"/>
      <c r="K1" s="2464"/>
      <c r="L1" s="2464"/>
      <c r="M1" s="2464"/>
    </row>
    <row r="2" spans="2:14" ht="15" x14ac:dyDescent="0.2">
      <c r="B2" s="2465">
        <f>'Single Audit Cover'!E7</f>
        <v>30002005026</v>
      </c>
      <c r="C2" s="2465"/>
      <c r="D2" s="2465"/>
      <c r="E2" s="2465"/>
      <c r="F2" s="2465"/>
      <c r="G2" s="2465"/>
      <c r="H2" s="2465"/>
      <c r="I2" s="2465"/>
      <c r="J2" s="2465"/>
      <c r="K2" s="2465"/>
      <c r="L2" s="2465"/>
      <c r="M2" s="2465"/>
      <c r="N2" s="1301"/>
    </row>
    <row r="3" spans="2:14" ht="15" x14ac:dyDescent="0.2">
      <c r="B3" s="2466" t="s">
        <v>1281</v>
      </c>
      <c r="C3" s="2466"/>
      <c r="D3" s="2466"/>
      <c r="E3" s="2466"/>
      <c r="F3" s="2466"/>
      <c r="G3" s="2466"/>
      <c r="H3" s="2466"/>
      <c r="I3" s="2466"/>
      <c r="J3" s="2466"/>
      <c r="K3" s="2466"/>
      <c r="L3" s="2466"/>
      <c r="M3" s="2466"/>
      <c r="N3" s="1301"/>
    </row>
    <row r="4" spans="2:14" ht="15" x14ac:dyDescent="0.2">
      <c r="B4" s="2467" t="str">
        <f>'Single Audit Cover'!A4</f>
        <v>Year Ending June 30, 2018</v>
      </c>
      <c r="C4" s="2467"/>
      <c r="D4" s="2467"/>
      <c r="E4" s="2467"/>
      <c r="F4" s="2467"/>
      <c r="G4" s="2467"/>
      <c r="H4" s="2467"/>
      <c r="I4" s="2467"/>
      <c r="J4" s="2467"/>
      <c r="K4" s="2467"/>
      <c r="L4" s="2467"/>
      <c r="M4" s="2467"/>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9" t="s">
        <v>2111</v>
      </c>
      <c r="C11" s="1960"/>
      <c r="D11" s="1961"/>
      <c r="E11" s="1337"/>
      <c r="F11" s="1337"/>
      <c r="G11" s="1337"/>
      <c r="H11" s="1337"/>
      <c r="I11" s="1337"/>
      <c r="J11" s="1337"/>
      <c r="K11" s="1337"/>
      <c r="L11" s="1337"/>
      <c r="M11" s="1337"/>
    </row>
    <row r="12" spans="2:14" ht="20.100000000000001" customHeight="1" x14ac:dyDescent="0.2">
      <c r="B12" s="1959" t="s">
        <v>2112</v>
      </c>
      <c r="C12" s="1962" t="s">
        <v>2107</v>
      </c>
      <c r="D12" s="1963" t="s">
        <v>2123</v>
      </c>
      <c r="E12" s="1340">
        <v>23381</v>
      </c>
      <c r="F12" s="1340"/>
      <c r="G12" s="1340">
        <v>23381</v>
      </c>
      <c r="H12" s="1340"/>
      <c r="I12" s="1340"/>
      <c r="J12" s="1340"/>
      <c r="K12" s="1340"/>
      <c r="L12" s="1337">
        <f t="shared" ref="L12:L24" si="0">+G12+I12+K12</f>
        <v>23381</v>
      </c>
      <c r="M12" s="1340">
        <v>23000</v>
      </c>
    </row>
    <row r="13" spans="2:14" ht="20.100000000000001" customHeight="1" x14ac:dyDescent="0.2">
      <c r="B13" s="1959" t="s">
        <v>2112</v>
      </c>
      <c r="C13" s="1962" t="s">
        <v>2122</v>
      </c>
      <c r="D13" s="1963" t="s">
        <v>2125</v>
      </c>
      <c r="E13" s="1340"/>
      <c r="F13" s="1340">
        <v>21752</v>
      </c>
      <c r="G13" s="1340"/>
      <c r="H13" s="1340"/>
      <c r="I13" s="1340">
        <v>21752</v>
      </c>
      <c r="J13" s="1340"/>
      <c r="K13" s="1340"/>
      <c r="L13" s="1337">
        <f t="shared" si="0"/>
        <v>21752</v>
      </c>
      <c r="M13" s="1340">
        <v>23000</v>
      </c>
    </row>
    <row r="14" spans="2:14" ht="20.100000000000001" customHeight="1" x14ac:dyDescent="0.2">
      <c r="B14" s="1959" t="s">
        <v>2113</v>
      </c>
      <c r="C14" s="1962"/>
      <c r="D14" s="1963"/>
      <c r="E14" s="1340">
        <f t="shared" ref="E14:K14" si="1">SUM(E12:E13)</f>
        <v>23381</v>
      </c>
      <c r="F14" s="1340">
        <f t="shared" si="1"/>
        <v>21752</v>
      </c>
      <c r="G14" s="1340">
        <f t="shared" si="1"/>
        <v>23381</v>
      </c>
      <c r="H14" s="1340">
        <f t="shared" si="1"/>
        <v>0</v>
      </c>
      <c r="I14" s="1340">
        <f t="shared" si="1"/>
        <v>21752</v>
      </c>
      <c r="J14" s="1340">
        <f t="shared" si="1"/>
        <v>0</v>
      </c>
      <c r="K14" s="1340">
        <f t="shared" si="1"/>
        <v>0</v>
      </c>
      <c r="L14" s="1337">
        <f t="shared" si="0"/>
        <v>45133</v>
      </c>
      <c r="M14" s="1340">
        <f>SUM(M12:M13)</f>
        <v>46000</v>
      </c>
    </row>
    <row r="15" spans="2:14" ht="20.100000000000001" customHeight="1" x14ac:dyDescent="0.2">
      <c r="B15" s="1959"/>
      <c r="C15" s="1962"/>
      <c r="D15" s="1963"/>
      <c r="E15" s="1340"/>
      <c r="F15" s="1340"/>
      <c r="G15" s="1340"/>
      <c r="H15" s="1340"/>
      <c r="I15" s="1340"/>
      <c r="J15" s="1340"/>
      <c r="K15" s="1340"/>
      <c r="L15" s="1337"/>
      <c r="M15" s="1340"/>
    </row>
    <row r="16" spans="2:14" ht="20.100000000000001" customHeight="1" x14ac:dyDescent="0.2">
      <c r="B16" s="1959" t="s">
        <v>2114</v>
      </c>
      <c r="C16" s="1962"/>
      <c r="D16" s="1963"/>
      <c r="E16" s="1340"/>
      <c r="F16" s="1340"/>
      <c r="G16" s="1340"/>
      <c r="H16" s="1340"/>
      <c r="I16" s="1340"/>
      <c r="J16" s="1340"/>
      <c r="K16" s="1340"/>
      <c r="L16" s="1337"/>
      <c r="M16" s="1340"/>
    </row>
    <row r="17" spans="2:14" ht="20.100000000000001" customHeight="1" x14ac:dyDescent="0.2">
      <c r="B17" s="1959" t="s">
        <v>2115</v>
      </c>
      <c r="C17" s="1962">
        <v>10.553000000000001</v>
      </c>
      <c r="D17" s="1963" t="s">
        <v>2120</v>
      </c>
      <c r="E17" s="1340">
        <v>68989</v>
      </c>
      <c r="F17" s="1340">
        <v>18819</v>
      </c>
      <c r="G17" s="1340">
        <v>68989</v>
      </c>
      <c r="H17" s="1340"/>
      <c r="I17" s="1340">
        <v>18819</v>
      </c>
      <c r="J17" s="1340"/>
      <c r="K17" s="1340"/>
      <c r="L17" s="1337">
        <f t="shared" si="0"/>
        <v>87808</v>
      </c>
      <c r="M17" s="1340"/>
    </row>
    <row r="18" spans="2:14" ht="20.100000000000001" customHeight="1" x14ac:dyDescent="0.2">
      <c r="B18" s="1959" t="s">
        <v>2115</v>
      </c>
      <c r="C18" s="1962">
        <v>10.553000000000001</v>
      </c>
      <c r="D18" s="1963" t="s">
        <v>2126</v>
      </c>
      <c r="E18" s="1340"/>
      <c r="F18" s="1340">
        <v>74584</v>
      </c>
      <c r="G18" s="1340"/>
      <c r="H18" s="1340"/>
      <c r="I18" s="1340">
        <v>74584</v>
      </c>
      <c r="J18" s="1340"/>
      <c r="K18" s="1340"/>
      <c r="L18" s="1337">
        <f t="shared" si="0"/>
        <v>74584</v>
      </c>
      <c r="M18" s="1340"/>
    </row>
    <row r="19" spans="2:14" ht="20.100000000000001" customHeight="1" x14ac:dyDescent="0.2">
      <c r="B19" s="1959" t="s">
        <v>2116</v>
      </c>
      <c r="C19" s="1962"/>
      <c r="D19" s="1963"/>
      <c r="E19" s="1340">
        <f t="shared" ref="E19:K19" si="2">SUM(E17:E18)</f>
        <v>68989</v>
      </c>
      <c r="F19" s="1340">
        <f t="shared" si="2"/>
        <v>93403</v>
      </c>
      <c r="G19" s="1340">
        <f t="shared" si="2"/>
        <v>68989</v>
      </c>
      <c r="H19" s="1340">
        <f t="shared" si="2"/>
        <v>0</v>
      </c>
      <c r="I19" s="1340">
        <f t="shared" si="2"/>
        <v>93403</v>
      </c>
      <c r="J19" s="1340">
        <f t="shared" si="2"/>
        <v>0</v>
      </c>
      <c r="K19" s="1340">
        <f t="shared" si="2"/>
        <v>0</v>
      </c>
      <c r="L19" s="1337">
        <f t="shared" si="0"/>
        <v>162392</v>
      </c>
      <c r="M19" s="1340">
        <f>SUM(M17:M18)</f>
        <v>0</v>
      </c>
    </row>
    <row r="20" spans="2:14" ht="20.100000000000001" customHeight="1" x14ac:dyDescent="0.2">
      <c r="B20" s="1959"/>
      <c r="C20" s="1962"/>
      <c r="D20" s="1963"/>
      <c r="E20" s="1340"/>
      <c r="F20" s="1340"/>
      <c r="G20" s="1340"/>
      <c r="H20" s="1340"/>
      <c r="I20" s="1340"/>
      <c r="J20" s="1340"/>
      <c r="K20" s="1340"/>
      <c r="L20" s="1337"/>
      <c r="M20" s="1340"/>
    </row>
    <row r="21" spans="2:14" ht="20.100000000000001" customHeight="1" x14ac:dyDescent="0.2">
      <c r="B21" s="1959" t="s">
        <v>2117</v>
      </c>
      <c r="C21" s="1962"/>
      <c r="D21" s="1963"/>
      <c r="E21" s="1340"/>
      <c r="F21" s="1340"/>
      <c r="G21" s="1340"/>
      <c r="H21" s="1340"/>
      <c r="I21" s="1340"/>
      <c r="J21" s="1340"/>
      <c r="K21" s="1340"/>
      <c r="L21" s="1337"/>
      <c r="M21" s="1340"/>
    </row>
    <row r="22" spans="2:14" ht="20.100000000000001" customHeight="1" x14ac:dyDescent="0.2">
      <c r="B22" s="1959" t="s">
        <v>2118</v>
      </c>
      <c r="C22" s="1962">
        <v>10.555</v>
      </c>
      <c r="D22" s="1963" t="s">
        <v>2121</v>
      </c>
      <c r="E22" s="1340">
        <v>174215</v>
      </c>
      <c r="F22" s="1340">
        <v>40825</v>
      </c>
      <c r="G22" s="1340">
        <v>174215</v>
      </c>
      <c r="H22" s="1340"/>
      <c r="I22" s="1340">
        <v>40825</v>
      </c>
      <c r="J22" s="1340"/>
      <c r="K22" s="1340"/>
      <c r="L22" s="1337">
        <f t="shared" si="0"/>
        <v>215040</v>
      </c>
      <c r="M22" s="1340"/>
    </row>
    <row r="23" spans="2:14" ht="20.100000000000001" customHeight="1" x14ac:dyDescent="0.2">
      <c r="B23" s="1959" t="s">
        <v>2118</v>
      </c>
      <c r="C23" s="1962">
        <v>10.555</v>
      </c>
      <c r="D23" s="1963" t="s">
        <v>2127</v>
      </c>
      <c r="E23" s="1340"/>
      <c r="F23" s="1340">
        <v>159193</v>
      </c>
      <c r="G23" s="1340"/>
      <c r="H23" s="1340"/>
      <c r="I23" s="1340">
        <v>159193</v>
      </c>
      <c r="J23" s="1340"/>
      <c r="K23" s="1340"/>
      <c r="L23" s="1337">
        <f t="shared" si="0"/>
        <v>159193</v>
      </c>
      <c r="M23" s="1340"/>
    </row>
    <row r="24" spans="2:14" ht="20.100000000000001" customHeight="1" x14ac:dyDescent="0.2">
      <c r="B24" s="1959" t="s">
        <v>2119</v>
      </c>
      <c r="C24" s="1962"/>
      <c r="D24" s="1963"/>
      <c r="E24" s="1340">
        <f t="shared" ref="E24:K24" si="3">SUM(E22:E23)</f>
        <v>174215</v>
      </c>
      <c r="F24" s="1340">
        <f t="shared" si="3"/>
        <v>200018</v>
      </c>
      <c r="G24" s="1340">
        <f t="shared" si="3"/>
        <v>174215</v>
      </c>
      <c r="H24" s="1340">
        <f t="shared" si="3"/>
        <v>0</v>
      </c>
      <c r="I24" s="1340">
        <f t="shared" si="3"/>
        <v>200018</v>
      </c>
      <c r="J24" s="1340">
        <f t="shared" si="3"/>
        <v>0</v>
      </c>
      <c r="K24" s="1340">
        <f t="shared" si="3"/>
        <v>0</v>
      </c>
      <c r="L24" s="1337">
        <f t="shared" si="0"/>
        <v>374233</v>
      </c>
      <c r="M24" s="1340">
        <f>SUM(M22:M23)</f>
        <v>0</v>
      </c>
    </row>
    <row r="25" spans="2:14" ht="20.100000000000001" customHeight="1" x14ac:dyDescent="0.2">
      <c r="B25" s="1959"/>
      <c r="C25" s="1962"/>
      <c r="D25" s="1963"/>
      <c r="E25" s="1340"/>
      <c r="F25" s="1340"/>
      <c r="G25" s="1340"/>
      <c r="H25" s="1340"/>
      <c r="I25" s="1340"/>
      <c r="J25" s="1340"/>
      <c r="K25" s="1340"/>
      <c r="L25" s="1337"/>
      <c r="M25" s="1340"/>
    </row>
    <row r="26" spans="2:14" ht="20.100000000000001" customHeight="1" x14ac:dyDescent="0.2">
      <c r="B26" s="1959" t="s">
        <v>2124</v>
      </c>
      <c r="C26" s="1962"/>
      <c r="D26" s="1963"/>
      <c r="E26" s="1340">
        <f t="shared" ref="E26:M26" si="4">E19+E24</f>
        <v>243204</v>
      </c>
      <c r="F26" s="1340">
        <f t="shared" si="4"/>
        <v>293421</v>
      </c>
      <c r="G26" s="1340">
        <f t="shared" si="4"/>
        <v>243204</v>
      </c>
      <c r="H26" s="1340">
        <f t="shared" si="4"/>
        <v>0</v>
      </c>
      <c r="I26" s="1340">
        <f t="shared" si="4"/>
        <v>293421</v>
      </c>
      <c r="J26" s="1340">
        <f t="shared" si="4"/>
        <v>0</v>
      </c>
      <c r="K26" s="1340">
        <f t="shared" si="4"/>
        <v>0</v>
      </c>
      <c r="L26" s="1340">
        <f t="shared" si="4"/>
        <v>536625</v>
      </c>
      <c r="M26" s="1340">
        <f t="shared" si="4"/>
        <v>0</v>
      </c>
    </row>
    <row r="27" spans="2:14" ht="20.100000000000001" customHeight="1" x14ac:dyDescent="0.2">
      <c r="B27" s="1336"/>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1837</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1947</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1308</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9" t="s">
        <v>1667</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1840</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1841</v>
      </c>
      <c r="C45" s="1365"/>
      <c r="D45" s="1366"/>
      <c r="E45" s="1299"/>
      <c r="F45" s="1299"/>
      <c r="G45" s="1299"/>
      <c r="H45" s="1299"/>
      <c r="I45" s="1299"/>
      <c r="J45" s="1299"/>
      <c r="K45" s="1367"/>
      <c r="L45" s="1367"/>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8"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0" zoomScaleNormal="100" workbookViewId="0">
      <selection activeCell="M46" sqref="M46"/>
    </sheetView>
  </sheetViews>
  <sheetFormatPr defaultColWidth="33.5703125" defaultRowHeight="12.75" x14ac:dyDescent="0.2"/>
  <cols>
    <col min="1" max="1" width="0.140625" style="317" customWidth="1"/>
    <col min="2" max="2" width="41.4257812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Egyptian CUSD 5</v>
      </c>
      <c r="C1" s="2464"/>
      <c r="D1" s="2464"/>
      <c r="E1" s="2464"/>
      <c r="F1" s="2464"/>
      <c r="G1" s="2464"/>
      <c r="H1" s="2464"/>
      <c r="I1" s="2464"/>
      <c r="J1" s="2464"/>
      <c r="K1" s="2464"/>
      <c r="L1" s="2464"/>
      <c r="M1" s="2464"/>
    </row>
    <row r="2" spans="2:14" ht="15" x14ac:dyDescent="0.2">
      <c r="B2" s="2465">
        <f>'Single Audit Cover'!E7</f>
        <v>30002005026</v>
      </c>
      <c r="C2" s="2465"/>
      <c r="D2" s="2465"/>
      <c r="E2" s="2465"/>
      <c r="F2" s="2465"/>
      <c r="G2" s="2465"/>
      <c r="H2" s="2465"/>
      <c r="I2" s="2465"/>
      <c r="J2" s="2465"/>
      <c r="K2" s="2465"/>
      <c r="L2" s="2465"/>
      <c r="M2" s="2465"/>
      <c r="N2" s="1301"/>
    </row>
    <row r="3" spans="2:14" ht="15" x14ac:dyDescent="0.2">
      <c r="B3" s="2466" t="s">
        <v>1281</v>
      </c>
      <c r="C3" s="2466"/>
      <c r="D3" s="2466"/>
      <c r="E3" s="2466"/>
      <c r="F3" s="2466"/>
      <c r="G3" s="2466"/>
      <c r="H3" s="2466"/>
      <c r="I3" s="2466"/>
      <c r="J3" s="2466"/>
      <c r="K3" s="2466"/>
      <c r="L3" s="2466"/>
      <c r="M3" s="2466"/>
      <c r="N3" s="1301"/>
    </row>
    <row r="4" spans="2:14" ht="15" x14ac:dyDescent="0.2">
      <c r="B4" s="2467" t="str">
        <f>'Single Audit Cover'!A4</f>
        <v>Year Ending June 30, 2018</v>
      </c>
      <c r="C4" s="2467"/>
      <c r="D4" s="2467"/>
      <c r="E4" s="2467"/>
      <c r="F4" s="2467"/>
      <c r="G4" s="2467"/>
      <c r="H4" s="2467"/>
      <c r="I4" s="2467"/>
      <c r="J4" s="2467"/>
      <c r="K4" s="2467"/>
      <c r="L4" s="2467"/>
      <c r="M4" s="2467"/>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9" t="s">
        <v>2111</v>
      </c>
      <c r="C11" s="1960"/>
      <c r="D11" s="1961"/>
      <c r="E11" s="1337"/>
      <c r="F11" s="1337"/>
      <c r="G11" s="1337"/>
      <c r="H11" s="1337"/>
      <c r="I11" s="1337"/>
      <c r="J11" s="1337"/>
      <c r="K11" s="1337"/>
      <c r="L11" s="1337"/>
      <c r="M11" s="1337"/>
    </row>
    <row r="12" spans="2:14" ht="20.100000000000001" customHeight="1" x14ac:dyDescent="0.2">
      <c r="B12" s="1959" t="s">
        <v>2114</v>
      </c>
      <c r="C12" s="1962"/>
      <c r="D12" s="1963"/>
      <c r="E12" s="1340"/>
      <c r="F12" s="1340"/>
      <c r="G12" s="1340"/>
      <c r="H12" s="1340"/>
      <c r="I12" s="1340"/>
      <c r="J12" s="1340"/>
      <c r="K12" s="1340"/>
      <c r="L12" s="1337"/>
      <c r="M12" s="1340"/>
    </row>
    <row r="13" spans="2:14" ht="20.100000000000001" customHeight="1" x14ac:dyDescent="0.2">
      <c r="B13" s="1959" t="s">
        <v>2128</v>
      </c>
      <c r="C13" s="1962">
        <v>10.582000000000001</v>
      </c>
      <c r="D13" s="1963" t="s">
        <v>2131</v>
      </c>
      <c r="E13" s="1340">
        <v>4675</v>
      </c>
      <c r="F13" s="1340">
        <v>967</v>
      </c>
      <c r="G13" s="1340">
        <v>4675</v>
      </c>
      <c r="H13" s="1340"/>
      <c r="I13" s="1340">
        <v>967</v>
      </c>
      <c r="J13" s="1340"/>
      <c r="K13" s="1340"/>
      <c r="L13" s="1337">
        <f t="shared" ref="L13:L27" si="0">+G13+I13+K13</f>
        <v>5642</v>
      </c>
      <c r="M13" s="1340"/>
    </row>
    <row r="14" spans="2:14" ht="20.100000000000001" customHeight="1" x14ac:dyDescent="0.2">
      <c r="B14" s="1959" t="s">
        <v>2129</v>
      </c>
      <c r="C14" s="1962"/>
      <c r="D14" s="1963"/>
      <c r="E14" s="1340">
        <f t="shared" ref="E14:K14" si="1">E13</f>
        <v>4675</v>
      </c>
      <c r="F14" s="1340">
        <f t="shared" si="1"/>
        <v>967</v>
      </c>
      <c r="G14" s="1340">
        <f t="shared" si="1"/>
        <v>4675</v>
      </c>
      <c r="H14" s="1340">
        <f t="shared" si="1"/>
        <v>0</v>
      </c>
      <c r="I14" s="1340">
        <f t="shared" si="1"/>
        <v>967</v>
      </c>
      <c r="J14" s="1340">
        <f t="shared" si="1"/>
        <v>0</v>
      </c>
      <c r="K14" s="1340">
        <f t="shared" si="1"/>
        <v>0</v>
      </c>
      <c r="L14" s="1337">
        <f t="shared" si="0"/>
        <v>5642</v>
      </c>
      <c r="M14" s="1340">
        <f>M13</f>
        <v>0</v>
      </c>
    </row>
    <row r="15" spans="2:14" ht="20.100000000000001" customHeight="1" x14ac:dyDescent="0.2">
      <c r="B15" s="1959" t="s">
        <v>1231</v>
      </c>
      <c r="C15" s="1962"/>
      <c r="D15" s="1963"/>
      <c r="E15" s="1340"/>
      <c r="F15" s="1340"/>
      <c r="G15" s="1340"/>
      <c r="H15" s="1340"/>
      <c r="I15" s="1340"/>
      <c r="J15" s="1340"/>
      <c r="K15" s="1340"/>
      <c r="L15" s="1337">
        <f t="shared" si="0"/>
        <v>0</v>
      </c>
      <c r="M15" s="1340"/>
    </row>
    <row r="16" spans="2:14" ht="20.100000000000001" customHeight="1" x14ac:dyDescent="0.2">
      <c r="B16" s="1959" t="s">
        <v>2130</v>
      </c>
      <c r="C16" s="1962"/>
      <c r="D16" s="1963"/>
      <c r="E16" s="1340">
        <f>E14+' SEFA - 1'!E26+' SEFA - 1'!E14</f>
        <v>271260</v>
      </c>
      <c r="F16" s="1340">
        <f>F14+' SEFA - 1'!F26+' SEFA - 1'!F14</f>
        <v>316140</v>
      </c>
      <c r="G16" s="1340">
        <f>G14+' SEFA - 1'!G26+' SEFA - 1'!G14</f>
        <v>271260</v>
      </c>
      <c r="H16" s="1340">
        <f>H14+' SEFA - 1'!H26+' SEFA - 1'!H14</f>
        <v>0</v>
      </c>
      <c r="I16" s="1340">
        <f>I14+' SEFA - 1'!I26+' SEFA - 1'!I14</f>
        <v>316140</v>
      </c>
      <c r="J16" s="1340">
        <f>J14+' SEFA - 1'!J26+' SEFA - 1'!J14</f>
        <v>0</v>
      </c>
      <c r="K16" s="1340">
        <f>K14+' SEFA - 1'!K26+' SEFA - 1'!K14</f>
        <v>0</v>
      </c>
      <c r="L16" s="1337">
        <f t="shared" si="0"/>
        <v>587400</v>
      </c>
      <c r="M16" s="1340">
        <f>M14+' SEFA - 1'!M26+' SEFA - 1'!M14</f>
        <v>46000</v>
      </c>
    </row>
    <row r="17" spans="2:14" ht="20.100000000000001" customHeight="1" x14ac:dyDescent="0.2">
      <c r="B17" s="1336"/>
      <c r="C17" s="1338"/>
      <c r="D17" s="1339"/>
      <c r="E17" s="1340"/>
      <c r="F17" s="1340"/>
      <c r="G17" s="1340"/>
      <c r="H17" s="1340"/>
      <c r="I17" s="1340"/>
      <c r="J17" s="1340"/>
      <c r="K17" s="1340"/>
      <c r="L17" s="1337"/>
      <c r="M17" s="1340"/>
    </row>
    <row r="18" spans="2:14" ht="20.100000000000001" customHeight="1" x14ac:dyDescent="0.2">
      <c r="B18" s="1959" t="s">
        <v>2132</v>
      </c>
      <c r="C18" s="1960"/>
      <c r="D18" s="1961"/>
      <c r="E18" s="1340"/>
      <c r="F18" s="1340"/>
      <c r="G18" s="1340"/>
      <c r="H18" s="1340"/>
      <c r="I18" s="1340"/>
      <c r="J18" s="1340"/>
      <c r="K18" s="1340"/>
      <c r="L18" s="1337"/>
      <c r="M18" s="1340"/>
    </row>
    <row r="19" spans="2:14" ht="20.100000000000001" customHeight="1" x14ac:dyDescent="0.2">
      <c r="B19" s="1959" t="s">
        <v>2114</v>
      </c>
      <c r="C19" s="1960"/>
      <c r="D19" s="1963"/>
      <c r="E19" s="1340"/>
      <c r="F19" s="1340"/>
      <c r="G19" s="1340"/>
      <c r="H19" s="1340"/>
      <c r="I19" s="1340"/>
      <c r="J19" s="1340"/>
      <c r="K19" s="1340"/>
      <c r="L19" s="1337"/>
      <c r="M19" s="1340"/>
    </row>
    <row r="20" spans="2:14" ht="20.100000000000001" customHeight="1" x14ac:dyDescent="0.2">
      <c r="B20" s="1959" t="s">
        <v>2133</v>
      </c>
      <c r="C20" s="1962">
        <v>84.01</v>
      </c>
      <c r="D20" s="1963" t="s">
        <v>2135</v>
      </c>
      <c r="E20" s="1340">
        <v>380920</v>
      </c>
      <c r="F20" s="1340">
        <v>29808</v>
      </c>
      <c r="G20" s="1340">
        <v>410728</v>
      </c>
      <c r="H20" s="1340"/>
      <c r="I20" s="1340"/>
      <c r="J20" s="1340"/>
      <c r="K20" s="1340"/>
      <c r="L20" s="1337">
        <f t="shared" si="0"/>
        <v>410728</v>
      </c>
      <c r="M20" s="1340">
        <v>442772</v>
      </c>
    </row>
    <row r="21" spans="2:14" ht="20.100000000000001" customHeight="1" x14ac:dyDescent="0.2">
      <c r="B21" s="1959" t="s">
        <v>2133</v>
      </c>
      <c r="C21" s="1962">
        <v>84.01</v>
      </c>
      <c r="D21" s="1963" t="s">
        <v>2142</v>
      </c>
      <c r="E21" s="1340"/>
      <c r="F21" s="1340">
        <v>341449</v>
      </c>
      <c r="G21" s="1340"/>
      <c r="H21" s="1340"/>
      <c r="I21" s="1340">
        <v>381621</v>
      </c>
      <c r="J21" s="1340"/>
      <c r="K21" s="1340"/>
      <c r="L21" s="1337">
        <f t="shared" si="0"/>
        <v>381621</v>
      </c>
      <c r="M21" s="1340">
        <v>404557</v>
      </c>
    </row>
    <row r="22" spans="2:14" ht="20.100000000000001" customHeight="1" x14ac:dyDescent="0.2">
      <c r="B22" s="1959" t="s">
        <v>2134</v>
      </c>
      <c r="C22" s="1962"/>
      <c r="D22" s="1963"/>
      <c r="E22" s="1340">
        <f t="shared" ref="E22:K22" si="2">SUM(E20:E21)</f>
        <v>380920</v>
      </c>
      <c r="F22" s="1340">
        <f t="shared" si="2"/>
        <v>371257</v>
      </c>
      <c r="G22" s="1340">
        <f t="shared" si="2"/>
        <v>410728</v>
      </c>
      <c r="H22" s="1340">
        <f t="shared" si="2"/>
        <v>0</v>
      </c>
      <c r="I22" s="1340">
        <f t="shared" si="2"/>
        <v>381621</v>
      </c>
      <c r="J22" s="1340">
        <f t="shared" si="2"/>
        <v>0</v>
      </c>
      <c r="K22" s="1340">
        <f t="shared" si="2"/>
        <v>0</v>
      </c>
      <c r="L22" s="1337">
        <f t="shared" si="0"/>
        <v>792349</v>
      </c>
      <c r="M22" s="1340">
        <f>SUM(M20:M21)</f>
        <v>847329</v>
      </c>
    </row>
    <row r="23" spans="2:14" ht="20.100000000000001" customHeight="1" x14ac:dyDescent="0.2">
      <c r="B23" s="1336"/>
      <c r="C23" s="1338"/>
      <c r="D23" s="1339"/>
      <c r="E23" s="1340"/>
      <c r="F23" s="1340"/>
      <c r="G23" s="1340"/>
      <c r="H23" s="1340"/>
      <c r="I23" s="1340"/>
      <c r="J23" s="1340"/>
      <c r="K23" s="1340"/>
      <c r="L23" s="1337"/>
      <c r="M23" s="1340"/>
    </row>
    <row r="24" spans="2:14" ht="20.100000000000001" customHeight="1" x14ac:dyDescent="0.2">
      <c r="B24" s="1336"/>
      <c r="C24" s="1338"/>
      <c r="D24" s="1339"/>
      <c r="E24" s="1340"/>
      <c r="F24" s="1340"/>
      <c r="G24" s="1340"/>
      <c r="H24" s="1340"/>
      <c r="I24" s="1340"/>
      <c r="J24" s="1340"/>
      <c r="K24" s="1340"/>
      <c r="L24" s="1337">
        <f t="shared" si="0"/>
        <v>0</v>
      </c>
      <c r="M24" s="1340"/>
    </row>
    <row r="25" spans="2:14" ht="20.100000000000001" customHeight="1" x14ac:dyDescent="0.2">
      <c r="B25" s="1336"/>
      <c r="C25" s="1338"/>
      <c r="D25" s="1339"/>
      <c r="E25" s="1340"/>
      <c r="F25" s="1340"/>
      <c r="G25" s="1340"/>
      <c r="H25" s="1340"/>
      <c r="I25" s="1340"/>
      <c r="J25" s="1340"/>
      <c r="K25" s="1340"/>
      <c r="L25" s="1337">
        <f t="shared" si="0"/>
        <v>0</v>
      </c>
      <c r="M25" s="1340"/>
    </row>
    <row r="26" spans="2:14" ht="20.100000000000001" customHeight="1" x14ac:dyDescent="0.2">
      <c r="B26" s="1336"/>
      <c r="C26" s="1338"/>
      <c r="D26" s="1339"/>
      <c r="E26" s="1340"/>
      <c r="F26" s="1340"/>
      <c r="G26" s="1340"/>
      <c r="H26" s="1340"/>
      <c r="I26" s="1340"/>
      <c r="J26" s="1340"/>
      <c r="K26" s="1340"/>
      <c r="L26" s="1337">
        <f t="shared" si="0"/>
        <v>0</v>
      </c>
      <c r="M26" s="1340"/>
    </row>
    <row r="27" spans="2:14" ht="20.100000000000001" customHeight="1" x14ac:dyDescent="0.2">
      <c r="B27" s="1336"/>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1837</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1947</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1308</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9" t="s">
        <v>1667</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1840</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1841</v>
      </c>
      <c r="C45" s="1365"/>
      <c r="D45" s="1366"/>
      <c r="E45" s="1299"/>
      <c r="F45" s="1299"/>
      <c r="G45" s="1299"/>
      <c r="H45" s="1299"/>
      <c r="I45" s="1299"/>
      <c r="J45" s="1299"/>
      <c r="K45" s="1367"/>
      <c r="L45" s="1367"/>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7"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2073</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t="s">
        <v>2086</v>
      </c>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2018</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0" zoomScaleNormal="100" workbookViewId="0">
      <selection activeCell="M46" sqref="M46"/>
    </sheetView>
  </sheetViews>
  <sheetFormatPr defaultColWidth="33.5703125" defaultRowHeight="12.75" x14ac:dyDescent="0.2"/>
  <cols>
    <col min="1" max="1" width="0.140625" style="317" customWidth="1"/>
    <col min="2" max="2" width="37.14062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Egyptian CUSD 5</v>
      </c>
      <c r="C1" s="2464"/>
      <c r="D1" s="2464"/>
      <c r="E1" s="2464"/>
      <c r="F1" s="2464"/>
      <c r="G1" s="2464"/>
      <c r="H1" s="2464"/>
      <c r="I1" s="2464"/>
      <c r="J1" s="2464"/>
      <c r="K1" s="2464"/>
      <c r="L1" s="2464"/>
      <c r="M1" s="2464"/>
    </row>
    <row r="2" spans="2:14" ht="15" x14ac:dyDescent="0.2">
      <c r="B2" s="2465">
        <f>'Single Audit Cover'!E7</f>
        <v>30002005026</v>
      </c>
      <c r="C2" s="2465"/>
      <c r="D2" s="2465"/>
      <c r="E2" s="2465"/>
      <c r="F2" s="2465"/>
      <c r="G2" s="2465"/>
      <c r="H2" s="2465"/>
      <c r="I2" s="2465"/>
      <c r="J2" s="2465"/>
      <c r="K2" s="2465"/>
      <c r="L2" s="2465"/>
      <c r="M2" s="2465"/>
      <c r="N2" s="1301"/>
    </row>
    <row r="3" spans="2:14" ht="15" x14ac:dyDescent="0.2">
      <c r="B3" s="2466" t="s">
        <v>1281</v>
      </c>
      <c r="C3" s="2466"/>
      <c r="D3" s="2466"/>
      <c r="E3" s="2466"/>
      <c r="F3" s="2466"/>
      <c r="G3" s="2466"/>
      <c r="H3" s="2466"/>
      <c r="I3" s="2466"/>
      <c r="J3" s="2466"/>
      <c r="K3" s="2466"/>
      <c r="L3" s="2466"/>
      <c r="M3" s="2466"/>
      <c r="N3" s="1301"/>
    </row>
    <row r="4" spans="2:14" ht="15" x14ac:dyDescent="0.2">
      <c r="B4" s="2467" t="str">
        <f>'Single Audit Cover'!A4</f>
        <v>Year Ending June 30, 2018</v>
      </c>
      <c r="C4" s="2467"/>
      <c r="D4" s="2467"/>
      <c r="E4" s="2467"/>
      <c r="F4" s="2467"/>
      <c r="G4" s="2467"/>
      <c r="H4" s="2467"/>
      <c r="I4" s="2467"/>
      <c r="J4" s="2467"/>
      <c r="K4" s="2467"/>
      <c r="L4" s="2467"/>
      <c r="M4" s="2467"/>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9" t="s">
        <v>2132</v>
      </c>
      <c r="C11" s="1960"/>
      <c r="D11" s="1961"/>
      <c r="E11" s="1337"/>
      <c r="F11" s="1337"/>
      <c r="G11" s="1337"/>
      <c r="H11" s="1337"/>
      <c r="I11" s="1337"/>
      <c r="J11" s="1337"/>
      <c r="K11" s="1337"/>
      <c r="L11" s="1337"/>
      <c r="M11" s="1337"/>
    </row>
    <row r="12" spans="2:14" ht="20.100000000000001" customHeight="1" x14ac:dyDescent="0.2">
      <c r="B12" s="1959" t="s">
        <v>2143</v>
      </c>
      <c r="C12" s="1962"/>
      <c r="D12" s="1963"/>
      <c r="E12" s="1340"/>
      <c r="F12" s="1340"/>
      <c r="G12" s="1340"/>
      <c r="H12" s="1340"/>
      <c r="I12" s="1340"/>
      <c r="J12" s="1340"/>
      <c r="K12" s="1340"/>
      <c r="L12" s="1337"/>
      <c r="M12" s="1340"/>
    </row>
    <row r="13" spans="2:14" ht="20.100000000000001" customHeight="1" x14ac:dyDescent="0.2">
      <c r="B13" s="1959" t="s">
        <v>2146</v>
      </c>
      <c r="C13" s="1962">
        <v>84.027000000000001</v>
      </c>
      <c r="D13" s="1963" t="s">
        <v>2147</v>
      </c>
      <c r="E13" s="1340"/>
      <c r="F13" s="1340">
        <v>363</v>
      </c>
      <c r="G13" s="1340"/>
      <c r="H13" s="1340"/>
      <c r="I13" s="1340">
        <v>363</v>
      </c>
      <c r="J13" s="1340"/>
      <c r="K13" s="1340"/>
      <c r="L13" s="1337">
        <f t="shared" ref="L13:L27" si="0">+G13+I13+K13</f>
        <v>363</v>
      </c>
      <c r="M13" s="1340"/>
    </row>
    <row r="14" spans="2:14" ht="26.25" customHeight="1" x14ac:dyDescent="0.2">
      <c r="B14" s="1959" t="s">
        <v>2166</v>
      </c>
      <c r="C14" s="1962"/>
      <c r="D14" s="1963"/>
      <c r="E14" s="1340"/>
      <c r="F14" s="1340"/>
      <c r="G14" s="1340"/>
      <c r="H14" s="1340"/>
      <c r="I14" s="1340"/>
      <c r="J14" s="1340"/>
      <c r="K14" s="1340"/>
      <c r="L14" s="1337"/>
      <c r="M14" s="1340"/>
    </row>
    <row r="15" spans="2:14" ht="20.100000000000001" customHeight="1" x14ac:dyDescent="0.2">
      <c r="B15" s="1959" t="s">
        <v>2146</v>
      </c>
      <c r="C15" s="1962">
        <v>84.027000000000001</v>
      </c>
      <c r="D15" s="1963" t="s">
        <v>2148</v>
      </c>
      <c r="E15" s="1340"/>
      <c r="F15" s="1340">
        <v>21928</v>
      </c>
      <c r="G15" s="1340"/>
      <c r="H15" s="1340"/>
      <c r="I15" s="1340">
        <v>21928</v>
      </c>
      <c r="J15" s="1340"/>
      <c r="K15" s="1340"/>
      <c r="L15" s="1337">
        <f t="shared" si="0"/>
        <v>21928</v>
      </c>
      <c r="M15" s="1340"/>
    </row>
    <row r="16" spans="2:14" ht="20.100000000000001" customHeight="1" x14ac:dyDescent="0.2">
      <c r="B16" s="1959" t="s">
        <v>2144</v>
      </c>
      <c r="C16" s="1962"/>
      <c r="D16" s="1963"/>
      <c r="E16" s="1340">
        <f t="shared" ref="E16:M16" si="1">E13+E15</f>
        <v>0</v>
      </c>
      <c r="F16" s="1340">
        <f t="shared" si="1"/>
        <v>22291</v>
      </c>
      <c r="G16" s="1340">
        <f t="shared" si="1"/>
        <v>0</v>
      </c>
      <c r="H16" s="1340">
        <f t="shared" si="1"/>
        <v>0</v>
      </c>
      <c r="I16" s="1340">
        <f t="shared" si="1"/>
        <v>22291</v>
      </c>
      <c r="J16" s="1340">
        <f t="shared" si="1"/>
        <v>0</v>
      </c>
      <c r="K16" s="1340">
        <f t="shared" si="1"/>
        <v>0</v>
      </c>
      <c r="L16" s="1340">
        <f t="shared" si="1"/>
        <v>22291</v>
      </c>
      <c r="M16" s="1340">
        <f t="shared" si="1"/>
        <v>0</v>
      </c>
    </row>
    <row r="17" spans="2:14" ht="20.100000000000001" customHeight="1" x14ac:dyDescent="0.2">
      <c r="B17" s="1959"/>
      <c r="C17" s="1962"/>
      <c r="D17" s="1963"/>
      <c r="E17" s="1340"/>
      <c r="F17" s="1340"/>
      <c r="G17" s="1340"/>
      <c r="H17" s="1340"/>
      <c r="I17" s="1340"/>
      <c r="J17" s="1340"/>
      <c r="K17" s="1340"/>
      <c r="L17" s="1337"/>
      <c r="M17" s="1340"/>
    </row>
    <row r="18" spans="2:14" ht="20.100000000000001" customHeight="1" x14ac:dyDescent="0.2">
      <c r="B18" s="1959" t="s">
        <v>2114</v>
      </c>
      <c r="C18" s="1962"/>
      <c r="D18" s="1963"/>
      <c r="E18" s="1340"/>
      <c r="F18" s="1340"/>
      <c r="G18" s="1340"/>
      <c r="H18" s="1340"/>
      <c r="I18" s="1340"/>
      <c r="J18" s="1340"/>
      <c r="K18" s="1340"/>
      <c r="L18" s="1337"/>
      <c r="M18" s="1340"/>
    </row>
    <row r="19" spans="2:14" ht="20.100000000000001" customHeight="1" x14ac:dyDescent="0.2">
      <c r="B19" s="1959" t="s">
        <v>2140</v>
      </c>
      <c r="C19" s="1962">
        <v>84.287000000000006</v>
      </c>
      <c r="D19" s="1963" t="s">
        <v>2149</v>
      </c>
      <c r="E19" s="1340">
        <v>100425</v>
      </c>
      <c r="F19" s="1340">
        <v>34575</v>
      </c>
      <c r="G19" s="1340">
        <v>135000</v>
      </c>
      <c r="H19" s="1340"/>
      <c r="I19" s="1340"/>
      <c r="J19" s="1340"/>
      <c r="K19" s="1340"/>
      <c r="L19" s="1337">
        <f t="shared" si="0"/>
        <v>135000</v>
      </c>
      <c r="M19" s="1340">
        <v>135000</v>
      </c>
    </row>
    <row r="20" spans="2:14" ht="20.100000000000001" customHeight="1" x14ac:dyDescent="0.2">
      <c r="B20" s="1959" t="s">
        <v>2140</v>
      </c>
      <c r="C20" s="1962">
        <v>84.287000000000006</v>
      </c>
      <c r="D20" s="1963" t="s">
        <v>2150</v>
      </c>
      <c r="E20" s="1340"/>
      <c r="F20" s="1340">
        <v>96904</v>
      </c>
      <c r="G20" s="1340"/>
      <c r="H20" s="1340"/>
      <c r="I20" s="1340">
        <v>135000</v>
      </c>
      <c r="J20" s="1340"/>
      <c r="K20" s="1340"/>
      <c r="L20" s="1337">
        <f t="shared" si="0"/>
        <v>135000</v>
      </c>
      <c r="M20" s="1340">
        <v>135000</v>
      </c>
    </row>
    <row r="21" spans="2:14" ht="20.100000000000001" customHeight="1" x14ac:dyDescent="0.2">
      <c r="B21" s="1959" t="s">
        <v>2136</v>
      </c>
      <c r="C21" s="1962"/>
      <c r="D21" s="1963"/>
      <c r="E21" s="1340">
        <f t="shared" ref="E21:K21" si="2">SUM(E19:E20)</f>
        <v>100425</v>
      </c>
      <c r="F21" s="1340">
        <f t="shared" si="2"/>
        <v>131479</v>
      </c>
      <c r="G21" s="1340">
        <f t="shared" si="2"/>
        <v>135000</v>
      </c>
      <c r="H21" s="1340">
        <f t="shared" si="2"/>
        <v>0</v>
      </c>
      <c r="I21" s="1340">
        <f t="shared" si="2"/>
        <v>135000</v>
      </c>
      <c r="J21" s="1340">
        <f t="shared" si="2"/>
        <v>0</v>
      </c>
      <c r="K21" s="1340">
        <f t="shared" si="2"/>
        <v>0</v>
      </c>
      <c r="L21" s="1337">
        <f t="shared" si="0"/>
        <v>270000</v>
      </c>
      <c r="M21" s="1340">
        <f>SUM(M19:M20)</f>
        <v>270000</v>
      </c>
    </row>
    <row r="22" spans="2:14" ht="20.100000000000001" customHeight="1" x14ac:dyDescent="0.2">
      <c r="B22" s="1959"/>
      <c r="C22" s="1962"/>
      <c r="D22" s="1963"/>
      <c r="E22" s="1340"/>
      <c r="F22" s="1340"/>
      <c r="G22" s="1340"/>
      <c r="H22" s="1340"/>
      <c r="I22" s="1340"/>
      <c r="J22" s="1340"/>
      <c r="K22" s="1340"/>
      <c r="L22" s="1337"/>
      <c r="M22" s="1340"/>
    </row>
    <row r="23" spans="2:14" ht="20.100000000000001" customHeight="1" x14ac:dyDescent="0.2">
      <c r="B23" s="1959" t="s">
        <v>2137</v>
      </c>
      <c r="C23" s="1962"/>
      <c r="D23" s="1963"/>
      <c r="E23" s="1340"/>
      <c r="F23" s="1340"/>
      <c r="G23" s="1340"/>
      <c r="H23" s="1340"/>
      <c r="I23" s="1340"/>
      <c r="J23" s="1340"/>
      <c r="K23" s="1340"/>
      <c r="L23" s="1337"/>
      <c r="M23" s="1340"/>
    </row>
    <row r="24" spans="2:14" ht="20.100000000000001" customHeight="1" x14ac:dyDescent="0.2">
      <c r="B24" s="1959" t="s">
        <v>2141</v>
      </c>
      <c r="C24" s="1962">
        <v>84.358000000000004</v>
      </c>
      <c r="D24" s="1963" t="s">
        <v>2139</v>
      </c>
      <c r="E24" s="1340">
        <v>2267</v>
      </c>
      <c r="F24" s="1340"/>
      <c r="G24" s="1340">
        <v>2267</v>
      </c>
      <c r="H24" s="1340"/>
      <c r="I24" s="1340"/>
      <c r="J24" s="1340"/>
      <c r="K24" s="1340"/>
      <c r="L24" s="1337">
        <f t="shared" si="0"/>
        <v>2267</v>
      </c>
      <c r="M24" s="1340"/>
    </row>
    <row r="25" spans="2:14" ht="20.100000000000001" customHeight="1" x14ac:dyDescent="0.2">
      <c r="B25" s="1959" t="s">
        <v>2114</v>
      </c>
      <c r="C25" s="1962"/>
      <c r="D25" s="1963"/>
      <c r="E25" s="1340"/>
      <c r="F25" s="1340"/>
      <c r="G25" s="1340"/>
      <c r="H25" s="1340"/>
      <c r="I25" s="1340"/>
      <c r="J25" s="1340"/>
      <c r="K25" s="1340"/>
      <c r="L25" s="1337"/>
      <c r="M25" s="1340"/>
    </row>
    <row r="26" spans="2:14" ht="20.100000000000001" customHeight="1" x14ac:dyDescent="0.2">
      <c r="B26" s="1959" t="s">
        <v>2141</v>
      </c>
      <c r="C26" s="1962">
        <v>84.358000000000004</v>
      </c>
      <c r="D26" s="1963" t="s">
        <v>2151</v>
      </c>
      <c r="E26" s="1340"/>
      <c r="F26" s="1340">
        <v>7282</v>
      </c>
      <c r="G26" s="1340"/>
      <c r="H26" s="1340"/>
      <c r="I26" s="1340">
        <v>7872</v>
      </c>
      <c r="J26" s="1340"/>
      <c r="K26" s="1340"/>
      <c r="L26" s="1337">
        <f t="shared" si="0"/>
        <v>7872</v>
      </c>
      <c r="M26" s="1340">
        <v>7872</v>
      </c>
    </row>
    <row r="27" spans="2:14" ht="20.100000000000001" customHeight="1" x14ac:dyDescent="0.2">
      <c r="B27" s="1959" t="s">
        <v>2138</v>
      </c>
      <c r="C27" s="1338"/>
      <c r="D27" s="1339"/>
      <c r="E27" s="1340">
        <f t="shared" ref="E27:K27" si="3">E24+E26</f>
        <v>2267</v>
      </c>
      <c r="F27" s="1340">
        <f t="shared" si="3"/>
        <v>7282</v>
      </c>
      <c r="G27" s="1340">
        <f t="shared" si="3"/>
        <v>2267</v>
      </c>
      <c r="H27" s="1340">
        <f t="shared" si="3"/>
        <v>0</v>
      </c>
      <c r="I27" s="1340">
        <f t="shared" si="3"/>
        <v>7872</v>
      </c>
      <c r="J27" s="1340">
        <f t="shared" si="3"/>
        <v>0</v>
      </c>
      <c r="K27" s="1340">
        <f t="shared" si="3"/>
        <v>0</v>
      </c>
      <c r="L27" s="1337">
        <f t="shared" si="0"/>
        <v>10139</v>
      </c>
      <c r="M27" s="1340">
        <f>M24+M26</f>
        <v>7872</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1837</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1947</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1308</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9" t="s">
        <v>1667</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1840</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1841</v>
      </c>
      <c r="C45" s="1365"/>
      <c r="D45" s="1366"/>
      <c r="E45" s="1299"/>
      <c r="F45" s="1299"/>
      <c r="G45" s="1299"/>
      <c r="H45" s="1299"/>
      <c r="I45" s="1299"/>
      <c r="J45" s="1299"/>
      <c r="K45" s="1367"/>
      <c r="L45" s="1367"/>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9"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6" zoomScaleNormal="100" workbookViewId="0">
      <selection activeCell="M46" sqref="M46"/>
    </sheetView>
  </sheetViews>
  <sheetFormatPr defaultColWidth="33.5703125" defaultRowHeight="12.75" x14ac:dyDescent="0.2"/>
  <cols>
    <col min="1" max="1" width="0.140625" style="317" customWidth="1"/>
    <col min="2" max="2" width="40.570312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Egyptian CUSD 5</v>
      </c>
      <c r="C1" s="2464"/>
      <c r="D1" s="2464"/>
      <c r="E1" s="2464"/>
      <c r="F1" s="2464"/>
      <c r="G1" s="2464"/>
      <c r="H1" s="2464"/>
      <c r="I1" s="2464"/>
      <c r="J1" s="2464"/>
      <c r="K1" s="2464"/>
      <c r="L1" s="2464"/>
      <c r="M1" s="2464"/>
    </row>
    <row r="2" spans="2:14" ht="15" x14ac:dyDescent="0.2">
      <c r="B2" s="2465">
        <f>'Single Audit Cover'!E7</f>
        <v>30002005026</v>
      </c>
      <c r="C2" s="2465"/>
      <c r="D2" s="2465"/>
      <c r="E2" s="2465"/>
      <c r="F2" s="2465"/>
      <c r="G2" s="2465"/>
      <c r="H2" s="2465"/>
      <c r="I2" s="2465"/>
      <c r="J2" s="2465"/>
      <c r="K2" s="2465"/>
      <c r="L2" s="2465"/>
      <c r="M2" s="2465"/>
      <c r="N2" s="1301"/>
    </row>
    <row r="3" spans="2:14" ht="15" x14ac:dyDescent="0.2">
      <c r="B3" s="2466" t="s">
        <v>1281</v>
      </c>
      <c r="C3" s="2466"/>
      <c r="D3" s="2466"/>
      <c r="E3" s="2466"/>
      <c r="F3" s="2466"/>
      <c r="G3" s="2466"/>
      <c r="H3" s="2466"/>
      <c r="I3" s="2466"/>
      <c r="J3" s="2466"/>
      <c r="K3" s="2466"/>
      <c r="L3" s="2466"/>
      <c r="M3" s="2466"/>
      <c r="N3" s="1301"/>
    </row>
    <row r="4" spans="2:14" ht="15" x14ac:dyDescent="0.2">
      <c r="B4" s="2467" t="str">
        <f>'Single Audit Cover'!A4</f>
        <v>Year Ending June 30, 2018</v>
      </c>
      <c r="C4" s="2467"/>
      <c r="D4" s="2467"/>
      <c r="E4" s="2467"/>
      <c r="F4" s="2467"/>
      <c r="G4" s="2467"/>
      <c r="H4" s="2467"/>
      <c r="I4" s="2467"/>
      <c r="J4" s="2467"/>
      <c r="K4" s="2467"/>
      <c r="L4" s="2467"/>
      <c r="M4" s="2467"/>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9" t="s">
        <v>2132</v>
      </c>
      <c r="C11" s="1960"/>
      <c r="D11" s="1961"/>
      <c r="E11" s="1337"/>
      <c r="F11" s="1337"/>
      <c r="G11" s="1337"/>
      <c r="H11" s="1337"/>
      <c r="I11" s="1337"/>
      <c r="J11" s="1337"/>
      <c r="K11" s="1337"/>
      <c r="L11" s="1337"/>
      <c r="M11" s="1337"/>
    </row>
    <row r="12" spans="2:14" ht="20.100000000000001" customHeight="1" x14ac:dyDescent="0.2">
      <c r="B12" s="1959" t="s">
        <v>2114</v>
      </c>
      <c r="C12" s="1962"/>
      <c r="D12" s="1963"/>
      <c r="E12" s="1340"/>
      <c r="F12" s="1340"/>
      <c r="G12" s="1340"/>
      <c r="H12" s="1340"/>
      <c r="I12" s="1340"/>
      <c r="J12" s="1340"/>
      <c r="K12" s="1340"/>
      <c r="L12" s="1337"/>
      <c r="M12" s="1340"/>
    </row>
    <row r="13" spans="2:14" ht="20.100000000000001" customHeight="1" x14ac:dyDescent="0.2">
      <c r="B13" s="1959" t="s">
        <v>2152</v>
      </c>
      <c r="C13" s="1962">
        <v>84.367000000000004</v>
      </c>
      <c r="D13" s="1963" t="s">
        <v>2154</v>
      </c>
      <c r="E13" s="1340">
        <v>46185</v>
      </c>
      <c r="F13" s="1340">
        <v>10723</v>
      </c>
      <c r="G13" s="1340">
        <v>56908</v>
      </c>
      <c r="H13" s="1340"/>
      <c r="I13" s="1340"/>
      <c r="J13" s="1340"/>
      <c r="K13" s="1340"/>
      <c r="L13" s="1337">
        <f t="shared" ref="L13:L21" si="0">+G13+I13+K13</f>
        <v>56908</v>
      </c>
      <c r="M13" s="1340">
        <v>56908</v>
      </c>
    </row>
    <row r="14" spans="2:14" ht="20.100000000000001" customHeight="1" x14ac:dyDescent="0.2">
      <c r="B14" s="1959" t="s">
        <v>2152</v>
      </c>
      <c r="C14" s="1962">
        <v>84.367000000000004</v>
      </c>
      <c r="D14" s="1963" t="s">
        <v>2162</v>
      </c>
      <c r="E14" s="1340"/>
      <c r="F14" s="1340">
        <v>21125</v>
      </c>
      <c r="G14" s="1340"/>
      <c r="H14" s="1340"/>
      <c r="I14" s="1340">
        <v>39002</v>
      </c>
      <c r="J14" s="1340"/>
      <c r="K14" s="1340"/>
      <c r="L14" s="1337">
        <f t="shared" si="0"/>
        <v>39002</v>
      </c>
      <c r="M14" s="1340">
        <v>39002</v>
      </c>
    </row>
    <row r="15" spans="2:14" ht="20.100000000000001" customHeight="1" x14ac:dyDescent="0.2">
      <c r="B15" s="1959" t="s">
        <v>2153</v>
      </c>
      <c r="C15" s="1962"/>
      <c r="D15" s="1963"/>
      <c r="E15" s="1340">
        <f t="shared" ref="E15:K15" si="1">SUM(E13:E14)</f>
        <v>46185</v>
      </c>
      <c r="F15" s="1340">
        <f t="shared" si="1"/>
        <v>31848</v>
      </c>
      <c r="G15" s="1340">
        <f t="shared" si="1"/>
        <v>56908</v>
      </c>
      <c r="H15" s="1340">
        <f t="shared" si="1"/>
        <v>0</v>
      </c>
      <c r="I15" s="1340">
        <f t="shared" si="1"/>
        <v>39002</v>
      </c>
      <c r="J15" s="1340">
        <f t="shared" si="1"/>
        <v>0</v>
      </c>
      <c r="K15" s="1340">
        <f t="shared" si="1"/>
        <v>0</v>
      </c>
      <c r="L15" s="1337">
        <f t="shared" si="0"/>
        <v>95910</v>
      </c>
      <c r="M15" s="1340">
        <f>SUM(M13:M14)</f>
        <v>95910</v>
      </c>
    </row>
    <row r="16" spans="2:14" ht="20.100000000000001" customHeight="1" x14ac:dyDescent="0.2">
      <c r="B16" s="1336"/>
      <c r="C16" s="1338"/>
      <c r="D16" s="1339"/>
      <c r="E16" s="1340"/>
      <c r="F16" s="1340"/>
      <c r="G16" s="1340"/>
      <c r="H16" s="1340"/>
      <c r="I16" s="1340"/>
      <c r="J16" s="1340"/>
      <c r="K16" s="1340"/>
      <c r="L16" s="1337"/>
      <c r="M16" s="1340"/>
    </row>
    <row r="17" spans="2:14" ht="20.100000000000001" customHeight="1" x14ac:dyDescent="0.2">
      <c r="B17" s="1959" t="s">
        <v>2114</v>
      </c>
      <c r="C17" s="1338"/>
      <c r="D17" s="1339"/>
      <c r="E17" s="1340"/>
      <c r="F17" s="1340"/>
      <c r="G17" s="1340"/>
      <c r="H17" s="1340"/>
      <c r="I17" s="1340"/>
      <c r="J17" s="1340"/>
      <c r="K17" s="1340"/>
      <c r="L17" s="1337"/>
      <c r="M17" s="1340"/>
    </row>
    <row r="18" spans="2:14" ht="20.100000000000001" customHeight="1" x14ac:dyDescent="0.2">
      <c r="B18" s="1336" t="s">
        <v>2163</v>
      </c>
      <c r="C18" s="1338">
        <v>84.424000000000007</v>
      </c>
      <c r="D18" s="1339" t="s">
        <v>2164</v>
      </c>
      <c r="E18" s="1340"/>
      <c r="F18" s="1340">
        <v>13016</v>
      </c>
      <c r="G18" s="1340"/>
      <c r="H18" s="1340"/>
      <c r="I18" s="1340">
        <v>16284</v>
      </c>
      <c r="J18" s="1340"/>
      <c r="K18" s="1340"/>
      <c r="L18" s="1337">
        <f t="shared" si="0"/>
        <v>16284</v>
      </c>
      <c r="M18" s="1340">
        <v>16284</v>
      </c>
    </row>
    <row r="19" spans="2:14" ht="20.100000000000001" customHeight="1" x14ac:dyDescent="0.2">
      <c r="B19" s="1959" t="s">
        <v>2165</v>
      </c>
      <c r="C19" s="1338"/>
      <c r="D19" s="1339"/>
      <c r="E19" s="1340">
        <f t="shared" ref="E19:K19" si="2">E18</f>
        <v>0</v>
      </c>
      <c r="F19" s="1340">
        <f t="shared" si="2"/>
        <v>13016</v>
      </c>
      <c r="G19" s="1340">
        <f t="shared" si="2"/>
        <v>0</v>
      </c>
      <c r="H19" s="1340">
        <f t="shared" si="2"/>
        <v>0</v>
      </c>
      <c r="I19" s="1340">
        <f t="shared" si="2"/>
        <v>16284</v>
      </c>
      <c r="J19" s="1340">
        <f t="shared" si="2"/>
        <v>0</v>
      </c>
      <c r="K19" s="1340">
        <f t="shared" si="2"/>
        <v>0</v>
      </c>
      <c r="L19" s="1337">
        <f t="shared" si="0"/>
        <v>16284</v>
      </c>
      <c r="M19" s="1340">
        <f>M18</f>
        <v>16284</v>
      </c>
    </row>
    <row r="20" spans="2:14" ht="20.100000000000001" customHeight="1" x14ac:dyDescent="0.2">
      <c r="B20" s="1336"/>
      <c r="C20" s="1338"/>
      <c r="D20" s="1339"/>
      <c r="E20" s="1340"/>
      <c r="F20" s="1340"/>
      <c r="G20" s="1340"/>
      <c r="H20" s="1340"/>
      <c r="I20" s="1340"/>
      <c r="J20" s="1340"/>
      <c r="K20" s="1340"/>
      <c r="L20" s="1337"/>
      <c r="M20" s="1340"/>
    </row>
    <row r="21" spans="2:14" ht="20.100000000000001" customHeight="1" x14ac:dyDescent="0.2">
      <c r="B21" s="1959" t="s">
        <v>2145</v>
      </c>
      <c r="C21" s="1338"/>
      <c r="D21" s="1339"/>
      <c r="E21" s="1340">
        <f>E19+E15+' SEFA - 3'!E27+' SEFA - 3'!E21+' SEFA - 3'!E16+' SEFA - 2'!E22</f>
        <v>529797</v>
      </c>
      <c r="F21" s="1340">
        <f>F19+F15+' SEFA - 3'!F27+' SEFA - 3'!F21+' SEFA - 3'!F16+' SEFA - 2'!F22</f>
        <v>577173</v>
      </c>
      <c r="G21" s="1340">
        <f>G19+G15+' SEFA - 3'!G27+' SEFA - 3'!G21+' SEFA - 3'!G16+' SEFA - 2'!G22</f>
        <v>604903</v>
      </c>
      <c r="H21" s="1340">
        <f>H19+H15+' SEFA - 3'!H27+' SEFA - 3'!H21+' SEFA - 3'!H16+' SEFA - 2'!H22</f>
        <v>0</v>
      </c>
      <c r="I21" s="1340">
        <f>I19+I15+' SEFA - 3'!I27+' SEFA - 3'!I21+' SEFA - 3'!I16+' SEFA - 2'!I22</f>
        <v>602070</v>
      </c>
      <c r="J21" s="1340">
        <f>J19+J15+' SEFA - 3'!J27+' SEFA - 3'!J21+' SEFA - 3'!J16+' SEFA - 2'!J22</f>
        <v>0</v>
      </c>
      <c r="K21" s="1340">
        <f>K19+K15+' SEFA - 3'!K27+' SEFA - 3'!K21+' SEFA - 3'!K16+' SEFA - 2'!K22</f>
        <v>0</v>
      </c>
      <c r="L21" s="1337">
        <f t="shared" si="0"/>
        <v>1206973</v>
      </c>
      <c r="M21" s="1340">
        <f>M19+M15+' SEFA - 3'!M27+' SEFA - 3'!M21+' SEFA - 3'!M16+' SEFA - 2'!M22</f>
        <v>1237395</v>
      </c>
    </row>
    <row r="22" spans="2:14" ht="20.100000000000001" customHeight="1" x14ac:dyDescent="0.2">
      <c r="B22" s="1336"/>
      <c r="C22" s="1338"/>
      <c r="D22" s="1339"/>
      <c r="E22" s="1340"/>
      <c r="F22" s="1340"/>
      <c r="G22" s="1340"/>
      <c r="H22" s="1340"/>
      <c r="I22" s="1340"/>
      <c r="J22" s="1340"/>
      <c r="K22" s="1340"/>
      <c r="L22" s="1337"/>
      <c r="M22" s="1340"/>
    </row>
    <row r="23" spans="2:14" ht="20.100000000000001" customHeight="1" x14ac:dyDescent="0.2">
      <c r="B23" s="1336"/>
      <c r="C23" s="1338"/>
      <c r="D23" s="1339"/>
      <c r="E23" s="1340"/>
      <c r="F23" s="1340"/>
      <c r="G23" s="1340"/>
      <c r="H23" s="1340"/>
      <c r="I23" s="1340"/>
      <c r="J23" s="1340"/>
      <c r="K23" s="1340"/>
      <c r="L23" s="1337"/>
      <c r="M23" s="1340"/>
    </row>
    <row r="24" spans="2:14" ht="20.100000000000001" customHeight="1" x14ac:dyDescent="0.2">
      <c r="B24" s="1336"/>
      <c r="C24" s="1338"/>
      <c r="D24" s="1339"/>
      <c r="E24" s="1340"/>
      <c r="F24" s="1340"/>
      <c r="G24" s="1340"/>
      <c r="H24" s="1340"/>
      <c r="I24" s="1340"/>
      <c r="J24" s="1340"/>
      <c r="K24" s="1340"/>
      <c r="L24" s="1337"/>
      <c r="M24" s="1340"/>
    </row>
    <row r="25" spans="2:14" ht="20.100000000000001" customHeight="1" x14ac:dyDescent="0.2">
      <c r="B25" s="1336"/>
      <c r="C25" s="1338"/>
      <c r="D25" s="1339"/>
      <c r="E25" s="1340"/>
      <c r="F25" s="1340"/>
      <c r="G25" s="1340"/>
      <c r="H25" s="1340"/>
      <c r="I25" s="1340"/>
      <c r="J25" s="1340"/>
      <c r="K25" s="1340"/>
      <c r="L25" s="1337"/>
      <c r="M25" s="1340"/>
    </row>
    <row r="26" spans="2:14" ht="20.100000000000001" customHeight="1" x14ac:dyDescent="0.2">
      <c r="B26" s="1336"/>
      <c r="C26" s="1338"/>
      <c r="D26" s="1339"/>
      <c r="E26" s="1340"/>
      <c r="F26" s="1340"/>
      <c r="G26" s="1340"/>
      <c r="H26" s="1340"/>
      <c r="I26" s="1340"/>
      <c r="J26" s="1340"/>
      <c r="K26" s="1340"/>
      <c r="L26" s="1337"/>
      <c r="M26" s="1340"/>
    </row>
    <row r="27" spans="2:14" ht="20.100000000000001" customHeight="1" x14ac:dyDescent="0.2">
      <c r="B27" s="1336"/>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1837</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1947</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1308</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9" t="s">
        <v>1667</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1840</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1841</v>
      </c>
      <c r="C45" s="1365"/>
      <c r="D45" s="1366"/>
      <c r="E45" s="1299"/>
      <c r="F45" s="1299"/>
      <c r="G45" s="1299"/>
      <c r="H45" s="1299"/>
      <c r="I45" s="1299"/>
      <c r="J45" s="1299"/>
      <c r="K45" s="1367"/>
      <c r="L45" s="1367"/>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8"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4" zoomScaleNormal="100" workbookViewId="0">
      <selection activeCell="M46" sqref="M46"/>
    </sheetView>
  </sheetViews>
  <sheetFormatPr defaultColWidth="33.5703125" defaultRowHeight="12.75" x14ac:dyDescent="0.2"/>
  <cols>
    <col min="1" max="1" width="0.140625" style="317" customWidth="1"/>
    <col min="2" max="2" width="42.2851562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Egyptian CUSD 5</v>
      </c>
      <c r="C1" s="2464"/>
      <c r="D1" s="2464"/>
      <c r="E1" s="2464"/>
      <c r="F1" s="2464"/>
      <c r="G1" s="2464"/>
      <c r="H1" s="2464"/>
      <c r="I1" s="2464"/>
      <c r="J1" s="2464"/>
      <c r="K1" s="2464"/>
      <c r="L1" s="2464"/>
      <c r="M1" s="2464"/>
    </row>
    <row r="2" spans="2:14" ht="15" x14ac:dyDescent="0.2">
      <c r="B2" s="2465">
        <f>'Single Audit Cover'!E7</f>
        <v>30002005026</v>
      </c>
      <c r="C2" s="2465"/>
      <c r="D2" s="2465"/>
      <c r="E2" s="2465"/>
      <c r="F2" s="2465"/>
      <c r="G2" s="2465"/>
      <c r="H2" s="2465"/>
      <c r="I2" s="2465"/>
      <c r="J2" s="2465"/>
      <c r="K2" s="2465"/>
      <c r="L2" s="2465"/>
      <c r="M2" s="2465"/>
      <c r="N2" s="1301"/>
    </row>
    <row r="3" spans="2:14" ht="15" x14ac:dyDescent="0.2">
      <c r="B3" s="2466" t="s">
        <v>1281</v>
      </c>
      <c r="C3" s="2466"/>
      <c r="D3" s="2466"/>
      <c r="E3" s="2466"/>
      <c r="F3" s="2466"/>
      <c r="G3" s="2466"/>
      <c r="H3" s="2466"/>
      <c r="I3" s="2466"/>
      <c r="J3" s="2466"/>
      <c r="K3" s="2466"/>
      <c r="L3" s="2466"/>
      <c r="M3" s="2466"/>
      <c r="N3" s="1301"/>
    </row>
    <row r="4" spans="2:14" ht="15" x14ac:dyDescent="0.2">
      <c r="B4" s="2467" t="str">
        <f>'Single Audit Cover'!A4</f>
        <v>Year Ending June 30, 2018</v>
      </c>
      <c r="C4" s="2467"/>
      <c r="D4" s="2467"/>
      <c r="E4" s="2467"/>
      <c r="F4" s="2467"/>
      <c r="G4" s="2467"/>
      <c r="H4" s="2467"/>
      <c r="I4" s="2467"/>
      <c r="J4" s="2467"/>
      <c r="K4" s="2467"/>
      <c r="L4" s="2467"/>
      <c r="M4" s="2467"/>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9" t="s">
        <v>2155</v>
      </c>
      <c r="C11" s="1962"/>
      <c r="D11" s="1963"/>
      <c r="E11" s="1337"/>
      <c r="F11" s="1337"/>
      <c r="G11" s="1337"/>
      <c r="H11" s="1337"/>
      <c r="I11" s="1337"/>
      <c r="J11" s="1337"/>
      <c r="K11" s="1337"/>
      <c r="L11" s="1337"/>
      <c r="M11" s="1337"/>
    </row>
    <row r="12" spans="2:14" ht="20.100000000000001" customHeight="1" x14ac:dyDescent="0.2">
      <c r="B12" s="1959" t="s">
        <v>2156</v>
      </c>
      <c r="C12" s="1962"/>
      <c r="D12" s="1963"/>
      <c r="E12" s="1340"/>
      <c r="F12" s="1340"/>
      <c r="G12" s="1340"/>
      <c r="H12" s="1340"/>
      <c r="I12" s="1340"/>
      <c r="J12" s="1340"/>
      <c r="K12" s="1340"/>
      <c r="L12" s="1337"/>
      <c r="M12" s="1340"/>
    </row>
    <row r="13" spans="2:14" ht="20.100000000000001" customHeight="1" x14ac:dyDescent="0.2">
      <c r="B13" s="1959" t="s">
        <v>2157</v>
      </c>
      <c r="C13" s="1962">
        <v>93.778000000000006</v>
      </c>
      <c r="D13" s="1963" t="s">
        <v>2159</v>
      </c>
      <c r="E13" s="1340">
        <v>1353</v>
      </c>
      <c r="F13" s="1340">
        <v>2105</v>
      </c>
      <c r="G13" s="1340">
        <v>3458</v>
      </c>
      <c r="H13" s="1340"/>
      <c r="I13" s="1340"/>
      <c r="J13" s="1340"/>
      <c r="K13" s="1340"/>
      <c r="L13" s="1337">
        <f t="shared" ref="L13:L19" si="0">+G13+I13+K13</f>
        <v>3458</v>
      </c>
      <c r="M13" s="1340"/>
    </row>
    <row r="14" spans="2:14" ht="20.100000000000001" customHeight="1" x14ac:dyDescent="0.2">
      <c r="B14" s="1964" t="s">
        <v>2157</v>
      </c>
      <c r="C14" s="1965">
        <v>93.778000000000006</v>
      </c>
      <c r="D14" s="1966" t="s">
        <v>2148</v>
      </c>
      <c r="E14" s="1340"/>
      <c r="F14" s="1340">
        <v>1941</v>
      </c>
      <c r="G14" s="1340"/>
      <c r="H14" s="1340"/>
      <c r="I14" s="1967">
        <v>1941</v>
      </c>
      <c r="J14" s="1340"/>
      <c r="K14" s="1340"/>
      <c r="L14" s="1337">
        <f t="shared" si="0"/>
        <v>1941</v>
      </c>
      <c r="M14" s="1340"/>
    </row>
    <row r="15" spans="2:14" ht="20.100000000000001" customHeight="1" x14ac:dyDescent="0.2">
      <c r="B15" s="1959" t="s">
        <v>2158</v>
      </c>
      <c r="C15" s="1962"/>
      <c r="D15" s="1963"/>
      <c r="E15" s="1340">
        <f t="shared" ref="E15:K15" si="1">SUM(E13:E14)</f>
        <v>1353</v>
      </c>
      <c r="F15" s="1340">
        <f t="shared" si="1"/>
        <v>4046</v>
      </c>
      <c r="G15" s="1340">
        <f t="shared" si="1"/>
        <v>3458</v>
      </c>
      <c r="H15" s="1340">
        <f t="shared" si="1"/>
        <v>0</v>
      </c>
      <c r="I15" s="1340">
        <f t="shared" si="1"/>
        <v>1941</v>
      </c>
      <c r="J15" s="1340">
        <f t="shared" si="1"/>
        <v>0</v>
      </c>
      <c r="K15" s="1340">
        <f t="shared" si="1"/>
        <v>0</v>
      </c>
      <c r="L15" s="1337">
        <f t="shared" si="0"/>
        <v>5399</v>
      </c>
      <c r="M15" s="1340">
        <f>SUM(M13:M14)</f>
        <v>0</v>
      </c>
    </row>
    <row r="16" spans="2:14" ht="20.100000000000001" customHeight="1" x14ac:dyDescent="0.2">
      <c r="B16" s="1959"/>
      <c r="C16" s="1962"/>
      <c r="D16" s="1963"/>
      <c r="E16" s="1340"/>
      <c r="F16" s="1340"/>
      <c r="G16" s="1340"/>
      <c r="H16" s="1340"/>
      <c r="I16" s="1340"/>
      <c r="J16" s="1340"/>
      <c r="K16" s="1340"/>
      <c r="L16" s="1337"/>
      <c r="M16" s="1340"/>
    </row>
    <row r="17" spans="2:14" ht="20.100000000000001" customHeight="1" x14ac:dyDescent="0.2">
      <c r="B17" s="1959" t="s">
        <v>2160</v>
      </c>
      <c r="C17" s="1962"/>
      <c r="D17" s="1963"/>
      <c r="E17" s="1340">
        <f t="shared" ref="E17:K17" si="2">E15</f>
        <v>1353</v>
      </c>
      <c r="F17" s="1340">
        <f t="shared" si="2"/>
        <v>4046</v>
      </c>
      <c r="G17" s="1340">
        <f t="shared" si="2"/>
        <v>3458</v>
      </c>
      <c r="H17" s="1340">
        <f t="shared" si="2"/>
        <v>0</v>
      </c>
      <c r="I17" s="1340">
        <f t="shared" si="2"/>
        <v>1941</v>
      </c>
      <c r="J17" s="1340">
        <f t="shared" si="2"/>
        <v>0</v>
      </c>
      <c r="K17" s="1340">
        <f t="shared" si="2"/>
        <v>0</v>
      </c>
      <c r="L17" s="1337">
        <f t="shared" si="0"/>
        <v>5399</v>
      </c>
      <c r="M17" s="1340">
        <f>M15</f>
        <v>0</v>
      </c>
    </row>
    <row r="18" spans="2:14" ht="20.100000000000001" customHeight="1" x14ac:dyDescent="0.2">
      <c r="B18" s="1959"/>
      <c r="C18" s="1962"/>
      <c r="D18" s="1963"/>
      <c r="E18" s="1340"/>
      <c r="F18" s="1340"/>
      <c r="G18" s="1340"/>
      <c r="H18" s="1340"/>
      <c r="I18" s="1340"/>
      <c r="J18" s="1340"/>
      <c r="K18" s="1340"/>
      <c r="L18" s="1337"/>
      <c r="M18" s="1340"/>
    </row>
    <row r="19" spans="2:14" ht="20.100000000000001" customHeight="1" x14ac:dyDescent="0.2">
      <c r="B19" s="1959" t="s">
        <v>2161</v>
      </c>
      <c r="C19" s="1962"/>
      <c r="D19" s="1963"/>
      <c r="E19" s="1340">
        <f>E17+' SEFA - 4'!E21+' SEFA - 2'!E16</f>
        <v>802410</v>
      </c>
      <c r="F19" s="1340">
        <f>F17+' SEFA - 4'!F21+' SEFA - 2'!F16</f>
        <v>897359</v>
      </c>
      <c r="G19" s="1340">
        <f>G17+' SEFA - 4'!G21+' SEFA - 2'!G16</f>
        <v>879621</v>
      </c>
      <c r="H19" s="1340">
        <f>H17+' SEFA - 4'!H21+' SEFA - 2'!H16</f>
        <v>0</v>
      </c>
      <c r="I19" s="1340">
        <f>I17+' SEFA - 4'!I21+' SEFA - 2'!I16</f>
        <v>920151</v>
      </c>
      <c r="J19" s="1340">
        <f>J17+' SEFA - 4'!J21+' SEFA - 2'!J16</f>
        <v>0</v>
      </c>
      <c r="K19" s="1340">
        <f>K17+' SEFA - 4'!K21+' SEFA - 2'!K16</f>
        <v>0</v>
      </c>
      <c r="L19" s="1337">
        <f t="shared" si="0"/>
        <v>1799772</v>
      </c>
      <c r="M19" s="1340">
        <f>M17+' SEFA - 4'!M21+' SEFA - 2'!M16</f>
        <v>1283395</v>
      </c>
    </row>
    <row r="20" spans="2:14" ht="20.100000000000001" customHeight="1" x14ac:dyDescent="0.2">
      <c r="B20" s="1336"/>
      <c r="C20" s="1338"/>
      <c r="D20" s="1339"/>
      <c r="E20" s="1340"/>
      <c r="F20" s="1340"/>
      <c r="G20" s="1340"/>
      <c r="H20" s="1340"/>
      <c r="I20" s="1340"/>
      <c r="J20" s="1340"/>
      <c r="K20" s="1340"/>
      <c r="L20" s="1337"/>
      <c r="M20" s="1340"/>
    </row>
    <row r="21" spans="2:14" ht="20.100000000000001" customHeight="1" x14ac:dyDescent="0.2">
      <c r="B21" s="1336"/>
      <c r="C21" s="1338"/>
      <c r="D21" s="1339"/>
      <c r="E21" s="1340"/>
      <c r="F21" s="1340"/>
      <c r="G21" s="1340"/>
      <c r="H21" s="1340"/>
      <c r="I21" s="1340"/>
      <c r="J21" s="1340"/>
      <c r="K21" s="1340"/>
      <c r="L21" s="1337"/>
      <c r="M21" s="1340"/>
    </row>
    <row r="22" spans="2:14" ht="20.100000000000001" customHeight="1" x14ac:dyDescent="0.2">
      <c r="B22" s="1336"/>
      <c r="C22" s="1338"/>
      <c r="D22" s="1339"/>
      <c r="E22" s="1340"/>
      <c r="F22" s="1340"/>
      <c r="G22" s="1340"/>
      <c r="H22" s="1340"/>
      <c r="I22" s="1340"/>
      <c r="J22" s="1340"/>
      <c r="K22" s="1340"/>
      <c r="L22" s="1337"/>
      <c r="M22" s="1340"/>
    </row>
    <row r="23" spans="2:14" ht="20.100000000000001" customHeight="1" x14ac:dyDescent="0.2">
      <c r="B23" s="1336"/>
      <c r="C23" s="1338"/>
      <c r="D23" s="1339"/>
      <c r="E23" s="1340"/>
      <c r="F23" s="1340"/>
      <c r="G23" s="1340"/>
      <c r="H23" s="1340"/>
      <c r="I23" s="1340"/>
      <c r="J23" s="1340"/>
      <c r="K23" s="1340"/>
      <c r="L23" s="1337"/>
      <c r="M23" s="1340"/>
    </row>
    <row r="24" spans="2:14" ht="20.100000000000001" customHeight="1" x14ac:dyDescent="0.2">
      <c r="B24" s="1336"/>
      <c r="C24" s="1338"/>
      <c r="D24" s="1339"/>
      <c r="E24" s="1340"/>
      <c r="F24" s="1340"/>
      <c r="G24" s="1340"/>
      <c r="H24" s="1340"/>
      <c r="I24" s="1340"/>
      <c r="J24" s="1340"/>
      <c r="K24" s="1340"/>
      <c r="L24" s="1337"/>
      <c r="M24" s="1340"/>
    </row>
    <row r="25" spans="2:14" ht="20.100000000000001" customHeight="1" x14ac:dyDescent="0.2">
      <c r="B25" s="1336"/>
      <c r="C25" s="1338"/>
      <c r="D25" s="1339"/>
      <c r="E25" s="1340"/>
      <c r="F25" s="1340"/>
      <c r="G25" s="1340"/>
      <c r="H25" s="1340"/>
      <c r="I25" s="1340"/>
      <c r="J25" s="1340"/>
      <c r="K25" s="1340"/>
      <c r="L25" s="1337"/>
      <c r="M25" s="1340"/>
    </row>
    <row r="26" spans="2:14" ht="20.100000000000001" customHeight="1" x14ac:dyDescent="0.2">
      <c r="B26" s="1336"/>
      <c r="C26" s="1338"/>
      <c r="D26" s="1339"/>
      <c r="E26" s="1340"/>
      <c r="F26" s="1340"/>
      <c r="G26" s="1340"/>
      <c r="H26" s="1340"/>
      <c r="I26" s="1340"/>
      <c r="J26" s="1340"/>
      <c r="K26" s="1340"/>
      <c r="L26" s="1337"/>
      <c r="M26" s="1340"/>
    </row>
    <row r="27" spans="2:14" ht="20.100000000000001" customHeight="1" x14ac:dyDescent="0.2">
      <c r="B27" s="1336"/>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1837</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1947</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1308</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9" t="s">
        <v>1667</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1840</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1841</v>
      </c>
      <c r="C45" s="1365"/>
      <c r="D45" s="1366"/>
      <c r="E45" s="1299"/>
      <c r="F45" s="1299"/>
      <c r="G45" s="1299"/>
      <c r="H45" s="1299"/>
      <c r="I45" s="1299"/>
      <c r="J45" s="1299"/>
      <c r="K45" s="1367"/>
      <c r="L45" s="1367"/>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7" firstPageNumber="38" orientation="landscape" useFirstPageNumber="1" r:id="rId1"/>
  <headerFooter alignWithMargins="0">
    <oddHeader>&amp;L&amp;8Page 40&amp;R&amp;8Page 40</oddHeader>
    <oddFooter>&amp;CSee Independent Auditors' Report.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2" zoomScale="120" zoomScaleNormal="120" workbookViewId="0">
      <selection activeCell="M46" sqref="M46"/>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Egyptian CUSD 5</v>
      </c>
      <c r="B1" s="2477"/>
      <c r="C1" s="2477"/>
      <c r="D1" s="2477"/>
      <c r="E1" s="2477"/>
      <c r="F1" s="2477"/>
    </row>
    <row r="2" spans="1:7" ht="13.5" customHeight="1" x14ac:dyDescent="0.2">
      <c r="A2" s="2465">
        <f>'Single Audit Cover'!E7</f>
        <v>30002005026</v>
      </c>
      <c r="B2" s="2465"/>
      <c r="C2" s="2465"/>
      <c r="D2" s="2465"/>
      <c r="E2" s="2465"/>
      <c r="F2" s="2465"/>
      <c r="G2" s="1274"/>
    </row>
    <row r="3" spans="1:7" ht="15.75" customHeight="1" x14ac:dyDescent="0.2">
      <c r="A3" s="2478" t="s">
        <v>1333</v>
      </c>
      <c r="B3" s="2478"/>
      <c r="C3" s="2478"/>
      <c r="D3" s="2478"/>
      <c r="E3" s="2478"/>
      <c r="F3" s="2478"/>
    </row>
    <row r="4" spans="1:7" ht="13.5" customHeight="1" x14ac:dyDescent="0.2">
      <c r="A4" s="2479" t="str">
        <f>'Single Audit Cover'!A4</f>
        <v>Year Ending June 30, 2018</v>
      </c>
      <c r="B4" s="2479"/>
      <c r="C4" s="2479"/>
      <c r="D4" s="2479"/>
      <c r="E4" s="2479"/>
      <c r="F4" s="2479"/>
    </row>
    <row r="5" spans="1:7" ht="8.25" customHeight="1" x14ac:dyDescent="0.2">
      <c r="C5" s="317"/>
      <c r="D5" s="317"/>
    </row>
    <row r="6" spans="1:7" ht="13.5" customHeight="1" x14ac:dyDescent="0.2">
      <c r="A6" s="1275" t="s">
        <v>1831</v>
      </c>
      <c r="C6" s="317"/>
      <c r="D6" s="317"/>
    </row>
    <row r="7" spans="1:7" ht="60.95" customHeight="1" x14ac:dyDescent="0.2">
      <c r="A7" s="2476" t="s">
        <v>2167</v>
      </c>
      <c r="B7" s="2476"/>
      <c r="C7" s="2476"/>
      <c r="D7" s="2476"/>
      <c r="E7" s="2476"/>
      <c r="F7" s="2476"/>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2073</v>
      </c>
      <c r="F10" s="1279" t="s">
        <v>101</v>
      </c>
      <c r="G10" s="1277"/>
    </row>
    <row r="11" spans="1:7" ht="12" customHeight="1" x14ac:dyDescent="0.2">
      <c r="A11" s="1278"/>
      <c r="B11" s="1279"/>
      <c r="C11" s="1924"/>
      <c r="D11" s="1279"/>
      <c r="E11" s="1924"/>
      <c r="F11" s="1279"/>
      <c r="G11" s="1277"/>
    </row>
    <row r="12" spans="1:7" x14ac:dyDescent="0.2">
      <c r="A12" s="1275" t="s">
        <v>1669</v>
      </c>
      <c r="C12" s="1259"/>
      <c r="D12" s="1259"/>
    </row>
    <row r="13" spans="1:7" ht="15" customHeight="1" x14ac:dyDescent="0.2">
      <c r="A13" s="2476" t="s">
        <v>2168</v>
      </c>
      <c r="B13" s="2476"/>
      <c r="C13" s="2476"/>
      <c r="D13" s="2476"/>
      <c r="E13" s="2476"/>
      <c r="F13" s="2476"/>
    </row>
    <row r="14" spans="1:7" ht="9.75" customHeight="1" x14ac:dyDescent="0.2">
      <c r="C14" s="1259"/>
      <c r="D14" s="1259"/>
    </row>
    <row r="15" spans="1:7" ht="13.5" customHeight="1" x14ac:dyDescent="0.2">
      <c r="C15" s="1868" t="s">
        <v>1332</v>
      </c>
      <c r="D15" s="2474" t="s">
        <v>1331</v>
      </c>
      <c r="E15" s="2474"/>
      <c r="F15" s="2474"/>
    </row>
    <row r="16" spans="1:7" ht="13.5" customHeight="1" x14ac:dyDescent="0.2">
      <c r="A16" s="1281"/>
      <c r="B16" s="1275" t="s">
        <v>1330</v>
      </c>
      <c r="C16" s="1868" t="s">
        <v>1329</v>
      </c>
      <c r="D16" s="2475" t="s">
        <v>1670</v>
      </c>
      <c r="E16" s="2475"/>
      <c r="F16" s="2475"/>
    </row>
    <row r="17" spans="1:6" ht="20.45" customHeight="1" x14ac:dyDescent="0.2">
      <c r="A17" s="1282"/>
      <c r="B17" s="1283" t="s">
        <v>2107</v>
      </c>
      <c r="C17" s="1284"/>
      <c r="D17" s="2469"/>
      <c r="E17" s="2469"/>
      <c r="F17" s="2469"/>
    </row>
    <row r="18" spans="1:6" ht="20.65" customHeight="1" x14ac:dyDescent="0.2">
      <c r="A18" s="1282"/>
      <c r="B18" s="1283"/>
      <c r="C18" s="1284"/>
      <c r="D18" s="2469"/>
      <c r="E18" s="2469"/>
      <c r="F18" s="2469"/>
    </row>
    <row r="19" spans="1:6" ht="20.65" customHeight="1" x14ac:dyDescent="0.2">
      <c r="A19" s="1282"/>
      <c r="B19" s="1283"/>
      <c r="C19" s="1284"/>
      <c r="D19" s="2469"/>
      <c r="E19" s="2469"/>
      <c r="F19" s="2469"/>
    </row>
    <row r="20" spans="1:6" ht="20.65" customHeight="1" x14ac:dyDescent="0.2">
      <c r="A20" s="1282"/>
      <c r="B20" s="1283"/>
      <c r="C20" s="1284"/>
      <c r="D20" s="2469"/>
      <c r="E20" s="2469"/>
      <c r="F20" s="2469"/>
    </row>
    <row r="21" spans="1:6" ht="20.65" customHeight="1" x14ac:dyDescent="0.2">
      <c r="A21" s="1282"/>
      <c r="B21" s="1283"/>
      <c r="C21" s="1284"/>
      <c r="D21" s="2469"/>
      <c r="E21" s="2469"/>
      <c r="F21" s="2469"/>
    </row>
    <row r="22" spans="1:6" ht="20.65" customHeight="1" x14ac:dyDescent="0.2">
      <c r="A22" s="1282"/>
      <c r="B22" s="1283"/>
      <c r="C22" s="1284"/>
      <c r="D22" s="2469"/>
      <c r="E22" s="2469"/>
      <c r="F22" s="2469"/>
    </row>
    <row r="23" spans="1:6" ht="20.65" customHeight="1" x14ac:dyDescent="0.2">
      <c r="A23" s="1282"/>
      <c r="B23" s="1283"/>
      <c r="C23" s="1284"/>
      <c r="D23" s="2469"/>
      <c r="E23" s="2469"/>
      <c r="F23" s="2469"/>
    </row>
    <row r="24" spans="1:6" ht="20.65" customHeight="1" x14ac:dyDescent="0.2">
      <c r="A24" s="1282"/>
      <c r="B24" s="1283"/>
      <c r="C24" s="1284"/>
      <c r="D24" s="2469"/>
      <c r="E24" s="2469"/>
      <c r="F24" s="2469"/>
    </row>
    <row r="25" spans="1:6" ht="20.65" customHeight="1" x14ac:dyDescent="0.2">
      <c r="A25" s="1282"/>
      <c r="B25" s="1283"/>
      <c r="C25" s="1284"/>
      <c r="D25" s="2469"/>
      <c r="E25" s="2469"/>
      <c r="F25" s="2469"/>
    </row>
    <row r="26" spans="1:6" ht="20.65" customHeight="1" x14ac:dyDescent="0.2">
      <c r="A26" s="1282"/>
      <c r="B26" s="1283"/>
      <c r="C26" s="1284"/>
      <c r="D26" s="2469"/>
      <c r="E26" s="2469"/>
      <c r="F26" s="2469"/>
    </row>
    <row r="27" spans="1:6" ht="20.65" customHeight="1" x14ac:dyDescent="0.2">
      <c r="A27" s="1282"/>
      <c r="B27" s="1283"/>
      <c r="C27" s="1284"/>
      <c r="D27" s="2469"/>
      <c r="E27" s="2469"/>
      <c r="F27" s="2469"/>
    </row>
    <row r="28" spans="1:6" ht="20.65" customHeight="1" x14ac:dyDescent="0.2">
      <c r="A28" s="1282"/>
      <c r="B28" s="1283"/>
      <c r="C28" s="1284"/>
      <c r="D28" s="2469"/>
      <c r="E28" s="2469"/>
      <c r="F28" s="2469"/>
    </row>
    <row r="29" spans="1:6" ht="20.65" customHeight="1" x14ac:dyDescent="0.2">
      <c r="A29" s="1282"/>
      <c r="B29" s="1283"/>
      <c r="C29" s="1284"/>
      <c r="D29" s="2469"/>
      <c r="E29" s="2469"/>
      <c r="F29" s="2469"/>
    </row>
    <row r="30" spans="1:6" ht="12" customHeight="1" x14ac:dyDescent="0.2">
      <c r="A30" s="328"/>
      <c r="B30" s="328"/>
      <c r="C30" s="1475"/>
      <c r="D30" s="1925"/>
      <c r="E30" s="1285"/>
    </row>
    <row r="31" spans="1:6" ht="12" customHeight="1" x14ac:dyDescent="0.2">
      <c r="A31" s="1286" t="s">
        <v>1630</v>
      </c>
      <c r="B31" s="328"/>
      <c r="C31" s="1475"/>
      <c r="D31" s="1925"/>
      <c r="E31" s="1285"/>
    </row>
    <row r="32" spans="1:6" ht="30" customHeight="1" x14ac:dyDescent="0.2">
      <c r="A32" s="2470" t="s">
        <v>2108</v>
      </c>
      <c r="B32" s="2470"/>
      <c r="C32" s="2470"/>
      <c r="D32" s="2470"/>
      <c r="E32" s="2470"/>
      <c r="F32" s="2470"/>
    </row>
    <row r="33" spans="1:6" ht="13.5" customHeight="1" x14ac:dyDescent="0.2">
      <c r="A33" s="328" t="s">
        <v>1509</v>
      </c>
      <c r="B33" s="328"/>
      <c r="C33" s="1287">
        <v>0</v>
      </c>
      <c r="D33" s="1925"/>
      <c r="E33" s="1285"/>
    </row>
    <row r="34" spans="1:6" ht="13.5" customHeight="1" x14ac:dyDescent="0.2">
      <c r="A34" s="328" t="s">
        <v>1945</v>
      </c>
      <c r="B34" s="328"/>
      <c r="C34" s="1288">
        <v>0</v>
      </c>
      <c r="D34" s="1925" t="s">
        <v>1671</v>
      </c>
      <c r="E34" s="2471">
        <f>+C33+C34</f>
        <v>0</v>
      </c>
      <c r="F34" s="2472"/>
    </row>
    <row r="35" spans="1:6" ht="12" customHeight="1" x14ac:dyDescent="0.2">
      <c r="A35" s="328"/>
      <c r="B35" s="328"/>
      <c r="C35" s="1926"/>
      <c r="D35" s="1925"/>
      <c r="E35" s="1289"/>
      <c r="F35" s="1290"/>
    </row>
    <row r="36" spans="1:6" ht="13.5" customHeight="1" x14ac:dyDescent="0.2">
      <c r="A36" s="1286" t="s">
        <v>1631</v>
      </c>
      <c r="B36" s="328"/>
      <c r="C36" s="1475"/>
      <c r="D36" s="1925"/>
      <c r="E36" s="1285"/>
    </row>
    <row r="37" spans="1:6" ht="14.25" customHeight="1" x14ac:dyDescent="0.2">
      <c r="A37" s="328" t="s">
        <v>1563</v>
      </c>
      <c r="B37" s="328"/>
      <c r="C37" s="1927"/>
      <c r="D37" s="1925"/>
      <c r="E37" s="1285"/>
    </row>
    <row r="38" spans="1:6" ht="14.25" customHeight="1" x14ac:dyDescent="0.2">
      <c r="A38" s="328"/>
      <c r="B38" s="328" t="s">
        <v>1510</v>
      </c>
      <c r="C38" s="1291">
        <v>0</v>
      </c>
      <c r="D38" s="1925"/>
      <c r="E38" s="1285"/>
    </row>
    <row r="39" spans="1:6" ht="14.25" customHeight="1" x14ac:dyDescent="0.2">
      <c r="A39" s="328"/>
      <c r="B39" s="328" t="s">
        <v>1511</v>
      </c>
      <c r="C39" s="1291">
        <v>0</v>
      </c>
      <c r="D39" s="1925"/>
      <c r="E39" s="1285"/>
    </row>
    <row r="40" spans="1:6" ht="14.25" customHeight="1" x14ac:dyDescent="0.2">
      <c r="A40" s="328"/>
      <c r="B40" s="328" t="s">
        <v>1512</v>
      </c>
      <c r="C40" s="1291">
        <v>0</v>
      </c>
      <c r="D40" s="1925"/>
      <c r="E40" s="1285"/>
    </row>
    <row r="41" spans="1:6" ht="14.25" customHeight="1" x14ac:dyDescent="0.2">
      <c r="A41" s="328"/>
      <c r="B41" s="328" t="s">
        <v>1513</v>
      </c>
      <c r="C41" s="1291">
        <v>0</v>
      </c>
      <c r="D41" s="1925"/>
      <c r="E41" s="1285"/>
    </row>
    <row r="42" spans="1:6" ht="14.25" customHeight="1" x14ac:dyDescent="0.2">
      <c r="A42" s="328" t="s">
        <v>1514</v>
      </c>
      <c r="B42" s="328"/>
      <c r="C42" s="1923">
        <v>150977</v>
      </c>
      <c r="D42" s="1925"/>
      <c r="E42" s="1285"/>
    </row>
    <row r="43" spans="1:6" ht="14.25" customHeight="1" x14ac:dyDescent="0.2">
      <c r="A43" s="328" t="s">
        <v>1515</v>
      </c>
      <c r="B43" s="328"/>
      <c r="C43" s="1292" t="s">
        <v>401</v>
      </c>
      <c r="D43" s="1925"/>
      <c r="E43" s="1285"/>
    </row>
    <row r="44" spans="1:6" ht="14.25" customHeight="1" x14ac:dyDescent="0.2">
      <c r="A44" s="328"/>
      <c r="B44" s="328"/>
      <c r="C44" s="1927" t="s">
        <v>1516</v>
      </c>
      <c r="D44" s="1925"/>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3" t="s">
        <v>1672</v>
      </c>
      <c r="C49" s="2473"/>
      <c r="D49" s="2473"/>
      <c r="E49" s="1396"/>
    </row>
    <row r="50" spans="1:5" s="1299" customFormat="1" ht="3.75" customHeight="1" x14ac:dyDescent="0.2">
      <c r="A50" s="1298"/>
      <c r="B50" s="1867"/>
      <c r="C50" s="1867"/>
      <c r="D50" s="1867"/>
      <c r="E50" s="1396"/>
    </row>
    <row r="51" spans="1:5" s="1299" customFormat="1" ht="20.25" customHeight="1" x14ac:dyDescent="0.2">
      <c r="A51" s="1300">
        <v>6</v>
      </c>
      <c r="B51" s="2468" t="s">
        <v>1632</v>
      </c>
      <c r="C51" s="2468"/>
      <c r="D51" s="2468"/>
    </row>
    <row r="52" spans="1:5" ht="14.25" customHeight="1" x14ac:dyDescent="0.2">
      <c r="A52" s="1300"/>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M46" sqref="M46"/>
    </sheetView>
  </sheetViews>
  <sheetFormatPr defaultColWidth="9.140625" defaultRowHeight="12.75" x14ac:dyDescent="0.2"/>
  <cols>
    <col min="1" max="1" width="1.42578125" style="1299" customWidth="1"/>
    <col min="2" max="2" width="24.42578125" style="1354"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Egyptian CUSD 5</v>
      </c>
      <c r="C1" s="2492"/>
      <c r="D1" s="2492"/>
      <c r="E1" s="2492"/>
      <c r="F1" s="2492"/>
      <c r="G1" s="2492"/>
      <c r="H1" s="2492"/>
      <c r="I1" s="2492"/>
      <c r="J1" s="1419"/>
    </row>
    <row r="2" spans="2:10" s="317" customFormat="1" ht="12.75" customHeight="1" x14ac:dyDescent="0.2">
      <c r="B2" s="2493">
        <f>'Single Audit Cover'!E7</f>
        <v>30002005026</v>
      </c>
      <c r="C2" s="2494"/>
      <c r="D2" s="2494"/>
      <c r="E2" s="2494"/>
      <c r="F2" s="2494"/>
      <c r="G2" s="2494"/>
      <c r="H2" s="2494"/>
      <c r="I2" s="2494"/>
      <c r="J2" s="1419"/>
    </row>
    <row r="3" spans="2:10" s="317" customFormat="1" ht="12.75" customHeight="1" x14ac:dyDescent="0.2">
      <c r="B3" s="2495" t="s">
        <v>1347</v>
      </c>
      <c r="C3" s="2496"/>
      <c r="D3" s="2496"/>
      <c r="E3" s="2496"/>
      <c r="F3" s="2496"/>
      <c r="G3" s="2496"/>
      <c r="H3" s="2496"/>
      <c r="I3" s="2496"/>
      <c r="J3" s="1420"/>
    </row>
    <row r="4" spans="2:10" s="317" customFormat="1" ht="12.75" customHeight="1" x14ac:dyDescent="0.2">
      <c r="B4" s="2495" t="str">
        <f>'Single Audit Cover'!A4</f>
        <v>Year Ending June 30, 2018</v>
      </c>
      <c r="C4" s="2496"/>
      <c r="D4" s="2496"/>
      <c r="E4" s="2496"/>
      <c r="F4" s="2496"/>
      <c r="G4" s="2496"/>
      <c r="H4" s="2496"/>
      <c r="I4" s="2496"/>
    </row>
    <row r="5" spans="2:10" s="317" customFormat="1" ht="6.2" customHeight="1" x14ac:dyDescent="0.2">
      <c r="B5" s="1421" t="s">
        <v>1231</v>
      </c>
      <c r="C5" s="1293"/>
      <c r="D5" s="1293"/>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95" t="s">
        <v>1346</v>
      </c>
      <c r="C7" s="2496"/>
      <c r="D7" s="2496"/>
      <c r="E7" s="2496"/>
      <c r="F7" s="2496"/>
      <c r="G7" s="2496"/>
      <c r="H7" s="2496"/>
      <c r="I7" s="2496"/>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7"/>
    </row>
    <row r="11" spans="2:10" s="317" customFormat="1" ht="13.5" customHeight="1" x14ac:dyDescent="0.2">
      <c r="B11" s="1346" t="s">
        <v>1344</v>
      </c>
      <c r="C11" s="2497" t="s">
        <v>1226</v>
      </c>
      <c r="D11" s="2497"/>
      <c r="E11" s="1429"/>
      <c r="F11" s="1429"/>
      <c r="G11" s="1429"/>
    </row>
    <row r="12" spans="2:10" s="317" customFormat="1" ht="11.45" customHeight="1" x14ac:dyDescent="0.2">
      <c r="B12" s="1354"/>
      <c r="C12" s="1430" t="s">
        <v>1517</v>
      </c>
      <c r="D12" s="1431"/>
      <c r="E12" s="1257"/>
    </row>
    <row r="13" spans="2:10" s="317" customFormat="1" ht="12.75" customHeight="1" x14ac:dyDescent="0.2">
      <c r="B13" s="1432"/>
      <c r="C13" s="1384"/>
      <c r="D13" s="1384"/>
      <c r="E13" s="1257"/>
    </row>
    <row r="14" spans="2:10" s="317" customFormat="1" ht="12.75" customHeight="1" x14ac:dyDescent="0.2">
      <c r="B14" s="1365" t="s">
        <v>1343</v>
      </c>
      <c r="C14" s="1281"/>
      <c r="E14" s="1257"/>
    </row>
    <row r="15" spans="2:10" s="317" customFormat="1" ht="13.5" customHeight="1" x14ac:dyDescent="0.2">
      <c r="B15" s="1433" t="s">
        <v>1340</v>
      </c>
      <c r="C15" s="1434"/>
      <c r="D15" s="1395"/>
      <c r="E15" s="1435"/>
      <c r="F15" s="1299" t="s">
        <v>940</v>
      </c>
      <c r="G15" s="1435" t="s">
        <v>2073</v>
      </c>
      <c r="H15" s="1299" t="s">
        <v>1338</v>
      </c>
      <c r="I15" s="1299"/>
    </row>
    <row r="16" spans="2:10" s="317" customFormat="1" ht="8.4499999999999993" customHeight="1" x14ac:dyDescent="0.2">
      <c r="B16" s="1365"/>
      <c r="C16" s="1281"/>
      <c r="E16" s="1380"/>
      <c r="F16" s="1299"/>
      <c r="G16" s="322"/>
      <c r="H16" s="1299"/>
      <c r="I16" s="1299"/>
    </row>
    <row r="17" spans="2:9" s="317" customFormat="1" ht="13.5" customHeight="1" x14ac:dyDescent="0.2">
      <c r="B17" s="1433" t="s">
        <v>1339</v>
      </c>
      <c r="C17" s="1434"/>
      <c r="D17" s="1395"/>
      <c r="E17" s="1436"/>
      <c r="F17" s="1256"/>
      <c r="G17" s="1436"/>
      <c r="H17" s="1299"/>
      <c r="I17" s="1299"/>
    </row>
    <row r="18" spans="2:9" s="317" customFormat="1" ht="12.75" customHeight="1" x14ac:dyDescent="0.2">
      <c r="B18" s="1433" t="s">
        <v>1518</v>
      </c>
      <c r="C18" s="1434"/>
      <c r="D18" s="1395"/>
      <c r="E18" s="1435"/>
      <c r="F18" s="1299" t="s">
        <v>940</v>
      </c>
      <c r="G18" s="1435" t="s">
        <v>2073</v>
      </c>
      <c r="H18" s="1299" t="s">
        <v>1338</v>
      </c>
      <c r="I18" s="1299"/>
    </row>
    <row r="19" spans="2:9" s="317" customFormat="1" ht="8.4499999999999993" customHeight="1" x14ac:dyDescent="0.2">
      <c r="B19" s="1365"/>
      <c r="C19" s="1281"/>
      <c r="E19" s="1380"/>
      <c r="F19" s="1299"/>
      <c r="G19" s="322"/>
      <c r="H19" s="1299"/>
      <c r="I19" s="1299"/>
    </row>
    <row r="20" spans="2:9" s="317" customFormat="1" ht="13.5" customHeight="1" x14ac:dyDescent="0.2">
      <c r="B20" s="1433" t="s">
        <v>1673</v>
      </c>
      <c r="C20" s="1434"/>
      <c r="D20" s="1395"/>
      <c r="E20" s="1435"/>
      <c r="F20" s="1299" t="s">
        <v>940</v>
      </c>
      <c r="G20" s="1435" t="s">
        <v>2073</v>
      </c>
      <c r="H20" s="1299" t="s">
        <v>101</v>
      </c>
      <c r="I20" s="1299"/>
    </row>
    <row r="21" spans="2:9" s="317" customFormat="1" ht="12.75" customHeight="1" x14ac:dyDescent="0.2">
      <c r="B21" s="1365"/>
      <c r="C21" s="1281"/>
      <c r="E21" s="1380"/>
      <c r="F21" s="1299"/>
      <c r="G21" s="322"/>
      <c r="H21" s="1299"/>
      <c r="I21" s="1299"/>
    </row>
    <row r="22" spans="2:9" s="317" customFormat="1" ht="12.75" customHeight="1" x14ac:dyDescent="0.2">
      <c r="B22" s="1427" t="s">
        <v>1342</v>
      </c>
      <c r="C22" s="1437"/>
      <c r="D22" s="1428"/>
      <c r="E22" s="1380"/>
      <c r="F22" s="1299"/>
      <c r="G22" s="322"/>
      <c r="H22" s="1299"/>
      <c r="I22" s="1299"/>
    </row>
    <row r="23" spans="2:9" s="317" customFormat="1" ht="12.75" customHeight="1" x14ac:dyDescent="0.2">
      <c r="B23" s="1365" t="s">
        <v>1341</v>
      </c>
      <c r="C23" s="1281"/>
      <c r="E23" s="1380"/>
      <c r="F23" s="1299"/>
      <c r="G23" s="322"/>
      <c r="H23" s="1299"/>
      <c r="I23" s="1299"/>
    </row>
    <row r="24" spans="2:9" s="317" customFormat="1" ht="13.5" customHeight="1" x14ac:dyDescent="0.2">
      <c r="B24" s="1433" t="s">
        <v>1340</v>
      </c>
      <c r="C24" s="1434"/>
      <c r="D24" s="1395"/>
      <c r="E24" s="1435"/>
      <c r="F24" s="1299" t="s">
        <v>940</v>
      </c>
      <c r="G24" s="1435" t="s">
        <v>2073</v>
      </c>
      <c r="H24" s="1299" t="s">
        <v>1338</v>
      </c>
      <c r="I24" s="1299"/>
    </row>
    <row r="25" spans="2:9" s="317" customFormat="1" ht="8.4499999999999993" customHeight="1" x14ac:dyDescent="0.2">
      <c r="B25" s="1365"/>
      <c r="C25" s="1281"/>
      <c r="E25" s="1380"/>
      <c r="F25" s="1299"/>
      <c r="G25" s="322"/>
      <c r="H25" s="1299"/>
      <c r="I25" s="1299"/>
    </row>
    <row r="26" spans="2:9" s="317" customFormat="1" ht="13.5" customHeight="1" x14ac:dyDescent="0.2">
      <c r="B26" s="1433" t="s">
        <v>1339</v>
      </c>
      <c r="C26" s="1434"/>
      <c r="D26" s="1395"/>
      <c r="E26" s="1436"/>
      <c r="F26" s="1256"/>
      <c r="G26" s="1436"/>
      <c r="H26" s="1299"/>
      <c r="I26" s="1299"/>
    </row>
    <row r="27" spans="2:9" s="317" customFormat="1" ht="12.75" customHeight="1" x14ac:dyDescent="0.2">
      <c r="B27" s="1433" t="s">
        <v>1518</v>
      </c>
      <c r="C27" s="1434"/>
      <c r="D27" s="1395"/>
      <c r="E27" s="1435"/>
      <c r="F27" s="1299" t="s">
        <v>940</v>
      </c>
      <c r="G27" s="1435" t="s">
        <v>2073</v>
      </c>
      <c r="H27" s="1299" t="s">
        <v>1338</v>
      </c>
      <c r="I27" s="1299"/>
    </row>
    <row r="28" spans="2:9" s="317" customFormat="1" ht="12.75" customHeight="1" x14ac:dyDescent="0.2">
      <c r="B28" s="1365"/>
      <c r="C28" s="1281"/>
      <c r="E28" s="1257"/>
    </row>
    <row r="29" spans="2:9" s="317" customFormat="1" ht="12.75" customHeight="1" x14ac:dyDescent="0.2">
      <c r="B29" s="1365" t="s">
        <v>1337</v>
      </c>
      <c r="C29" s="1281"/>
      <c r="D29" s="2498" t="s">
        <v>2109</v>
      </c>
      <c r="E29" s="2498"/>
      <c r="F29" s="2498"/>
      <c r="G29" s="2498"/>
      <c r="H29" s="2498"/>
      <c r="I29" s="2498"/>
    </row>
    <row r="30" spans="2:9" s="317" customFormat="1" x14ac:dyDescent="0.2">
      <c r="B30" s="1365"/>
      <c r="C30" s="322"/>
      <c r="D30" s="1430" t="s">
        <v>1848</v>
      </c>
      <c r="E30" s="1431"/>
      <c r="F30" s="1431"/>
      <c r="G30" s="1431"/>
      <c r="H30" s="1431"/>
      <c r="I30" s="1431"/>
    </row>
    <row r="31" spans="2:9" s="317" customFormat="1" ht="9.9499999999999993" customHeight="1" x14ac:dyDescent="0.2">
      <c r="B31" s="1365"/>
      <c r="E31" s="1257"/>
    </row>
    <row r="32" spans="2:9" s="317" customFormat="1" x14ac:dyDescent="0.2">
      <c r="B32" s="1365" t="s">
        <v>1336</v>
      </c>
      <c r="C32" s="1281"/>
      <c r="E32" s="1257"/>
    </row>
    <row r="33" spans="2:9" ht="13.5" customHeight="1" x14ac:dyDescent="0.2">
      <c r="B33" s="1365" t="s">
        <v>1633</v>
      </c>
      <c r="C33" s="1281"/>
      <c r="E33" s="1435"/>
      <c r="F33" s="1299" t="s">
        <v>940</v>
      </c>
      <c r="G33" s="1435" t="s">
        <v>2073</v>
      </c>
      <c r="H33" s="1299" t="s">
        <v>101</v>
      </c>
    </row>
    <row r="35" spans="2:9" x14ac:dyDescent="0.2">
      <c r="B35" s="1438" t="s">
        <v>1849</v>
      </c>
      <c r="C35" s="1439"/>
      <c r="D35" s="1266"/>
    </row>
    <row r="36" spans="2:9" ht="6" customHeight="1" x14ac:dyDescent="0.2">
      <c r="B36" s="1438"/>
      <c r="C36" s="1439"/>
      <c r="D36" s="1266"/>
    </row>
    <row r="37" spans="2:9" ht="17.25" customHeight="1" x14ac:dyDescent="0.2">
      <c r="B37" s="1440" t="s">
        <v>1850</v>
      </c>
      <c r="C37" s="2499" t="s">
        <v>1851</v>
      </c>
      <c r="D37" s="2500"/>
      <c r="E37" s="2500"/>
      <c r="F37" s="2501"/>
      <c r="G37" s="2499" t="s">
        <v>1674</v>
      </c>
      <c r="H37" s="2500"/>
      <c r="I37" s="2501"/>
    </row>
    <row r="38" spans="2:9" ht="16.5" customHeight="1" x14ac:dyDescent="0.2">
      <c r="B38" s="1441">
        <v>84.01</v>
      </c>
      <c r="C38" s="2487" t="s">
        <v>2110</v>
      </c>
      <c r="D38" s="2488"/>
      <c r="E38" s="2488"/>
      <c r="F38" s="2489"/>
      <c r="G38" s="2502">
        <v>381621</v>
      </c>
      <c r="H38" s="2503"/>
      <c r="I38" s="2504"/>
    </row>
    <row r="39" spans="2:9" ht="16.5" customHeight="1" x14ac:dyDescent="0.2">
      <c r="B39" s="1441"/>
      <c r="C39" s="2487"/>
      <c r="D39" s="2488"/>
      <c r="E39" s="2488"/>
      <c r="F39" s="2489"/>
      <c r="G39" s="2490"/>
      <c r="H39" s="2490"/>
      <c r="I39" s="2490"/>
    </row>
    <row r="40" spans="2:9" ht="16.5" customHeight="1" x14ac:dyDescent="0.2">
      <c r="B40" s="1441"/>
      <c r="C40" s="2487"/>
      <c r="D40" s="2488"/>
      <c r="E40" s="2488"/>
      <c r="F40" s="2489"/>
      <c r="G40" s="2490"/>
      <c r="H40" s="2490"/>
      <c r="I40" s="2490"/>
    </row>
    <row r="41" spans="2:9" ht="16.5" customHeight="1" x14ac:dyDescent="0.2">
      <c r="B41" s="1441"/>
      <c r="C41" s="2487"/>
      <c r="D41" s="2488"/>
      <c r="E41" s="2488"/>
      <c r="F41" s="2489"/>
      <c r="G41" s="2490"/>
      <c r="H41" s="2490"/>
      <c r="I41" s="2490"/>
    </row>
    <row r="42" spans="2:9" ht="16.5" customHeight="1" x14ac:dyDescent="0.2">
      <c r="B42" s="1441"/>
      <c r="C42" s="2487"/>
      <c r="D42" s="2488"/>
      <c r="E42" s="2488"/>
      <c r="F42" s="2489"/>
      <c r="G42" s="2490"/>
      <c r="H42" s="2490"/>
      <c r="I42" s="2490"/>
    </row>
    <row r="43" spans="2:9" ht="16.5" customHeight="1" x14ac:dyDescent="0.2">
      <c r="B43" s="1441"/>
      <c r="C43" s="2480" t="s">
        <v>1675</v>
      </c>
      <c r="D43" s="2481"/>
      <c r="E43" s="2481"/>
      <c r="F43" s="2482"/>
      <c r="G43" s="2483">
        <f>SUM(G38:I42)</f>
        <v>381621</v>
      </c>
      <c r="H43" s="2483"/>
      <c r="I43" s="2483"/>
    </row>
    <row r="44" spans="2:9" ht="12.75" customHeight="1" x14ac:dyDescent="0.2"/>
    <row r="45" spans="2:9" ht="12.75" customHeight="1" x14ac:dyDescent="0.2">
      <c r="B45" s="1432" t="s">
        <v>1948</v>
      </c>
      <c r="D45" s="2484">
        <v>920151</v>
      </c>
      <c r="E45" s="2485"/>
    </row>
    <row r="46" spans="2:9" ht="5.25" customHeight="1" x14ac:dyDescent="0.2">
      <c r="B46" s="1442"/>
      <c r="D46" s="1443"/>
      <c r="E46" s="1444"/>
    </row>
    <row r="47" spans="2:9" ht="12.75" customHeight="1" x14ac:dyDescent="0.2">
      <c r="B47" s="1299" t="s">
        <v>1676</v>
      </c>
      <c r="C47" s="1299"/>
      <c r="D47" s="1445">
        <f>+G43/D45</f>
        <v>0.4147373637587744</v>
      </c>
      <c r="E47" s="1446"/>
      <c r="F47" s="1447"/>
      <c r="I47" s="1448"/>
    </row>
    <row r="48" spans="2:9" ht="9.9499999999999993" customHeight="1" x14ac:dyDescent="0.2"/>
    <row r="49" spans="1:9" x14ac:dyDescent="0.2">
      <c r="B49" s="1365" t="s">
        <v>1335</v>
      </c>
      <c r="C49" s="1281"/>
      <c r="D49" s="1281"/>
      <c r="E49" s="2486">
        <v>750000</v>
      </c>
      <c r="F49" s="2486"/>
      <c r="G49" s="2486"/>
      <c r="H49" s="322"/>
    </row>
    <row r="51" spans="1:9" ht="13.5" customHeight="1" x14ac:dyDescent="0.2">
      <c r="B51" s="1365" t="s">
        <v>1334</v>
      </c>
      <c r="C51" s="1281"/>
      <c r="E51" s="1435"/>
      <c r="F51" s="1299" t="s">
        <v>940</v>
      </c>
      <c r="G51" s="1435" t="s">
        <v>2073</v>
      </c>
      <c r="H51" s="1299" t="s">
        <v>101</v>
      </c>
    </row>
    <row r="52" spans="1:9" x14ac:dyDescent="0.2">
      <c r="B52" s="1357"/>
      <c r="C52" s="1296"/>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21" zoomScale="110" zoomScaleNormal="110" workbookViewId="0">
      <selection activeCell="M46" sqref="M4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Egyptian CUSD 5</v>
      </c>
      <c r="C1" s="2491"/>
      <c r="D1" s="2491"/>
      <c r="E1" s="2491"/>
      <c r="F1" s="2491"/>
      <c r="G1" s="2491"/>
      <c r="H1" s="2491"/>
      <c r="I1" s="2491"/>
      <c r="J1" s="2491"/>
      <c r="K1" s="2491"/>
      <c r="L1" s="1371"/>
      <c r="M1" s="1371"/>
    </row>
    <row r="2" spans="1:13" ht="12" customHeight="1" x14ac:dyDescent="0.2">
      <c r="B2" s="2493">
        <f>'Single Audit Cover'!E7</f>
        <v>30002005026</v>
      </c>
      <c r="C2" s="2493"/>
      <c r="D2" s="2493"/>
      <c r="E2" s="2493"/>
      <c r="F2" s="2493"/>
      <c r="G2" s="2493"/>
      <c r="H2" s="2493"/>
      <c r="I2" s="2493"/>
      <c r="J2" s="2493"/>
      <c r="K2" s="2493"/>
      <c r="L2" s="1372"/>
      <c r="M2" s="1373"/>
    </row>
    <row r="3" spans="1:13" ht="10.35" customHeight="1" x14ac:dyDescent="0.2">
      <c r="B3" s="2507" t="s">
        <v>1347</v>
      </c>
      <c r="C3" s="2507"/>
      <c r="D3" s="2507"/>
      <c r="E3" s="2507"/>
      <c r="F3" s="2507"/>
      <c r="G3" s="2507"/>
      <c r="H3" s="2507"/>
      <c r="I3" s="2507"/>
      <c r="J3" s="2507"/>
      <c r="K3" s="2507"/>
      <c r="L3" s="1374"/>
      <c r="M3" s="1374"/>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59" t="s">
        <v>1231</v>
      </c>
      <c r="C5" s="1259"/>
    </row>
    <row r="6" spans="1:13" ht="7.5" customHeight="1" x14ac:dyDescent="0.2">
      <c r="B6" s="1375"/>
      <c r="C6" s="1375"/>
      <c r="D6" s="1376"/>
      <c r="E6" s="1376"/>
      <c r="F6" s="1376"/>
      <c r="G6" s="1377"/>
      <c r="H6" s="1376"/>
      <c r="I6" s="1377"/>
      <c r="J6" s="1376"/>
      <c r="K6" s="1376"/>
      <c r="L6" s="1378"/>
    </row>
    <row r="7" spans="1:13" ht="12.75" customHeight="1" x14ac:dyDescent="0.2">
      <c r="A7" s="1281"/>
      <c r="B7" s="2508" t="s">
        <v>1363</v>
      </c>
      <c r="C7" s="2508"/>
      <c r="D7" s="2509"/>
      <c r="E7" s="2509"/>
      <c r="F7" s="2509"/>
      <c r="G7" s="2509"/>
      <c r="H7" s="2509"/>
      <c r="I7" s="2509"/>
      <c r="J7" s="2509"/>
      <c r="K7" s="250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3"/>
      <c r="C12" s="1293"/>
      <c r="D12" s="322"/>
      <c r="E12" s="322"/>
      <c r="F12" s="322"/>
      <c r="G12" s="1380"/>
      <c r="H12" s="322"/>
      <c r="I12" s="1380"/>
      <c r="J12" s="322"/>
      <c r="L12" s="1378"/>
    </row>
    <row r="13" spans="1:13" s="1281" customFormat="1" ht="13.5" customHeight="1" x14ac:dyDescent="0.2">
      <c r="B13" s="1390" t="s">
        <v>1358</v>
      </c>
      <c r="C13" s="1390"/>
      <c r="D13" s="1391"/>
      <c r="E13" s="1391"/>
      <c r="F13" s="1391"/>
      <c r="G13" s="1392"/>
      <c r="H13" s="1391"/>
      <c r="I13" s="1392"/>
      <c r="J13" s="1391"/>
      <c r="K13" s="1391"/>
      <c r="L13" s="1393"/>
    </row>
    <row r="14" spans="1:13" ht="45.75" customHeight="1" x14ac:dyDescent="0.2">
      <c r="B14" s="2506"/>
      <c r="C14" s="2506"/>
      <c r="D14" s="2506"/>
      <c r="E14" s="2506"/>
      <c r="F14" s="2506"/>
      <c r="G14" s="2506"/>
      <c r="H14" s="2506"/>
      <c r="I14" s="2506"/>
      <c r="J14" s="2506"/>
      <c r="K14" s="2506"/>
      <c r="L14" s="1394"/>
    </row>
    <row r="15" spans="1:13" ht="4.5" customHeight="1" x14ac:dyDescent="0.2">
      <c r="B15" s="1395"/>
      <c r="C15" s="1395"/>
      <c r="D15" s="1396"/>
      <c r="E15" s="1396"/>
      <c r="F15" s="1396"/>
      <c r="H15" s="1396"/>
      <c r="J15" s="1396"/>
      <c r="K15" s="1396"/>
      <c r="L15" s="1394"/>
    </row>
    <row r="16" spans="1:13" s="1281" customFormat="1" ht="13.5" customHeight="1" x14ac:dyDescent="0.2">
      <c r="B16" s="1390" t="s">
        <v>1357</v>
      </c>
      <c r="C16" s="1390"/>
      <c r="D16" s="1391"/>
      <c r="E16" s="1391"/>
      <c r="F16" s="1391"/>
      <c r="G16" s="1392"/>
      <c r="H16" s="1391"/>
      <c r="I16" s="1392"/>
      <c r="J16" s="1391"/>
      <c r="K16" s="1391"/>
      <c r="L16" s="1393"/>
    </row>
    <row r="17" spans="2:12" ht="45.75" customHeight="1" x14ac:dyDescent="0.2">
      <c r="B17" s="2506"/>
      <c r="C17" s="2506"/>
      <c r="D17" s="2506"/>
      <c r="E17" s="2506"/>
      <c r="F17" s="2506"/>
      <c r="G17" s="2506"/>
      <c r="H17" s="2506"/>
      <c r="I17" s="2506"/>
      <c r="J17" s="2506"/>
      <c r="K17" s="2506"/>
      <c r="L17" s="1378"/>
    </row>
    <row r="18" spans="2:12" ht="4.5" customHeight="1" x14ac:dyDescent="0.2">
      <c r="B18" s="1395"/>
      <c r="C18" s="1395"/>
      <c r="L18" s="1378"/>
    </row>
    <row r="19" spans="2:12" s="1281" customFormat="1" ht="13.5" customHeight="1" x14ac:dyDescent="0.2">
      <c r="B19" s="1390" t="s">
        <v>1843</v>
      </c>
      <c r="C19" s="1390"/>
      <c r="D19" s="1391"/>
      <c r="E19" s="1391"/>
      <c r="F19" s="1391"/>
      <c r="G19" s="1392"/>
      <c r="H19" s="1391"/>
      <c r="I19" s="1392"/>
      <c r="J19" s="1391"/>
      <c r="K19" s="1391"/>
      <c r="L19" s="1393"/>
    </row>
    <row r="20" spans="2:12" ht="45.75" customHeight="1" x14ac:dyDescent="0.2">
      <c r="B20" s="2510"/>
      <c r="C20" s="2510"/>
      <c r="D20" s="2506"/>
      <c r="E20" s="2506"/>
      <c r="F20" s="2506"/>
      <c r="G20" s="2506"/>
      <c r="H20" s="2506"/>
      <c r="I20" s="2506"/>
      <c r="J20" s="2506"/>
      <c r="K20" s="2506"/>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506"/>
      <c r="C23" s="2506"/>
      <c r="D23" s="2506"/>
      <c r="E23" s="2506"/>
      <c r="F23" s="2506"/>
      <c r="G23" s="2506"/>
      <c r="H23" s="2506"/>
      <c r="I23" s="2506"/>
      <c r="J23" s="2506"/>
      <c r="K23" s="2506"/>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506"/>
      <c r="C26" s="2506"/>
      <c r="D26" s="2506"/>
      <c r="E26" s="2506"/>
      <c r="F26" s="2506"/>
      <c r="G26" s="2506"/>
      <c r="H26" s="2506"/>
      <c r="I26" s="2506"/>
      <c r="J26" s="2506"/>
      <c r="K26" s="2506"/>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505"/>
      <c r="C29" s="2505"/>
      <c r="D29" s="2506"/>
      <c r="E29" s="2506"/>
      <c r="F29" s="2506"/>
      <c r="G29" s="2506"/>
      <c r="H29" s="2506"/>
      <c r="I29" s="2506"/>
      <c r="J29" s="2506"/>
      <c r="K29" s="250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505"/>
      <c r="C32" s="2505"/>
      <c r="D32" s="2506"/>
      <c r="E32" s="2506"/>
      <c r="F32" s="2506"/>
      <c r="G32" s="2506"/>
      <c r="H32" s="2506"/>
      <c r="I32" s="2506"/>
      <c r="J32" s="2506"/>
      <c r="K32" s="2506"/>
      <c r="L32" s="1378"/>
    </row>
    <row r="33" spans="1:13" s="322" customFormat="1" ht="4.5" customHeight="1" x14ac:dyDescent="0.2">
      <c r="B33" s="1399"/>
      <c r="C33" s="1399"/>
      <c r="G33" s="1380"/>
      <c r="I33" s="1380"/>
      <c r="L33" s="1378"/>
    </row>
    <row r="34" spans="1:13" s="322" customFormat="1" x14ac:dyDescent="0.2">
      <c r="A34" s="1296"/>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9" t="s">
        <v>1950</v>
      </c>
      <c r="C36" s="1299"/>
      <c r="L36" s="1378"/>
    </row>
    <row r="37" spans="1:13" ht="9.6" customHeight="1" x14ac:dyDescent="0.2">
      <c r="B37" s="1299" t="s">
        <v>1951</v>
      </c>
      <c r="C37" s="1299"/>
    </row>
    <row r="38" spans="1:13" ht="11.85" customHeight="1" x14ac:dyDescent="0.2">
      <c r="B38" s="1417" t="s">
        <v>1846</v>
      </c>
      <c r="C38" s="1417"/>
    </row>
    <row r="39" spans="1:13" ht="9.6" customHeight="1" x14ac:dyDescent="0.2">
      <c r="B39" s="1299" t="s">
        <v>1348</v>
      </c>
      <c r="C39" s="1299"/>
      <c r="M39" s="1418"/>
    </row>
    <row r="40" spans="1:13" ht="12.6" customHeight="1" x14ac:dyDescent="0.2">
      <c r="B40" s="1417" t="s">
        <v>1847</v>
      </c>
      <c r="C40" s="1417"/>
      <c r="M40" s="1418"/>
    </row>
    <row r="41" spans="1:13" ht="9.6" customHeight="1" x14ac:dyDescent="0.2">
      <c r="B41" s="1299"/>
      <c r="C41" s="1299"/>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M46" sqref="M4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Egyptian CUSD 5</v>
      </c>
      <c r="C1" s="2514"/>
      <c r="D1" s="2514"/>
      <c r="E1" s="2514"/>
      <c r="F1" s="2514"/>
      <c r="G1" s="2514"/>
      <c r="H1" s="2514"/>
      <c r="I1" s="2514"/>
      <c r="J1" s="2514"/>
      <c r="K1" s="2514"/>
      <c r="L1" s="1462"/>
    </row>
    <row r="2" spans="1:12" ht="12.75" customHeight="1" x14ac:dyDescent="0.2">
      <c r="B2" s="2515">
        <f>'Single Audit Cover'!E7</f>
        <v>30002005026</v>
      </c>
      <c r="C2" s="2515"/>
      <c r="D2" s="2515"/>
      <c r="E2" s="2515"/>
      <c r="F2" s="2515"/>
      <c r="G2" s="2515"/>
      <c r="H2" s="2515"/>
      <c r="I2" s="2515"/>
      <c r="J2" s="2515"/>
      <c r="K2" s="2515"/>
      <c r="L2" s="1463"/>
    </row>
    <row r="3" spans="1:12" ht="12.75" customHeight="1" x14ac:dyDescent="0.2">
      <c r="B3" s="2507" t="s">
        <v>1347</v>
      </c>
      <c r="C3" s="2507"/>
      <c r="D3" s="2507"/>
      <c r="E3" s="2507"/>
      <c r="F3" s="2507"/>
      <c r="G3" s="2507"/>
      <c r="H3" s="2507"/>
      <c r="I3" s="2507"/>
      <c r="J3" s="2507"/>
      <c r="K3" s="2507"/>
      <c r="L3" s="1374"/>
    </row>
    <row r="4" spans="1:12" ht="12.75" customHeight="1" x14ac:dyDescent="0.2">
      <c r="B4" s="2507" t="str">
        <f>'Single Audit Cover'!A4</f>
        <v>Year Ending June 30, 2018</v>
      </c>
      <c r="C4" s="2507"/>
      <c r="D4" s="2507"/>
      <c r="E4" s="2507"/>
      <c r="F4" s="2507"/>
      <c r="G4" s="2507"/>
      <c r="H4" s="2507"/>
      <c r="I4" s="2507"/>
      <c r="J4" s="2507"/>
      <c r="K4" s="2507"/>
      <c r="L4" s="1374"/>
    </row>
    <row r="5" spans="1:12" ht="5.25" customHeight="1" x14ac:dyDescent="0.2">
      <c r="B5" s="1259" t="s">
        <v>1231</v>
      </c>
      <c r="C5" s="1259"/>
      <c r="L5" s="322"/>
    </row>
    <row r="6" spans="1:12" ht="30.75" customHeight="1" x14ac:dyDescent="0.2">
      <c r="A6" s="322"/>
      <c r="B6" s="2516" t="s">
        <v>1375</v>
      </c>
      <c r="C6" s="2516"/>
      <c r="D6" s="2516"/>
      <c r="E6" s="2516"/>
      <c r="F6" s="2516"/>
      <c r="G6" s="2516"/>
      <c r="H6" s="2516"/>
      <c r="I6" s="2516"/>
      <c r="J6" s="2516"/>
      <c r="K6" s="2516"/>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1949</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98"/>
      <c r="G12" s="2498"/>
      <c r="H12" s="2498"/>
      <c r="I12" s="2498"/>
      <c r="J12" s="2498"/>
      <c r="K12" s="2498"/>
      <c r="L12" s="322"/>
    </row>
    <row r="13" spans="1:12" ht="9.6" customHeight="1" x14ac:dyDescent="0.2">
      <c r="B13" s="1256"/>
      <c r="C13" s="1256"/>
      <c r="D13" s="304"/>
      <c r="E13" s="322"/>
      <c r="F13" s="322"/>
      <c r="G13" s="1380"/>
      <c r="H13" s="322"/>
      <c r="I13" s="1380"/>
      <c r="J13" s="322"/>
      <c r="K13" s="1429"/>
      <c r="L13" s="322"/>
    </row>
    <row r="14" spans="1:12" ht="13.5" customHeight="1" x14ac:dyDescent="0.2">
      <c r="B14" s="1384" t="s">
        <v>1371</v>
      </c>
      <c r="C14" s="1384"/>
      <c r="D14" s="2511"/>
      <c r="E14" s="2511"/>
      <c r="F14" s="2511"/>
      <c r="H14" s="1472" t="s">
        <v>1370</v>
      </c>
      <c r="I14" s="2512"/>
      <c r="J14" s="2512"/>
      <c r="K14" s="2512"/>
      <c r="L14" s="322"/>
    </row>
    <row r="15" spans="1:12" ht="9.4" customHeight="1" x14ac:dyDescent="0.2">
      <c r="B15" s="1384"/>
      <c r="C15" s="1384"/>
      <c r="D15" s="1370"/>
      <c r="E15" s="1259"/>
      <c r="F15" s="1259"/>
      <c r="G15" s="1285"/>
      <c r="H15" s="1259"/>
      <c r="I15" s="1473"/>
      <c r="J15" s="1293"/>
      <c r="K15" s="1290"/>
      <c r="L15" s="322"/>
    </row>
    <row r="16" spans="1:12" ht="13.5" customHeight="1" x14ac:dyDescent="0.2">
      <c r="B16" s="1384" t="s">
        <v>1369</v>
      </c>
      <c r="C16" s="1384"/>
      <c r="D16" s="2512"/>
      <c r="E16" s="2512"/>
      <c r="F16" s="2512"/>
      <c r="G16" s="2512"/>
      <c r="H16" s="2512"/>
      <c r="I16" s="2512"/>
      <c r="J16" s="2512"/>
      <c r="K16" s="2512"/>
      <c r="L16" s="322"/>
    </row>
    <row r="17" spans="2:12" ht="13.5" customHeight="1" x14ac:dyDescent="0.2">
      <c r="B17" s="1384" t="s">
        <v>1368</v>
      </c>
      <c r="C17" s="1384"/>
      <c r="D17" s="2513"/>
      <c r="E17" s="2513"/>
      <c r="F17" s="2513"/>
      <c r="G17" s="2513"/>
      <c r="H17" s="2513"/>
      <c r="I17" s="2513"/>
      <c r="J17" s="2513"/>
      <c r="K17" s="2513"/>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06"/>
      <c r="C20" s="2506"/>
      <c r="D20" s="2506"/>
      <c r="E20" s="2506"/>
      <c r="F20" s="2506"/>
      <c r="G20" s="2506"/>
      <c r="H20" s="2506"/>
      <c r="I20" s="2506"/>
      <c r="J20" s="2506"/>
      <c r="K20" s="2506"/>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1" right="1" top="1" bottom="1" header="0.5" footer="0.18"/>
  <pageSetup scale="85" firstPageNumber="42" orientation="portrait" useFirstPageNumber="1" r:id="rId1"/>
  <headerFooter alignWithMargins="0">
    <oddHeader>&amp;L&amp;8Page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M46" sqref="M4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1" t="str">
        <f>'Single Audit Cover'!A7</f>
        <v>Egyptian CUSD 5</v>
      </c>
      <c r="C1" s="2491"/>
      <c r="D1" s="2491"/>
      <c r="E1" s="1488"/>
    </row>
    <row r="2" spans="2:5" s="1281" customFormat="1" ht="12.75" customHeight="1" x14ac:dyDescent="0.2">
      <c r="B2" s="2493">
        <f>'Single Audit Cover'!E7</f>
        <v>30002005026</v>
      </c>
      <c r="C2" s="2493"/>
      <c r="D2" s="2493"/>
      <c r="E2" s="1489"/>
    </row>
    <row r="3" spans="2:5" ht="12.75" customHeight="1" x14ac:dyDescent="0.2">
      <c r="B3" s="2507" t="s">
        <v>1866</v>
      </c>
      <c r="C3" s="2507"/>
      <c r="D3" s="2507"/>
      <c r="E3" s="1273"/>
    </row>
    <row r="4" spans="2:5" s="1281" customFormat="1" ht="12.75" customHeight="1" x14ac:dyDescent="0.2">
      <c r="B4" s="2517" t="str">
        <f>'Single Audit Cover'!A4</f>
        <v>Year Ending June 30, 2018</v>
      </c>
      <c r="C4" s="2517"/>
      <c r="D4" s="2517"/>
      <c r="E4" s="1490"/>
    </row>
    <row r="5" spans="2:5" s="1281" customFormat="1" ht="40.15" customHeight="1" x14ac:dyDescent="0.2">
      <c r="B5" s="1491" t="s">
        <v>1867</v>
      </c>
      <c r="C5" s="328"/>
      <c r="D5" s="328"/>
      <c r="E5" s="328"/>
    </row>
    <row r="6" spans="2:5" s="1281" customFormat="1" ht="13.5" customHeight="1" x14ac:dyDescent="0.2">
      <c r="B6" s="1492" t="s">
        <v>1382</v>
      </c>
      <c r="C6" s="1492" t="s">
        <v>1381</v>
      </c>
      <c r="D6" s="1492" t="s">
        <v>1868</v>
      </c>
    </row>
    <row r="7" spans="2:5" ht="13.5" customHeight="1" x14ac:dyDescent="0.2">
      <c r="B7" s="1493"/>
      <c r="C7" s="324"/>
      <c r="D7" s="324"/>
      <c r="E7" s="324"/>
    </row>
    <row r="8" spans="2:5" ht="13.5" customHeight="1" x14ac:dyDescent="0.2">
      <c r="B8" s="1493" t="s">
        <v>2169</v>
      </c>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6" t="s">
        <v>1380</v>
      </c>
      <c r="C44" s="322"/>
    </row>
    <row r="45" spans="2:5" ht="12.2" customHeight="1" x14ac:dyDescent="0.2">
      <c r="B45" s="1502" t="s">
        <v>1869</v>
      </c>
    </row>
    <row r="46" spans="2:5" ht="12.2" customHeight="1" x14ac:dyDescent="0.2">
      <c r="B46" s="1502" t="s">
        <v>1870</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9"/>
    </row>
    <row r="69" spans="2:2" x14ac:dyDescent="0.2">
      <c r="B69" s="1299"/>
    </row>
    <row r="70" spans="2:2" x14ac:dyDescent="0.2">
      <c r="B70" s="1417"/>
    </row>
    <row r="71" spans="2:2" x14ac:dyDescent="0.2">
      <c r="B71" s="1417"/>
    </row>
    <row r="72" spans="2:2" x14ac:dyDescent="0.2">
      <c r="B72" s="1417"/>
    </row>
    <row r="73" spans="2:2" x14ac:dyDescent="0.2">
      <c r="B73" s="1299"/>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18593268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1.78858E-2</v>
      </c>
      <c r="E10" s="356" t="s">
        <v>1062</v>
      </c>
      <c r="F10" s="355">
        <v>4.8602999999999997E-3</v>
      </c>
      <c r="G10" s="356" t="s">
        <v>1062</v>
      </c>
      <c r="H10" s="355">
        <v>1.9441E-3</v>
      </c>
      <c r="I10" s="356" t="s">
        <v>1063</v>
      </c>
      <c r="J10" s="1751">
        <f>ROUND(D10+F10+H10,5)</f>
        <v>2.469E-2</v>
      </c>
      <c r="K10" s="222"/>
      <c r="L10" s="355">
        <v>0</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5346898</v>
      </c>
      <c r="E16" s="356"/>
      <c r="F16" s="1752">
        <f>SUM('Acct Summary 7-8'!C17,'Acct Summary 7-8'!D17,'Acct Summary 7-8'!F17)</f>
        <v>4931025</v>
      </c>
      <c r="G16" s="356"/>
      <c r="H16" s="1752">
        <f>SUM(D16-F16)</f>
        <v>415873</v>
      </c>
      <c r="I16" s="222"/>
      <c r="J16" s="1752">
        <f>SUM('Acct Summary 7-8'!C81,'Acct Summary 7-8'!D81,'Acct Summary 7-8'!F81,'Acct Summary 7-8'!I81)</f>
        <v>3491759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2565870.9840000002</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150977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Egyptian CUSD 5</v>
      </c>
      <c r="E7" s="391"/>
      <c r="G7" s="252"/>
      <c r="H7" s="387"/>
      <c r="I7" s="387"/>
      <c r="J7" s="387"/>
      <c r="K7" s="387"/>
      <c r="L7" s="329"/>
      <c r="M7" s="329"/>
      <c r="N7" s="329"/>
      <c r="O7" s="329"/>
      <c r="P7" s="329"/>
    </row>
    <row r="8" spans="1:18" ht="12.75" x14ac:dyDescent="0.2">
      <c r="A8" s="329"/>
      <c r="B8" s="329"/>
      <c r="C8" s="389" t="s">
        <v>1187</v>
      </c>
      <c r="D8" s="392">
        <f>COVER!A13</f>
        <v>30002005026</v>
      </c>
      <c r="E8" s="393"/>
      <c r="G8" s="329"/>
      <c r="H8" s="329"/>
      <c r="I8" s="329"/>
      <c r="J8" s="329"/>
      <c r="K8" s="329"/>
      <c r="L8" s="329"/>
      <c r="M8" s="329"/>
      <c r="N8" s="329"/>
      <c r="O8" s="329"/>
      <c r="P8" s="329"/>
    </row>
    <row r="9" spans="1:18" ht="12.75" x14ac:dyDescent="0.2">
      <c r="A9" s="329"/>
      <c r="B9" s="329"/>
      <c r="C9" s="389" t="s">
        <v>737</v>
      </c>
      <c r="D9" s="394" t="str">
        <f>COVER!A15</f>
        <v>Alexander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3491759</v>
      </c>
      <c r="I12" s="404"/>
      <c r="J12" s="404"/>
      <c r="K12" s="405">
        <f>TRUNC((H12/H13*100000),5)/100000</f>
        <v>0.65304387699999999</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5346898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4931025</v>
      </c>
      <c r="I17" s="404"/>
      <c r="J17" s="416"/>
      <c r="K17" s="405">
        <f>TRUNC((H17/H18*100000),5)/100000</f>
        <v>0.92222163199999996</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5346898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3474252</v>
      </c>
      <c r="I24" s="422"/>
      <c r="J24" s="422"/>
      <c r="K24" s="423">
        <f>TRUNC(((H24/H25*100000)/100000),2)</f>
        <v>253.64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13697.291670000001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390207.61888000002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150977</v>
      </c>
      <c r="I32" s="420"/>
      <c r="J32" s="420"/>
      <c r="K32" s="423">
        <f>TRUNC(100-((((H32/H33*100))*100)/100),2)</f>
        <v>94.11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2565870.9840000002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1" zoomScaleNormal="91" workbookViewId="0">
      <pane ySplit="2" topLeftCell="A3"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78"/>
      <c r="D3" s="1579"/>
      <c r="E3" s="1579"/>
      <c r="F3" s="1579"/>
      <c r="G3" s="1579"/>
      <c r="H3" s="1579"/>
      <c r="I3" s="1579"/>
      <c r="J3" s="1579"/>
      <c r="K3" s="1579"/>
      <c r="L3" s="1579"/>
      <c r="M3" s="1580"/>
      <c r="N3" s="1581"/>
    </row>
    <row r="4" spans="1:14" ht="13.5" customHeight="1" x14ac:dyDescent="0.2">
      <c r="A4" s="463" t="s">
        <v>1750</v>
      </c>
      <c r="B4" s="464"/>
      <c r="C4" s="465">
        <v>970870</v>
      </c>
      <c r="D4" s="466">
        <v>21281</v>
      </c>
      <c r="E4" s="466">
        <v>32669</v>
      </c>
      <c r="F4" s="466">
        <v>97570</v>
      </c>
      <c r="G4" s="466">
        <v>52253</v>
      </c>
      <c r="H4" s="466">
        <v>993</v>
      </c>
      <c r="I4" s="466"/>
      <c r="J4" s="467"/>
      <c r="K4" s="466"/>
      <c r="L4" s="466">
        <v>51633</v>
      </c>
      <c r="M4" s="468"/>
      <c r="N4" s="469"/>
    </row>
    <row r="5" spans="1:14" x14ac:dyDescent="0.2">
      <c r="A5" s="463" t="s">
        <v>1049</v>
      </c>
      <c r="B5" s="470">
        <v>120</v>
      </c>
      <c r="C5" s="465">
        <v>2223791</v>
      </c>
      <c r="D5" s="466">
        <v>160740</v>
      </c>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17507</v>
      </c>
      <c r="D12" s="466"/>
      <c r="E12" s="466"/>
      <c r="F12" s="466"/>
      <c r="G12" s="466"/>
      <c r="H12" s="466"/>
      <c r="I12" s="466"/>
      <c r="J12" s="467"/>
      <c r="K12" s="466"/>
      <c r="L12" s="466"/>
      <c r="M12" s="469"/>
      <c r="N12" s="469"/>
    </row>
    <row r="13" spans="1:14" ht="13.5" customHeight="1" thickBot="1" x14ac:dyDescent="0.25">
      <c r="A13" s="1755" t="s">
        <v>665</v>
      </c>
      <c r="B13" s="1728"/>
      <c r="C13" s="1756">
        <f>SUM(C4:C12)</f>
        <v>3212168</v>
      </c>
      <c r="D13" s="1756">
        <f t="shared" ref="D13:L13" si="0">SUM(D4:D12)</f>
        <v>182021</v>
      </c>
      <c r="E13" s="1756">
        <f t="shared" si="0"/>
        <v>32669</v>
      </c>
      <c r="F13" s="1756">
        <f t="shared" si="0"/>
        <v>97570</v>
      </c>
      <c r="G13" s="1756">
        <f t="shared" si="0"/>
        <v>52253</v>
      </c>
      <c r="H13" s="1756">
        <f t="shared" si="0"/>
        <v>993</v>
      </c>
      <c r="I13" s="1756">
        <f t="shared" si="0"/>
        <v>0</v>
      </c>
      <c r="J13" s="1756">
        <f t="shared" si="0"/>
        <v>0</v>
      </c>
      <c r="K13" s="1756">
        <f t="shared" si="0"/>
        <v>0</v>
      </c>
      <c r="L13" s="1756">
        <f t="shared" si="0"/>
        <v>51633</v>
      </c>
      <c r="M13" s="468"/>
      <c r="N13" s="469"/>
    </row>
    <row r="14" spans="1:14" ht="18" customHeight="1" thickTop="1" x14ac:dyDescent="0.2">
      <c r="A14" s="2139" t="s">
        <v>149</v>
      </c>
      <c r="B14" s="2140"/>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2038</v>
      </c>
      <c r="N16" s="484"/>
    </row>
    <row r="17" spans="1:14" s="485" customFormat="1" ht="12.75" customHeight="1" x14ac:dyDescent="0.2">
      <c r="A17" s="482" t="s">
        <v>1470</v>
      </c>
      <c r="B17" s="483">
        <v>230</v>
      </c>
      <c r="C17" s="477"/>
      <c r="D17" s="477"/>
      <c r="E17" s="477"/>
      <c r="F17" s="477"/>
      <c r="G17" s="477"/>
      <c r="H17" s="477"/>
      <c r="I17" s="477"/>
      <c r="J17" s="477"/>
      <c r="K17" s="477"/>
      <c r="L17" s="477"/>
      <c r="M17" s="467">
        <v>3528977</v>
      </c>
      <c r="N17" s="484"/>
    </row>
    <row r="18" spans="1:14" s="485" customFormat="1" ht="12.75" customHeight="1" x14ac:dyDescent="0.2">
      <c r="A18" s="482" t="s">
        <v>1471</v>
      </c>
      <c r="B18" s="483">
        <v>240</v>
      </c>
      <c r="C18" s="477"/>
      <c r="D18" s="477"/>
      <c r="E18" s="477"/>
      <c r="F18" s="477"/>
      <c r="G18" s="477"/>
      <c r="H18" s="477"/>
      <c r="I18" s="477"/>
      <c r="J18" s="477"/>
      <c r="K18" s="477"/>
      <c r="L18" s="477"/>
      <c r="M18" s="467">
        <v>1675996</v>
      </c>
      <c r="N18" s="484"/>
    </row>
    <row r="19" spans="1:14" s="485" customFormat="1" ht="12.75" customHeight="1" x14ac:dyDescent="0.2">
      <c r="A19" s="482" t="s">
        <v>1472</v>
      </c>
      <c r="B19" s="483">
        <v>250</v>
      </c>
      <c r="C19" s="477"/>
      <c r="D19" s="477"/>
      <c r="E19" s="477"/>
      <c r="F19" s="477"/>
      <c r="G19" s="477"/>
      <c r="H19" s="477"/>
      <c r="I19" s="477"/>
      <c r="J19" s="477"/>
      <c r="K19" s="477"/>
      <c r="L19" s="477"/>
      <c r="M19" s="467">
        <v>3346429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32669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118308</v>
      </c>
    </row>
    <row r="23" spans="1:14" ht="13.5" customHeight="1" thickBot="1" x14ac:dyDescent="0.25">
      <c r="A23" s="1755" t="s">
        <v>664</v>
      </c>
      <c r="B23" s="1760"/>
      <c r="C23" s="468"/>
      <c r="D23" s="468"/>
      <c r="E23" s="468"/>
      <c r="F23" s="468"/>
      <c r="G23" s="468"/>
      <c r="H23" s="468"/>
      <c r="I23" s="468"/>
      <c r="J23" s="468"/>
      <c r="K23" s="468"/>
      <c r="L23" s="468"/>
      <c r="M23" s="1707">
        <f>SUM(M15:M22)</f>
        <v>8553440</v>
      </c>
      <c r="N23" s="1707">
        <f>SUM(N21:N22)</f>
        <v>150977</v>
      </c>
    </row>
    <row r="24" spans="1:14" ht="18" customHeight="1" thickTop="1" x14ac:dyDescent="0.2">
      <c r="A24" s="2141" t="s">
        <v>619</v>
      </c>
      <c r="B24" s="2142"/>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51633</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51633</v>
      </c>
      <c r="M34" s="468"/>
      <c r="N34" s="480"/>
    </row>
    <row r="35" spans="1:14" ht="18" customHeight="1" thickTop="1" x14ac:dyDescent="0.2">
      <c r="A35" s="2143" t="s">
        <v>550</v>
      </c>
      <c r="B35" s="2144"/>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150977</v>
      </c>
    </row>
    <row r="37" spans="1:14" ht="13.5" thickBot="1" x14ac:dyDescent="0.25">
      <c r="A37" s="1755" t="s">
        <v>674</v>
      </c>
      <c r="B37" s="1760"/>
      <c r="C37" s="477"/>
      <c r="D37" s="477"/>
      <c r="E37" s="477"/>
      <c r="F37" s="477"/>
      <c r="G37" s="477"/>
      <c r="H37" s="477"/>
      <c r="I37" s="477"/>
      <c r="J37" s="477"/>
      <c r="K37" s="477"/>
      <c r="L37" s="480"/>
      <c r="M37" s="468"/>
      <c r="N37" s="1707">
        <f>SUM(N36:N36)</f>
        <v>150977</v>
      </c>
    </row>
    <row r="38" spans="1:14" s="329" customFormat="1" ht="13.5" customHeight="1" thickTop="1" x14ac:dyDescent="0.2">
      <c r="A38" s="496" t="s">
        <v>440</v>
      </c>
      <c r="B38" s="483">
        <v>714</v>
      </c>
      <c r="C38" s="466"/>
      <c r="D38" s="466"/>
      <c r="E38" s="466">
        <v>32669</v>
      </c>
      <c r="F38" s="466"/>
      <c r="G38" s="466">
        <v>52253</v>
      </c>
      <c r="H38" s="466"/>
      <c r="I38" s="466"/>
      <c r="J38" s="467"/>
      <c r="K38" s="466"/>
      <c r="L38" s="481"/>
      <c r="M38" s="497"/>
      <c r="N38" s="497"/>
    </row>
    <row r="39" spans="1:14" s="329" customFormat="1" ht="13.5" customHeight="1" x14ac:dyDescent="0.2">
      <c r="A39" s="496" t="s">
        <v>360</v>
      </c>
      <c r="B39" s="483">
        <v>730</v>
      </c>
      <c r="C39" s="466">
        <v>3212168</v>
      </c>
      <c r="D39" s="466">
        <v>182021</v>
      </c>
      <c r="E39" s="466"/>
      <c r="F39" s="466">
        <v>97570</v>
      </c>
      <c r="G39" s="466"/>
      <c r="H39" s="466">
        <v>993</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8553440</v>
      </c>
      <c r="N40" s="497"/>
    </row>
    <row r="41" spans="1:14" ht="13.5" customHeight="1" thickBot="1" x14ac:dyDescent="0.25">
      <c r="A41" s="1755" t="s">
        <v>676</v>
      </c>
      <c r="B41" s="1725"/>
      <c r="C41" s="1707">
        <f>(SUM(C34,C37,C38,C39))</f>
        <v>3212168</v>
      </c>
      <c r="D41" s="1707">
        <f t="shared" ref="D41:L41" si="2">SUM(D34,D37,D38:D39)</f>
        <v>182021</v>
      </c>
      <c r="E41" s="1707">
        <f t="shared" si="2"/>
        <v>32669</v>
      </c>
      <c r="F41" s="1707">
        <f t="shared" si="2"/>
        <v>97570</v>
      </c>
      <c r="G41" s="1707">
        <f t="shared" si="2"/>
        <v>52253</v>
      </c>
      <c r="H41" s="1707">
        <f t="shared" si="2"/>
        <v>993</v>
      </c>
      <c r="I41" s="1707">
        <f t="shared" si="2"/>
        <v>0</v>
      </c>
      <c r="J41" s="1707">
        <f t="shared" si="2"/>
        <v>0</v>
      </c>
      <c r="K41" s="1707">
        <f t="shared" si="2"/>
        <v>0</v>
      </c>
      <c r="L41" s="1707">
        <f t="shared" si="2"/>
        <v>51633</v>
      </c>
      <c r="M41" s="1707">
        <f>SUM(M40)</f>
        <v>8553440</v>
      </c>
      <c r="N41" s="1707">
        <f>SUM(N37)</f>
        <v>150977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2"/>
      <c r="D3" s="1593"/>
      <c r="E3" s="1593"/>
      <c r="F3" s="1593"/>
      <c r="G3" s="1593"/>
      <c r="H3" s="1593"/>
      <c r="I3" s="1593"/>
      <c r="J3" s="1593"/>
      <c r="K3" s="1594"/>
      <c r="L3" s="506"/>
    </row>
    <row r="4" spans="1:13" ht="15.75" customHeight="1" x14ac:dyDescent="0.2">
      <c r="A4" s="2167" t="s">
        <v>1579</v>
      </c>
      <c r="B4" s="2168"/>
      <c r="C4" s="1761">
        <f>'Revenues 9-14'!C109</f>
        <v>613570</v>
      </c>
      <c r="D4" s="1761">
        <f>'Revenues 9-14'!D109</f>
        <v>89392</v>
      </c>
      <c r="E4" s="1761">
        <f>'Revenues 9-14'!E109</f>
        <v>110</v>
      </c>
      <c r="F4" s="1761">
        <f>'Revenues 9-14'!F109</f>
        <v>35757</v>
      </c>
      <c r="G4" s="1761">
        <f>'Revenues 9-14'!G109</f>
        <v>127159</v>
      </c>
      <c r="H4" s="1761">
        <f>'Revenues 9-14'!H109</f>
        <v>0</v>
      </c>
      <c r="I4" s="1761">
        <f>'Revenues 9-14'!I109</f>
        <v>0</v>
      </c>
      <c r="J4" s="1761">
        <f>'Revenues 9-14'!J109</f>
        <v>27428</v>
      </c>
      <c r="K4" s="1761">
        <f>'Revenues 9-14'!K109</f>
        <v>0</v>
      </c>
      <c r="L4" s="347"/>
    </row>
    <row r="5" spans="1:13" ht="15.75" customHeight="1" x14ac:dyDescent="0.2">
      <c r="A5" s="1595" t="s">
        <v>1580</v>
      </c>
      <c r="B5" s="1596">
        <v>2000</v>
      </c>
      <c r="C5" s="1762">
        <f>'Revenues 9-14'!C114</f>
        <v>63855</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3306700</v>
      </c>
      <c r="D6" s="1762">
        <f>'Revenues 9-14'!D173</f>
        <v>73000</v>
      </c>
      <c r="E6" s="1762">
        <f>'Revenues 9-14'!E173</f>
        <v>0</v>
      </c>
      <c r="F6" s="1762">
        <f>'Revenues 9-14'!F173</f>
        <v>293239</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1582</v>
      </c>
      <c r="B7" s="1597">
        <v>4000</v>
      </c>
      <c r="C7" s="1762">
        <f>'Revenues 9-14'!C274</f>
        <v>871385</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4855510</v>
      </c>
      <c r="D8" s="1707">
        <f t="shared" ref="D8:K8" si="0">SUM(D4:D7)</f>
        <v>162392</v>
      </c>
      <c r="E8" s="1707">
        <f t="shared" si="0"/>
        <v>110</v>
      </c>
      <c r="F8" s="1707">
        <f t="shared" si="0"/>
        <v>328996</v>
      </c>
      <c r="G8" s="1707">
        <f t="shared" si="0"/>
        <v>127159</v>
      </c>
      <c r="H8" s="1707">
        <f t="shared" si="0"/>
        <v>0</v>
      </c>
      <c r="I8" s="1707">
        <f t="shared" si="0"/>
        <v>0</v>
      </c>
      <c r="J8" s="1707">
        <f t="shared" si="0"/>
        <v>27428</v>
      </c>
      <c r="K8" s="1707">
        <f t="shared" si="0"/>
        <v>0</v>
      </c>
      <c r="L8" s="347"/>
    </row>
    <row r="9" spans="1:13" ht="15.75" thickTop="1" x14ac:dyDescent="0.2">
      <c r="A9" s="514" t="s">
        <v>1752</v>
      </c>
      <c r="B9" s="515">
        <v>3998</v>
      </c>
      <c r="C9" s="481">
        <v>1558098</v>
      </c>
      <c r="D9" s="516"/>
      <c r="E9" s="481"/>
      <c r="F9" s="481"/>
      <c r="G9" s="517"/>
      <c r="H9" s="481"/>
      <c r="I9" s="509" t="s">
        <v>1231</v>
      </c>
      <c r="J9" s="478"/>
      <c r="K9" s="481"/>
      <c r="L9" s="347"/>
    </row>
    <row r="10" spans="1:13" s="519" customFormat="1" ht="13.5" thickBot="1" x14ac:dyDescent="0.25">
      <c r="A10" s="1755" t="s">
        <v>1235</v>
      </c>
      <c r="B10" s="1728"/>
      <c r="C10" s="1707">
        <f>SUM(C8:C9)</f>
        <v>6413608</v>
      </c>
      <c r="D10" s="1707">
        <f t="shared" ref="D10:K10" si="1">SUM(D8:D9)</f>
        <v>162392</v>
      </c>
      <c r="E10" s="1707">
        <f t="shared" si="1"/>
        <v>110</v>
      </c>
      <c r="F10" s="1707">
        <f t="shared" si="1"/>
        <v>328996</v>
      </c>
      <c r="G10" s="1707">
        <f t="shared" si="1"/>
        <v>127159</v>
      </c>
      <c r="H10" s="1707">
        <f t="shared" si="1"/>
        <v>0</v>
      </c>
      <c r="I10" s="1707">
        <f t="shared" si="1"/>
        <v>0</v>
      </c>
      <c r="J10" s="1707">
        <f t="shared" si="1"/>
        <v>27428</v>
      </c>
      <c r="K10" s="1707">
        <f t="shared" si="1"/>
        <v>0</v>
      </c>
      <c r="L10" s="518"/>
    </row>
    <row r="11" spans="1:13" s="519" customFormat="1" ht="16.7" customHeight="1" thickTop="1" x14ac:dyDescent="0.2">
      <c r="A11" s="2139" t="s">
        <v>1238</v>
      </c>
      <c r="B11" s="2140"/>
      <c r="C11" s="1589"/>
      <c r="D11" s="1590"/>
      <c r="E11" s="1590"/>
      <c r="F11" s="1590"/>
      <c r="G11" s="1590"/>
      <c r="H11" s="1590"/>
      <c r="I11" s="1590"/>
      <c r="J11" s="1590"/>
      <c r="K11" s="1591"/>
      <c r="L11" s="518"/>
    </row>
    <row r="12" spans="1:13" ht="15.75" customHeight="1" x14ac:dyDescent="0.2">
      <c r="A12" s="1595" t="s">
        <v>476</v>
      </c>
      <c r="B12" s="1597">
        <v>1000</v>
      </c>
      <c r="C12" s="1761">
        <f>'Expenditures 15-22'!K33</f>
        <v>2713039</v>
      </c>
      <c r="D12" s="520" t="s">
        <v>1231</v>
      </c>
      <c r="E12" s="468" t="s">
        <v>1231</v>
      </c>
      <c r="F12" s="468" t="s">
        <v>1231</v>
      </c>
      <c r="G12" s="1761">
        <f>'Expenditures 15-22'!K229</f>
        <v>45683</v>
      </c>
      <c r="H12" s="521"/>
      <c r="I12" s="468" t="s">
        <v>1231</v>
      </c>
      <c r="J12" s="468" t="s">
        <v>1231</v>
      </c>
      <c r="K12" s="521" t="s">
        <v>1231</v>
      </c>
      <c r="L12" s="347"/>
    </row>
    <row r="13" spans="1:13" ht="15.75" customHeight="1" x14ac:dyDescent="0.2">
      <c r="A13" s="1595" t="s">
        <v>477</v>
      </c>
      <c r="B13" s="1597">
        <v>2000</v>
      </c>
      <c r="C13" s="1762">
        <f>'Expenditures 15-22'!K74</f>
        <v>1581368</v>
      </c>
      <c r="D13" s="1762">
        <f>'Expenditures 15-22'!K129</f>
        <v>110663</v>
      </c>
      <c r="E13" s="469" t="s">
        <v>1231</v>
      </c>
      <c r="F13" s="1762">
        <f>'Expenditures 15-22'!K184</f>
        <v>264147</v>
      </c>
      <c r="G13" s="1762">
        <f>'Expenditures 15-22'!K279</f>
        <v>64336</v>
      </c>
      <c r="H13" s="1762">
        <f>'Expenditures 15-22'!K303</f>
        <v>0</v>
      </c>
      <c r="I13" s="468" t="s">
        <v>1231</v>
      </c>
      <c r="J13" s="1762">
        <f>'Expenditures 15-22'!K330</f>
        <v>27428</v>
      </c>
      <c r="K13" s="1766">
        <f>'Expenditures 15-22'!K352</f>
        <v>0</v>
      </c>
      <c r="L13" s="347"/>
    </row>
    <row r="14" spans="1:13" ht="15.75" customHeight="1" x14ac:dyDescent="0.2">
      <c r="A14" s="1595" t="s">
        <v>469</v>
      </c>
      <c r="B14" s="1597">
        <v>3000</v>
      </c>
      <c r="C14" s="1762">
        <f>'Expenditures 15-22'!K75</f>
        <v>70411</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5" t="s">
        <v>109</v>
      </c>
      <c r="B15" s="1597">
        <v>4000</v>
      </c>
      <c r="C15" s="1762">
        <f>'Expenditures 15-22'!K102</f>
        <v>191397</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24970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4556215</v>
      </c>
      <c r="D17" s="1707">
        <f t="shared" si="2"/>
        <v>110663</v>
      </c>
      <c r="E17" s="1707">
        <f t="shared" si="2"/>
        <v>24970</v>
      </c>
      <c r="F17" s="1707">
        <f t="shared" si="2"/>
        <v>264147</v>
      </c>
      <c r="G17" s="1707">
        <f t="shared" si="2"/>
        <v>110019</v>
      </c>
      <c r="H17" s="1707">
        <f t="shared" si="2"/>
        <v>0</v>
      </c>
      <c r="I17" s="468"/>
      <c r="J17" s="1707">
        <f>SUM(J12:J16)</f>
        <v>27428</v>
      </c>
      <c r="K17" s="1707">
        <f>SUM(K12:K16)</f>
        <v>0</v>
      </c>
      <c r="L17" s="347"/>
    </row>
    <row r="18" spans="1:12" ht="15" customHeight="1" thickTop="1" x14ac:dyDescent="0.2">
      <c r="A18" s="1763" t="s">
        <v>1753</v>
      </c>
      <c r="B18" s="1764">
        <v>4180</v>
      </c>
      <c r="C18" s="1761">
        <f t="shared" ref="C18:H18" si="3">C9</f>
        <v>1558098</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6114313</v>
      </c>
      <c r="D19" s="1707">
        <f t="shared" si="4"/>
        <v>110663</v>
      </c>
      <c r="E19" s="1707">
        <f t="shared" si="4"/>
        <v>24970</v>
      </c>
      <c r="F19" s="1707">
        <f t="shared" si="4"/>
        <v>264147</v>
      </c>
      <c r="G19" s="1707">
        <f t="shared" si="4"/>
        <v>110019</v>
      </c>
      <c r="H19" s="1707">
        <f t="shared" si="4"/>
        <v>0</v>
      </c>
      <c r="I19" s="468"/>
      <c r="J19" s="1707">
        <f>SUM(J17:J18)</f>
        <v>27428</v>
      </c>
      <c r="K19" s="1707">
        <f>SUM(K17:K18)</f>
        <v>0</v>
      </c>
      <c r="L19" s="347"/>
    </row>
    <row r="20" spans="1:12" ht="16.5" thickTop="1" thickBot="1" x14ac:dyDescent="0.25">
      <c r="A20" s="2155" t="s">
        <v>1754</v>
      </c>
      <c r="B20" s="2156"/>
      <c r="C20" s="1765">
        <f>C8-C17</f>
        <v>299295</v>
      </c>
      <c r="D20" s="1765">
        <f t="shared" ref="D20:K20" si="5">D8-D17</f>
        <v>51729</v>
      </c>
      <c r="E20" s="1765">
        <f t="shared" si="5"/>
        <v>-24860</v>
      </c>
      <c r="F20" s="1765">
        <f t="shared" si="5"/>
        <v>64849</v>
      </c>
      <c r="G20" s="1765">
        <f t="shared" si="5"/>
        <v>17140</v>
      </c>
      <c r="H20" s="1765">
        <f t="shared" si="5"/>
        <v>0</v>
      </c>
      <c r="I20" s="1765">
        <f t="shared" si="5"/>
        <v>0</v>
      </c>
      <c r="J20" s="1765">
        <f t="shared" si="5"/>
        <v>0</v>
      </c>
      <c r="K20" s="1765">
        <f t="shared" si="5"/>
        <v>0</v>
      </c>
      <c r="L20" s="347"/>
    </row>
    <row r="21" spans="1:12" ht="16.7" customHeight="1" thickTop="1" x14ac:dyDescent="0.2">
      <c r="A21" s="2169" t="s">
        <v>616</v>
      </c>
      <c r="B21" s="2170"/>
      <c r="C21" s="1589"/>
      <c r="D21" s="1590"/>
      <c r="E21" s="1590"/>
      <c r="F21" s="1590"/>
      <c r="G21" s="1590"/>
      <c r="H21" s="1590"/>
      <c r="I21" s="1590"/>
      <c r="J21" s="1590"/>
      <c r="K21" s="1591"/>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1894</v>
      </c>
      <c r="B30" s="527">
        <v>7160</v>
      </c>
      <c r="C30" s="477"/>
      <c r="D30" s="467"/>
      <c r="E30" s="477"/>
      <c r="F30" s="477"/>
      <c r="G30" s="477"/>
      <c r="H30" s="477"/>
      <c r="I30" s="477"/>
      <c r="J30" s="477"/>
      <c r="K30" s="477"/>
      <c r="L30" s="524"/>
    </row>
    <row r="31" spans="1:12" s="485" customFormat="1" ht="26.25" x14ac:dyDescent="0.2">
      <c r="A31" s="1508" t="s">
        <v>1898</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18000</v>
      </c>
      <c r="F39" s="477"/>
      <c r="G39" s="477"/>
      <c r="H39" s="477"/>
      <c r="I39" s="477"/>
      <c r="J39" s="477"/>
      <c r="K39" s="477"/>
      <c r="L39" s="524"/>
    </row>
    <row r="40" spans="1:12" s="485" customFormat="1" ht="13.5" customHeight="1" x14ac:dyDescent="0.2">
      <c r="A40" s="1508" t="s">
        <v>663</v>
      </c>
      <c r="B40" s="483">
        <v>7700</v>
      </c>
      <c r="C40" s="477"/>
      <c r="D40" s="477"/>
      <c r="E40" s="1762">
        <f>SUM(C66:D69)</f>
        <v>7690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22">
        <f>SUM(C24:C43)</f>
        <v>0</v>
      </c>
      <c r="D44" s="1722">
        <f t="shared" ref="D44:K44" si="6">SUM(D24:D43)</f>
        <v>0</v>
      </c>
      <c r="E44" s="1722">
        <f t="shared" si="6"/>
        <v>25690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2">
        <f>SUM(C24,C25:H25,J25:K25)</f>
        <v>0</v>
      </c>
      <c r="J47" s="477"/>
      <c r="K47" s="477"/>
      <c r="L47" s="529"/>
    </row>
    <row r="48" spans="1:12" s="485" customFormat="1" ht="15" x14ac:dyDescent="0.2">
      <c r="A48" s="1509" t="s">
        <v>1759</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1897</v>
      </c>
      <c r="B52" s="483">
        <v>8160</v>
      </c>
      <c r="C52" s="477"/>
      <c r="D52" s="477"/>
      <c r="E52" s="477"/>
      <c r="F52" s="477"/>
      <c r="G52" s="477"/>
      <c r="H52" s="477"/>
      <c r="I52" s="477"/>
      <c r="J52" s="477"/>
      <c r="K52" s="1762">
        <f>D30</f>
        <v>0</v>
      </c>
      <c r="L52" s="524"/>
    </row>
    <row r="53" spans="1:12" s="485" customFormat="1" ht="26.25" x14ac:dyDescent="0.2">
      <c r="A53" s="1509" t="s">
        <v>1896</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v>18000</v>
      </c>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v>7690</v>
      </c>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2">
        <f t="shared" ref="C76:K76" si="7">SUM(C47:C75)</f>
        <v>0</v>
      </c>
      <c r="D76" s="1722">
        <f t="shared" si="7"/>
        <v>25690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47" t="s">
        <v>1239</v>
      </c>
      <c r="B77" s="2148"/>
      <c r="C77" s="1722">
        <f t="shared" ref="C77:K77" si="8">C44-C76</f>
        <v>0</v>
      </c>
      <c r="D77" s="1722">
        <f t="shared" si="8"/>
        <v>-25690</v>
      </c>
      <c r="E77" s="1722">
        <f t="shared" si="8"/>
        <v>25690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51" t="s">
        <v>618</v>
      </c>
      <c r="B78" s="2152"/>
      <c r="C78" s="1721">
        <f t="shared" ref="C78:K78" si="9">C20+C77</f>
        <v>299295</v>
      </c>
      <c r="D78" s="1721">
        <f t="shared" si="9"/>
        <v>26039</v>
      </c>
      <c r="E78" s="1721">
        <f t="shared" si="9"/>
        <v>830</v>
      </c>
      <c r="F78" s="1721">
        <f t="shared" si="9"/>
        <v>64849</v>
      </c>
      <c r="G78" s="1721">
        <f t="shared" si="9"/>
        <v>17140</v>
      </c>
      <c r="H78" s="1721">
        <f t="shared" si="9"/>
        <v>0</v>
      </c>
      <c r="I78" s="1721">
        <f t="shared" si="9"/>
        <v>0</v>
      </c>
      <c r="J78" s="1721">
        <f t="shared" si="9"/>
        <v>0</v>
      </c>
      <c r="K78" s="1721">
        <f t="shared" si="9"/>
        <v>0</v>
      </c>
      <c r="L78" s="533"/>
    </row>
    <row r="79" spans="1:12" ht="13.5" thickTop="1" x14ac:dyDescent="0.2">
      <c r="A79" s="1513" t="s">
        <v>2069</v>
      </c>
      <c r="B79" s="534"/>
      <c r="C79" s="478">
        <v>2912873</v>
      </c>
      <c r="D79" s="535">
        <v>155982</v>
      </c>
      <c r="E79" s="535">
        <v>31839</v>
      </c>
      <c r="F79" s="535">
        <v>32721</v>
      </c>
      <c r="G79" s="535">
        <v>35113</v>
      </c>
      <c r="H79" s="535">
        <v>993</v>
      </c>
      <c r="I79" s="535"/>
      <c r="J79" s="535"/>
      <c r="K79" s="535"/>
      <c r="L79" s="347"/>
    </row>
    <row r="80" spans="1:12" x14ac:dyDescent="0.2">
      <c r="A80" s="2157" t="s">
        <v>1895</v>
      </c>
      <c r="B80" s="2158"/>
      <c r="C80" s="467"/>
      <c r="D80" s="467"/>
      <c r="E80" s="467"/>
      <c r="F80" s="467"/>
      <c r="G80" s="467"/>
      <c r="H80" s="467"/>
      <c r="I80" s="467"/>
      <c r="J80" s="467"/>
      <c r="K80" s="467"/>
      <c r="L80" s="347"/>
    </row>
    <row r="81" spans="1:12" ht="13.5" thickBot="1" x14ac:dyDescent="0.25">
      <c r="A81" s="2149" t="s">
        <v>2070</v>
      </c>
      <c r="B81" s="2150"/>
      <c r="C81" s="1707">
        <f>(SUM(C78:C80))</f>
        <v>3212168</v>
      </c>
      <c r="D81" s="1707">
        <f>SUM(D78:D80)</f>
        <v>182021</v>
      </c>
      <c r="E81" s="1707">
        <f t="shared" ref="E81:K81" si="10">SUM(E78:E80)</f>
        <v>32669</v>
      </c>
      <c r="F81" s="1707">
        <f t="shared" si="10"/>
        <v>97570</v>
      </c>
      <c r="G81" s="1707">
        <f t="shared" si="10"/>
        <v>52253</v>
      </c>
      <c r="H81" s="1707">
        <f t="shared" si="10"/>
        <v>993</v>
      </c>
      <c r="I81" s="1707">
        <f t="shared" si="10"/>
        <v>0</v>
      </c>
      <c r="J81" s="1707">
        <f t="shared" si="10"/>
        <v>0</v>
      </c>
      <c r="K81" s="1707">
        <f t="shared" si="10"/>
        <v>0</v>
      </c>
      <c r="L81" s="347"/>
    </row>
    <row r="82" spans="1:12" ht="0.75" customHeight="1" thickTop="1" thickBot="1" x14ac:dyDescent="0.25">
      <c r="A82" s="536" t="s">
        <v>361</v>
      </c>
      <c r="B82" s="537"/>
      <c r="C82" s="538">
        <f>(C81-C79)</f>
        <v>299295</v>
      </c>
      <c r="D82" s="538">
        <f t="shared" ref="D82:K82" si="11">(D81-D79)</f>
        <v>26039</v>
      </c>
      <c r="E82" s="538">
        <f t="shared" si="11"/>
        <v>830</v>
      </c>
      <c r="F82" s="538">
        <f t="shared" si="11"/>
        <v>64849</v>
      </c>
      <c r="G82" s="538">
        <f t="shared" si="11"/>
        <v>17140</v>
      </c>
      <c r="H82" s="538">
        <f t="shared" si="11"/>
        <v>0</v>
      </c>
      <c r="I82" s="538">
        <f t="shared" si="11"/>
        <v>0</v>
      </c>
      <c r="J82" s="538">
        <f t="shared" si="11"/>
        <v>0</v>
      </c>
      <c r="K82" s="538">
        <f t="shared" si="11"/>
        <v>0</v>
      </c>
    </row>
    <row r="83" spans="1:12" ht="14.25" hidden="1" thickTop="1" thickBot="1" x14ac:dyDescent="0.25">
      <c r="A83" s="539" t="s">
        <v>362</v>
      </c>
      <c r="B83" s="464"/>
      <c r="C83" s="540">
        <f>C82/C81</f>
        <v>9.317538808679994E-2</v>
      </c>
      <c r="D83" s="540">
        <f t="shared" ref="D83:K83" si="12">D82/D81</f>
        <v>0.14305492223424771</v>
      </c>
      <c r="E83" s="540">
        <f t="shared" si="12"/>
        <v>2.5406348526125683E-2</v>
      </c>
      <c r="F83" s="540">
        <f t="shared" si="12"/>
        <v>0.66464077072870764</v>
      </c>
      <c r="G83" s="540">
        <f t="shared" si="12"/>
        <v>0.32801944385968268</v>
      </c>
      <c r="H83" s="540">
        <f t="shared" si="12"/>
        <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6"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1902</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321818</v>
      </c>
      <c r="D5" s="481">
        <v>87450</v>
      </c>
      <c r="E5" s="466"/>
      <c r="F5" s="548">
        <v>34980</v>
      </c>
      <c r="G5" s="466">
        <v>55749</v>
      </c>
      <c r="H5" s="466"/>
      <c r="I5" s="466"/>
      <c r="J5" s="467">
        <v>26827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6121</v>
      </c>
      <c r="D7" s="466"/>
      <c r="E7" s="468"/>
      <c r="F7" s="467"/>
      <c r="G7" s="467"/>
      <c r="H7" s="467"/>
      <c r="I7" s="468"/>
      <c r="J7" s="468"/>
      <c r="K7" s="468"/>
    </row>
    <row r="8" spans="1:12" x14ac:dyDescent="0.2">
      <c r="A8" s="463" t="s">
        <v>433</v>
      </c>
      <c r="B8" s="470">
        <v>1150</v>
      </c>
      <c r="C8" s="475"/>
      <c r="D8" s="475"/>
      <c r="E8" s="477"/>
      <c r="F8" s="477"/>
      <c r="G8" s="481">
        <v>53963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327939</v>
      </c>
      <c r="D12" s="1726">
        <f t="shared" si="0"/>
        <v>87450</v>
      </c>
      <c r="E12" s="1726">
        <f t="shared" si="0"/>
        <v>0</v>
      </c>
      <c r="F12" s="1726">
        <f t="shared" si="0"/>
        <v>34980</v>
      </c>
      <c r="G12" s="1726">
        <f t="shared" si="0"/>
        <v>109712</v>
      </c>
      <c r="H12" s="1726">
        <f t="shared" si="0"/>
        <v>0</v>
      </c>
      <c r="I12" s="1726">
        <f t="shared" si="0"/>
        <v>0</v>
      </c>
      <c r="J12" s="1726">
        <f t="shared" si="0"/>
        <v>26827</v>
      </c>
      <c r="K12" s="1707">
        <f t="shared" si="0"/>
        <v>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v>7284</v>
      </c>
      <c r="D14" s="466">
        <v>1942</v>
      </c>
      <c r="E14" s="466"/>
      <c r="F14" s="466">
        <v>777</v>
      </c>
      <c r="G14" s="466">
        <v>2447</v>
      </c>
      <c r="H14" s="466"/>
      <c r="I14" s="466"/>
      <c r="J14" s="467">
        <v>601</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126124</v>
      </c>
      <c r="D16" s="466"/>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133408</v>
      </c>
      <c r="D18" s="1729">
        <f t="shared" ref="D18:K18" si="1">SUM(D14:D17)</f>
        <v>1942</v>
      </c>
      <c r="E18" s="1729">
        <f t="shared" si="1"/>
        <v>0</v>
      </c>
      <c r="F18" s="1729">
        <f t="shared" si="1"/>
        <v>777</v>
      </c>
      <c r="G18" s="1729">
        <f t="shared" si="1"/>
        <v>17447</v>
      </c>
      <c r="H18" s="1729">
        <f t="shared" si="1"/>
        <v>0</v>
      </c>
      <c r="I18" s="1729">
        <f t="shared" si="1"/>
        <v>0</v>
      </c>
      <c r="J18" s="1729">
        <f t="shared" si="1"/>
        <v>601</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v>6000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6000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36028</v>
      </c>
      <c r="D65" s="466"/>
      <c r="E65" s="466">
        <v>110</v>
      </c>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36028</v>
      </c>
      <c r="D67" s="1707">
        <f t="shared" ref="D67:K67" si="2">SUM(D65:D66)</f>
        <v>0</v>
      </c>
      <c r="E67" s="1707">
        <f t="shared" si="2"/>
        <v>110</v>
      </c>
      <c r="F67" s="1707">
        <f t="shared" si="2"/>
        <v>0</v>
      </c>
      <c r="G67" s="1707">
        <f t="shared" si="2"/>
        <v>0</v>
      </c>
      <c r="H67" s="1707">
        <f t="shared" si="2"/>
        <v>0</v>
      </c>
      <c r="I67" s="1707">
        <f t="shared" si="2"/>
        <v>0</v>
      </c>
      <c r="J67" s="1707">
        <f t="shared" si="2"/>
        <v>0</v>
      </c>
      <c r="K67" s="1707">
        <f t="shared" si="2"/>
        <v>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4822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4822</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9532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9532</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0</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52368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35260</v>
      </c>
      <c r="D104" s="466"/>
      <c r="E104" s="481"/>
      <c r="F104" s="467"/>
      <c r="G104" s="467"/>
      <c r="H104" s="466"/>
      <c r="I104" s="468"/>
      <c r="J104" s="468"/>
      <c r="K104" s="468"/>
    </row>
    <row r="105" spans="1:12" ht="12.75" customHeight="1" x14ac:dyDescent="0.2">
      <c r="A105" s="463" t="s">
        <v>876</v>
      </c>
      <c r="B105" s="470">
        <v>1992</v>
      </c>
      <c r="C105" s="466">
        <v>5066</v>
      </c>
      <c r="D105" s="561"/>
      <c r="E105" s="468"/>
      <c r="F105" s="468"/>
      <c r="G105" s="468"/>
      <c r="H105" s="510"/>
      <c r="I105" s="468"/>
      <c r="J105" s="468"/>
      <c r="K105" s="468"/>
    </row>
    <row r="106" spans="1:12" ht="12.75" customHeight="1" x14ac:dyDescent="0.2">
      <c r="A106" s="463" t="s">
        <v>1505</v>
      </c>
      <c r="B106" s="470">
        <v>1993</v>
      </c>
      <c r="C106" s="466">
        <v>245</v>
      </c>
      <c r="D106" s="489"/>
      <c r="E106" s="467"/>
      <c r="F106" s="467"/>
      <c r="G106" s="467"/>
      <c r="H106" s="467"/>
      <c r="I106" s="521"/>
      <c r="J106" s="467"/>
      <c r="K106" s="467"/>
    </row>
    <row r="107" spans="1:12" ht="12.75" customHeight="1" x14ac:dyDescent="0.2">
      <c r="A107" s="463" t="s">
        <v>80</v>
      </c>
      <c r="B107" s="470">
        <v>1999</v>
      </c>
      <c r="C107" s="551">
        <v>2902</v>
      </c>
      <c r="D107" s="466"/>
      <c r="E107" s="466"/>
      <c r="F107" s="466"/>
      <c r="G107" s="466"/>
      <c r="H107" s="466"/>
      <c r="I107" s="466"/>
      <c r="J107" s="467"/>
      <c r="K107" s="466"/>
    </row>
    <row r="108" spans="1:12" ht="12.75" customHeight="1" thickBot="1" x14ac:dyDescent="0.25">
      <c r="A108" s="1727" t="s">
        <v>508</v>
      </c>
      <c r="B108" s="1731"/>
      <c r="C108" s="1726">
        <f>SUM(C95:C107)</f>
        <v>95841</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613570</v>
      </c>
      <c r="D109" s="1734">
        <f t="shared" si="4"/>
        <v>89392</v>
      </c>
      <c r="E109" s="1734">
        <f t="shared" si="4"/>
        <v>110</v>
      </c>
      <c r="F109" s="1734">
        <f t="shared" si="4"/>
        <v>35757</v>
      </c>
      <c r="G109" s="1734">
        <f t="shared" si="4"/>
        <v>127159</v>
      </c>
      <c r="H109" s="1734">
        <f t="shared" si="4"/>
        <v>0</v>
      </c>
      <c r="I109" s="1734">
        <f t="shared" si="4"/>
        <v>0</v>
      </c>
      <c r="J109" s="1734">
        <f t="shared" si="4"/>
        <v>27428</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v>37881</v>
      </c>
      <c r="D111" s="481"/>
      <c r="E111" s="561"/>
      <c r="F111" s="481"/>
      <c r="G111" s="481"/>
      <c r="H111" s="561"/>
      <c r="I111" s="468"/>
      <c r="J111" s="468"/>
      <c r="K111" s="468"/>
    </row>
    <row r="112" spans="1:12" ht="12.75" customHeight="1" x14ac:dyDescent="0.2">
      <c r="A112" s="463" t="s">
        <v>878</v>
      </c>
      <c r="B112" s="470">
        <v>2200</v>
      </c>
      <c r="C112" s="551">
        <v>25974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63855</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2809718</v>
      </c>
      <c r="D117" s="481">
        <v>73000</v>
      </c>
      <c r="E117" s="466"/>
      <c r="F117" s="481">
        <v>35000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5" t="s">
        <v>1901</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2809718</v>
      </c>
      <c r="D121" s="1726">
        <f t="shared" si="5"/>
        <v>73000</v>
      </c>
      <c r="E121" s="1726">
        <f t="shared" si="5"/>
        <v>0</v>
      </c>
      <c r="F121" s="1726">
        <f t="shared" si="5"/>
        <v>35000</v>
      </c>
      <c r="G121" s="1726">
        <f t="shared" si="5"/>
        <v>0</v>
      </c>
      <c r="H121" s="1726">
        <f t="shared" si="5"/>
        <v>0</v>
      </c>
      <c r="I121" s="468"/>
      <c r="J121" s="1726">
        <f>SUM(J117:J120)</f>
        <v>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31990</v>
      </c>
      <c r="D125" s="561"/>
      <c r="E125" s="468"/>
      <c r="F125" s="466"/>
      <c r="G125" s="468"/>
      <c r="H125" s="468"/>
      <c r="I125" s="468"/>
      <c r="J125" s="468"/>
      <c r="K125" s="468"/>
    </row>
    <row r="126" spans="1:11" ht="12.75" customHeight="1" x14ac:dyDescent="0.2">
      <c r="A126" s="463" t="s">
        <v>922</v>
      </c>
      <c r="B126" s="562">
        <v>3110</v>
      </c>
      <c r="C126" s="551">
        <v>35824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67814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3310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3310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5230</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4669</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218390</v>
      </c>
      <c r="G151" s="467"/>
      <c r="H151" s="468"/>
      <c r="I151" s="468"/>
      <c r="J151" s="468"/>
      <c r="K151" s="468"/>
    </row>
    <row r="152" spans="1:11" ht="12.75" customHeight="1" x14ac:dyDescent="0.2">
      <c r="A152" s="463" t="s">
        <v>1117</v>
      </c>
      <c r="B152" s="562">
        <v>3510</v>
      </c>
      <c r="C152" s="551"/>
      <c r="D152" s="466"/>
      <c r="E152" s="561"/>
      <c r="F152" s="466">
        <v>39849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258239</v>
      </c>
      <c r="G154" s="1726">
        <f>SUM(G151:G153)</f>
        <v>0</v>
      </c>
      <c r="H154" s="468"/>
      <c r="I154" s="468"/>
      <c r="J154" s="468"/>
      <c r="K154" s="468"/>
    </row>
    <row r="155" spans="1:11" ht="12.75" customHeight="1" thickTop="1" thickBot="1" x14ac:dyDescent="0.25">
      <c r="A155" s="1519" t="s">
        <v>398</v>
      </c>
      <c r="B155" s="574">
        <v>3610</v>
      </c>
      <c r="C155" s="576">
        <v>750</v>
      </c>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415209</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c r="D171" s="580"/>
      <c r="E171" s="580"/>
      <c r="F171" s="580"/>
      <c r="G171" s="581"/>
      <c r="H171" s="582"/>
      <c r="I171" s="581"/>
      <c r="J171" s="581"/>
      <c r="K171" s="582"/>
    </row>
    <row r="172" spans="1:11" ht="12.75" customHeight="1" thickTop="1" thickBot="1" x14ac:dyDescent="0.25">
      <c r="A172" s="2175" t="s">
        <v>418</v>
      </c>
      <c r="B172" s="2176"/>
      <c r="C172" s="1741">
        <f t="shared" ref="C172:K172" si="6">SUM(C131,C140,C144,C145:C149,C154,C155:C170,C171)</f>
        <v>496982</v>
      </c>
      <c r="D172" s="1741">
        <f t="shared" si="6"/>
        <v>0</v>
      </c>
      <c r="E172" s="1741">
        <f t="shared" si="6"/>
        <v>0</v>
      </c>
      <c r="F172" s="1741">
        <f t="shared" si="6"/>
        <v>258239</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3306700</v>
      </c>
      <c r="D173" s="1734">
        <f>SUM(D121,D172)</f>
        <v>73000</v>
      </c>
      <c r="E173" s="1734">
        <f>SUM(E121,E172)</f>
        <v>0</v>
      </c>
      <c r="F173" s="1734">
        <f t="shared" ref="F173:K173" si="7">SUM(F121,F172)</f>
        <v>293239</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1" t="s">
        <v>1764</v>
      </c>
      <c r="B178" s="2182"/>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85" t="s">
        <v>1763</v>
      </c>
      <c r="B179" s="218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3" t="s">
        <v>818</v>
      </c>
      <c r="B184" s="2184"/>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79" t="s">
        <v>1903</v>
      </c>
      <c r="B185" s="2180"/>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7282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7282</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200018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93402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967</v>
      </c>
      <c r="D199" s="468"/>
      <c r="E199" s="561"/>
      <c r="F199" s="468"/>
      <c r="G199" s="586"/>
      <c r="H199" s="468"/>
      <c r="I199" s="468"/>
      <c r="J199" s="468"/>
      <c r="K199" s="468"/>
    </row>
    <row r="200" spans="1:11" ht="12.75" customHeight="1" x14ac:dyDescent="0.2">
      <c r="A200" s="463" t="s">
        <v>73</v>
      </c>
      <c r="B200" s="470">
        <v>4299</v>
      </c>
      <c r="C200" s="551">
        <v>21752</v>
      </c>
      <c r="D200" s="468"/>
      <c r="E200" s="561"/>
      <c r="F200" s="468"/>
      <c r="G200" s="585"/>
      <c r="H200" s="468"/>
      <c r="I200" s="468"/>
      <c r="J200" s="468"/>
      <c r="K200" s="468"/>
    </row>
    <row r="201" spans="1:11" ht="12.75" customHeight="1" thickBot="1" x14ac:dyDescent="0.25">
      <c r="A201" s="1727" t="s">
        <v>569</v>
      </c>
      <c r="B201" s="1728"/>
      <c r="C201" s="1707">
        <f>SUM(C193:C200)</f>
        <v>316139</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384273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384273</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v>131479</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131479</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363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363</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31849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871385</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871385</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4855510</v>
      </c>
      <c r="D275" s="1734">
        <f t="shared" si="12"/>
        <v>162392</v>
      </c>
      <c r="E275" s="1734">
        <f t="shared" si="12"/>
        <v>110</v>
      </c>
      <c r="F275" s="1734">
        <f t="shared" si="12"/>
        <v>328996</v>
      </c>
      <c r="G275" s="1734">
        <f t="shared" si="12"/>
        <v>127159</v>
      </c>
      <c r="H275" s="1734">
        <f t="shared" si="12"/>
        <v>0</v>
      </c>
      <c r="I275" s="1734">
        <f t="shared" si="12"/>
        <v>0</v>
      </c>
      <c r="J275" s="1734">
        <f t="shared" si="12"/>
        <v>27428</v>
      </c>
      <c r="K275" s="1721">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orizontalCentered="1" headings="1" gridLines="1"/>
  <pageMargins left="1" right="0.3" top="1" bottom="0.48" header="0.5" footer="0.3"/>
  <pageSetup scale="65" firstPageNumber="7" orientation="landscape" useFirstPageNumber="1" r:id="rId1"/>
  <headerFooter alignWithMargins="0">
    <oddHeader>&amp;C&amp;"Arial,Bold"&amp;9STATEMENT OF REVENUES RECEIVED/REVENUES
FOR THE YEAR ENDING JUNE 30, 2018</oddHeader>
    <oddFooter>&amp;L&amp;8Print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7" colorId="8" zoomScaleNormal="100" zoomScaleSheetLayoutView="9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1279635</v>
      </c>
      <c r="D5" s="466">
        <v>122180</v>
      </c>
      <c r="E5" s="466">
        <v>41526</v>
      </c>
      <c r="F5" s="466">
        <v>115136</v>
      </c>
      <c r="G5" s="466">
        <v>78144</v>
      </c>
      <c r="H5" s="466">
        <v>2397</v>
      </c>
      <c r="I5" s="467"/>
      <c r="J5" s="467"/>
      <c r="K5" s="1690">
        <f>SUM(C5:J5)</f>
        <v>1639018</v>
      </c>
      <c r="L5" s="466">
        <v>1654540</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v>170848</v>
      </c>
      <c r="D7" s="467">
        <v>18530</v>
      </c>
      <c r="E7" s="467">
        <v>7050</v>
      </c>
      <c r="F7" s="467">
        <v>17741</v>
      </c>
      <c r="G7" s="467">
        <v>725</v>
      </c>
      <c r="H7" s="467"/>
      <c r="I7" s="467"/>
      <c r="J7" s="467"/>
      <c r="K7" s="1690">
        <f t="shared" ref="K7:K32" si="0">SUM(C7:J7)</f>
        <v>214894</v>
      </c>
      <c r="L7" s="466">
        <v>341202</v>
      </c>
    </row>
    <row r="8" spans="1:14" x14ac:dyDescent="0.2">
      <c r="A8" s="1523" t="s">
        <v>166</v>
      </c>
      <c r="B8" s="615">
        <v>1200</v>
      </c>
      <c r="C8" s="466">
        <v>311486</v>
      </c>
      <c r="D8" s="466">
        <v>34489</v>
      </c>
      <c r="E8" s="466">
        <v>1865</v>
      </c>
      <c r="F8" s="466">
        <v>1641</v>
      </c>
      <c r="G8" s="466"/>
      <c r="H8" s="466"/>
      <c r="I8" s="467"/>
      <c r="J8" s="467"/>
      <c r="K8" s="1690">
        <f t="shared" si="0"/>
        <v>349481</v>
      </c>
      <c r="L8" s="466">
        <v>344388</v>
      </c>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v>269456</v>
      </c>
      <c r="D10" s="466">
        <v>43277</v>
      </c>
      <c r="E10" s="466">
        <v>3337</v>
      </c>
      <c r="F10" s="466">
        <v>60783</v>
      </c>
      <c r="G10" s="466">
        <v>3924</v>
      </c>
      <c r="H10" s="466"/>
      <c r="I10" s="467"/>
      <c r="J10" s="467"/>
      <c r="K10" s="1690">
        <f t="shared" si="0"/>
        <v>380777</v>
      </c>
      <c r="L10" s="466">
        <v>592139</v>
      </c>
    </row>
    <row r="11" spans="1:14" x14ac:dyDescent="0.2">
      <c r="A11" s="1523" t="s">
        <v>1192</v>
      </c>
      <c r="B11" s="615" t="s">
        <v>163</v>
      </c>
      <c r="C11" s="467">
        <v>6750</v>
      </c>
      <c r="D11" s="467"/>
      <c r="E11" s="467"/>
      <c r="F11" s="467"/>
      <c r="G11" s="467"/>
      <c r="H11" s="467"/>
      <c r="I11" s="467"/>
      <c r="J11" s="467"/>
      <c r="K11" s="1690">
        <f t="shared" si="0"/>
        <v>6750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v>23236</v>
      </c>
      <c r="D13" s="466">
        <v>956</v>
      </c>
      <c r="E13" s="466">
        <v>500</v>
      </c>
      <c r="F13" s="466">
        <v>5332</v>
      </c>
      <c r="G13" s="466">
        <v>3748</v>
      </c>
      <c r="H13" s="466"/>
      <c r="I13" s="467"/>
      <c r="J13" s="467"/>
      <c r="K13" s="1690">
        <f t="shared" si="0"/>
        <v>33772</v>
      </c>
      <c r="L13" s="466">
        <v>38131</v>
      </c>
    </row>
    <row r="14" spans="1:14" x14ac:dyDescent="0.2">
      <c r="A14" s="1523" t="s">
        <v>1020</v>
      </c>
      <c r="B14" s="615">
        <v>1500</v>
      </c>
      <c r="C14" s="466">
        <v>48100</v>
      </c>
      <c r="D14" s="466">
        <v>322</v>
      </c>
      <c r="E14" s="466">
        <v>16645</v>
      </c>
      <c r="F14" s="466">
        <v>11743</v>
      </c>
      <c r="G14" s="466">
        <v>9088</v>
      </c>
      <c r="H14" s="466">
        <v>2449</v>
      </c>
      <c r="I14" s="467"/>
      <c r="J14" s="467"/>
      <c r="K14" s="1690">
        <f t="shared" si="0"/>
        <v>88347</v>
      </c>
      <c r="L14" s="466">
        <v>89143</v>
      </c>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c r="D17" s="467"/>
      <c r="E17" s="467"/>
      <c r="F17" s="467"/>
      <c r="G17" s="467"/>
      <c r="H17" s="467"/>
      <c r="I17" s="467"/>
      <c r="J17" s="467"/>
      <c r="K17" s="1690">
        <f t="shared" si="0"/>
        <v>0</v>
      </c>
      <c r="L17" s="466"/>
    </row>
    <row r="18" spans="1:12" x14ac:dyDescent="0.2">
      <c r="A18" s="1523" t="s">
        <v>1148</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c r="I22" s="617"/>
      <c r="J22" s="477"/>
      <c r="K22" s="1690">
        <f t="shared" si="0"/>
        <v>0</v>
      </c>
      <c r="L22" s="471"/>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2109511</v>
      </c>
      <c r="D33" s="1689">
        <f t="shared" ref="D33:L33" si="1">SUM(D5:D32)</f>
        <v>219754</v>
      </c>
      <c r="E33" s="1689">
        <f t="shared" si="1"/>
        <v>70923</v>
      </c>
      <c r="F33" s="1689">
        <f t="shared" si="1"/>
        <v>212376</v>
      </c>
      <c r="G33" s="1689">
        <f t="shared" si="1"/>
        <v>95629</v>
      </c>
      <c r="H33" s="1689">
        <f t="shared" si="1"/>
        <v>4846</v>
      </c>
      <c r="I33" s="1689">
        <f t="shared" si="1"/>
        <v>0</v>
      </c>
      <c r="J33" s="1689">
        <f t="shared" si="1"/>
        <v>0</v>
      </c>
      <c r="K33" s="1689">
        <f t="shared" si="1"/>
        <v>2713039</v>
      </c>
      <c r="L33" s="1689">
        <f t="shared" si="1"/>
        <v>3059543</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c r="D36" s="481"/>
      <c r="E36" s="481"/>
      <c r="F36" s="481"/>
      <c r="G36" s="481"/>
      <c r="H36" s="481"/>
      <c r="I36" s="467"/>
      <c r="J36" s="467"/>
      <c r="K36" s="1690">
        <f t="shared" ref="K36:K41" si="2">SUM(C36:J36)</f>
        <v>0</v>
      </c>
      <c r="L36" s="466"/>
    </row>
    <row r="37" spans="1:14" x14ac:dyDescent="0.2">
      <c r="A37" s="1523" t="s">
        <v>1151</v>
      </c>
      <c r="B37" s="615">
        <v>2120</v>
      </c>
      <c r="C37" s="466">
        <v>76669</v>
      </c>
      <c r="D37" s="466">
        <v>13066</v>
      </c>
      <c r="E37" s="466"/>
      <c r="F37" s="466"/>
      <c r="G37" s="466"/>
      <c r="H37" s="466"/>
      <c r="I37" s="467"/>
      <c r="J37" s="467"/>
      <c r="K37" s="1690">
        <f t="shared" si="2"/>
        <v>89735</v>
      </c>
      <c r="L37" s="466">
        <v>60599</v>
      </c>
    </row>
    <row r="38" spans="1:14" x14ac:dyDescent="0.2">
      <c r="A38" s="1523" t="s">
        <v>207</v>
      </c>
      <c r="B38" s="615">
        <v>2130</v>
      </c>
      <c r="C38" s="466">
        <v>36175</v>
      </c>
      <c r="D38" s="466">
        <v>9639</v>
      </c>
      <c r="E38" s="466">
        <v>126</v>
      </c>
      <c r="F38" s="466">
        <v>1416</v>
      </c>
      <c r="G38" s="466"/>
      <c r="H38" s="466"/>
      <c r="I38" s="467"/>
      <c r="J38" s="467"/>
      <c r="K38" s="1690">
        <f t="shared" si="2"/>
        <v>47356</v>
      </c>
      <c r="L38" s="466">
        <v>3200</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v>17118</v>
      </c>
      <c r="D40" s="466">
        <v>257</v>
      </c>
      <c r="E40" s="466"/>
      <c r="F40" s="466">
        <v>58</v>
      </c>
      <c r="G40" s="466"/>
      <c r="H40" s="466"/>
      <c r="I40" s="467"/>
      <c r="J40" s="467"/>
      <c r="K40" s="1690">
        <f t="shared" si="2"/>
        <v>17433</v>
      </c>
      <c r="L40" s="466">
        <v>18175</v>
      </c>
    </row>
    <row r="41" spans="1:14" x14ac:dyDescent="0.2">
      <c r="A41" s="1523" t="s">
        <v>1768</v>
      </c>
      <c r="B41" s="615">
        <v>2190</v>
      </c>
      <c r="C41" s="466">
        <v>11355</v>
      </c>
      <c r="D41" s="466">
        <v>4</v>
      </c>
      <c r="E41" s="466"/>
      <c r="F41" s="466"/>
      <c r="G41" s="466"/>
      <c r="H41" s="466"/>
      <c r="I41" s="467"/>
      <c r="J41" s="467"/>
      <c r="K41" s="1690">
        <f t="shared" si="2"/>
        <v>11359</v>
      </c>
      <c r="L41" s="466">
        <v>11359</v>
      </c>
    </row>
    <row r="42" spans="1:14" ht="12.75" customHeight="1" thickBot="1" x14ac:dyDescent="0.25">
      <c r="A42" s="1687" t="s">
        <v>581</v>
      </c>
      <c r="B42" s="1688" t="s">
        <v>740</v>
      </c>
      <c r="C42" s="1689">
        <f>SUM(C36:C41)</f>
        <v>141317</v>
      </c>
      <c r="D42" s="1689">
        <f t="shared" ref="D42:L42" si="3">SUM(D36:D41)</f>
        <v>22966</v>
      </c>
      <c r="E42" s="1689">
        <f t="shared" si="3"/>
        <v>126</v>
      </c>
      <c r="F42" s="1689">
        <f t="shared" si="3"/>
        <v>1474</v>
      </c>
      <c r="G42" s="1689">
        <f t="shared" si="3"/>
        <v>0</v>
      </c>
      <c r="H42" s="1689">
        <f t="shared" si="3"/>
        <v>0</v>
      </c>
      <c r="I42" s="1689">
        <f t="shared" si="3"/>
        <v>0</v>
      </c>
      <c r="J42" s="1689">
        <f t="shared" si="3"/>
        <v>0</v>
      </c>
      <c r="K42" s="1689">
        <f t="shared" si="3"/>
        <v>165883</v>
      </c>
      <c r="L42" s="1689">
        <f t="shared" si="3"/>
        <v>93333</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40468</v>
      </c>
      <c r="D44" s="481">
        <v>2984</v>
      </c>
      <c r="E44" s="481">
        <v>29768</v>
      </c>
      <c r="F44" s="481"/>
      <c r="G44" s="481"/>
      <c r="H44" s="481"/>
      <c r="I44" s="467"/>
      <c r="J44" s="467"/>
      <c r="K44" s="1691">
        <f>SUM(C44:J44)</f>
        <v>73220</v>
      </c>
      <c r="L44" s="481">
        <v>38864</v>
      </c>
    </row>
    <row r="45" spans="1:14" x14ac:dyDescent="0.2">
      <c r="A45" s="1523" t="s">
        <v>869</v>
      </c>
      <c r="B45" s="615">
        <v>2220</v>
      </c>
      <c r="C45" s="466">
        <v>37120</v>
      </c>
      <c r="D45" s="466">
        <v>7400</v>
      </c>
      <c r="E45" s="466"/>
      <c r="F45" s="466">
        <v>1007</v>
      </c>
      <c r="G45" s="466"/>
      <c r="H45" s="466"/>
      <c r="I45" s="467"/>
      <c r="J45" s="467"/>
      <c r="K45" s="1691">
        <f>SUM(C45:J45)</f>
        <v>45527</v>
      </c>
      <c r="L45" s="466">
        <v>13845</v>
      </c>
    </row>
    <row r="46" spans="1:14" x14ac:dyDescent="0.2">
      <c r="A46" s="1523"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77588</v>
      </c>
      <c r="D47" s="1689">
        <f t="shared" ref="D47:K47" si="4">SUM(D44:D46)</f>
        <v>10384</v>
      </c>
      <c r="E47" s="1689">
        <f t="shared" si="4"/>
        <v>29768</v>
      </c>
      <c r="F47" s="1689">
        <f t="shared" si="4"/>
        <v>1007</v>
      </c>
      <c r="G47" s="1689">
        <f t="shared" si="4"/>
        <v>0</v>
      </c>
      <c r="H47" s="1689">
        <f t="shared" si="4"/>
        <v>0</v>
      </c>
      <c r="I47" s="1689">
        <f t="shared" si="4"/>
        <v>0</v>
      </c>
      <c r="J47" s="1689">
        <f t="shared" si="4"/>
        <v>0</v>
      </c>
      <c r="K47" s="1689">
        <f t="shared" si="4"/>
        <v>118747</v>
      </c>
      <c r="L47" s="1689">
        <f>SUM(L44:L46)</f>
        <v>52709</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4220</v>
      </c>
      <c r="D49" s="481"/>
      <c r="E49" s="481">
        <v>56919</v>
      </c>
      <c r="F49" s="481">
        <v>4129</v>
      </c>
      <c r="G49" s="481"/>
      <c r="H49" s="481">
        <v>13762</v>
      </c>
      <c r="I49" s="467"/>
      <c r="J49" s="467"/>
      <c r="K49" s="1691">
        <f>SUM(C49:J49)</f>
        <v>79030</v>
      </c>
      <c r="L49" s="481">
        <v>81497</v>
      </c>
    </row>
    <row r="50" spans="1:14" x14ac:dyDescent="0.2">
      <c r="A50" s="1523" t="s">
        <v>872</v>
      </c>
      <c r="B50" s="615">
        <v>2320</v>
      </c>
      <c r="C50" s="466">
        <v>186871</v>
      </c>
      <c r="D50" s="466">
        <v>23033</v>
      </c>
      <c r="E50" s="466">
        <v>33177</v>
      </c>
      <c r="F50" s="466">
        <v>23846</v>
      </c>
      <c r="G50" s="466">
        <v>28551</v>
      </c>
      <c r="H50" s="466">
        <v>2541</v>
      </c>
      <c r="I50" s="467"/>
      <c r="J50" s="467"/>
      <c r="K50" s="1691">
        <f>SUM(C50:J50)</f>
        <v>298019</v>
      </c>
      <c r="L50" s="466">
        <v>300687</v>
      </c>
    </row>
    <row r="51" spans="1:14" x14ac:dyDescent="0.2">
      <c r="A51" s="1523" t="s">
        <v>44</v>
      </c>
      <c r="B51" s="615">
        <v>2330</v>
      </c>
      <c r="C51" s="466"/>
      <c r="D51" s="466"/>
      <c r="E51" s="466"/>
      <c r="F51" s="466"/>
      <c r="G51" s="466"/>
      <c r="H51" s="466"/>
      <c r="I51" s="467"/>
      <c r="J51" s="467"/>
      <c r="K51" s="1691">
        <f>SUM(C51:J51)</f>
        <v>0</v>
      </c>
      <c r="L51" s="466"/>
    </row>
    <row r="52" spans="1:14" ht="22.5" x14ac:dyDescent="0.2">
      <c r="A52" s="1524"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191091</v>
      </c>
      <c r="D53" s="1689">
        <f t="shared" ref="D53:L53" si="5">SUM(D49:D52)</f>
        <v>23033</v>
      </c>
      <c r="E53" s="1689">
        <f t="shared" si="5"/>
        <v>90096</v>
      </c>
      <c r="F53" s="1689">
        <f t="shared" si="5"/>
        <v>27975</v>
      </c>
      <c r="G53" s="1689">
        <f t="shared" si="5"/>
        <v>28551</v>
      </c>
      <c r="H53" s="1689">
        <f t="shared" si="5"/>
        <v>16303</v>
      </c>
      <c r="I53" s="1689">
        <f t="shared" si="5"/>
        <v>0</v>
      </c>
      <c r="J53" s="1689">
        <f t="shared" si="5"/>
        <v>0</v>
      </c>
      <c r="K53" s="1689">
        <f t="shared" si="5"/>
        <v>377049</v>
      </c>
      <c r="L53" s="1689">
        <f t="shared" si="5"/>
        <v>382184</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134230</v>
      </c>
      <c r="D55" s="481">
        <v>11440</v>
      </c>
      <c r="E55" s="481">
        <v>3600</v>
      </c>
      <c r="F55" s="481">
        <v>3435</v>
      </c>
      <c r="G55" s="481">
        <v>1029</v>
      </c>
      <c r="H55" s="481">
        <v>385</v>
      </c>
      <c r="I55" s="467"/>
      <c r="J55" s="467"/>
      <c r="K55" s="1691">
        <f>SUM(C55:J55)</f>
        <v>154119</v>
      </c>
      <c r="L55" s="481">
        <v>155169</v>
      </c>
    </row>
    <row r="56" spans="1:14" ht="12.75" customHeight="1" x14ac:dyDescent="0.2">
      <c r="A56" s="1527"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134230</v>
      </c>
      <c r="D57" s="1693">
        <f t="shared" ref="D57:K57" si="6">SUM(D55:D56)</f>
        <v>11440</v>
      </c>
      <c r="E57" s="1693">
        <f t="shared" si="6"/>
        <v>3600</v>
      </c>
      <c r="F57" s="1693">
        <f t="shared" si="6"/>
        <v>3435</v>
      </c>
      <c r="G57" s="1693">
        <f t="shared" si="6"/>
        <v>1029</v>
      </c>
      <c r="H57" s="1693">
        <f t="shared" si="6"/>
        <v>385</v>
      </c>
      <c r="I57" s="1693">
        <f t="shared" si="6"/>
        <v>0</v>
      </c>
      <c r="J57" s="1693">
        <f t="shared" si="6"/>
        <v>0</v>
      </c>
      <c r="K57" s="1693">
        <f t="shared" si="6"/>
        <v>154119</v>
      </c>
      <c r="L57" s="1689">
        <f>SUM(L55:L56)</f>
        <v>155169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15457</v>
      </c>
      <c r="D59" s="481">
        <v>22</v>
      </c>
      <c r="E59" s="481">
        <v>110</v>
      </c>
      <c r="F59" s="481"/>
      <c r="G59" s="481"/>
      <c r="H59" s="481"/>
      <c r="I59" s="467"/>
      <c r="J59" s="467"/>
      <c r="K59" s="1691">
        <f t="shared" ref="K59:K64" si="7">SUM(C59:J59)</f>
        <v>15589</v>
      </c>
      <c r="L59" s="481">
        <v>15679</v>
      </c>
      <c r="M59" s="610"/>
      <c r="N59" s="610"/>
    </row>
    <row r="60" spans="1:14" s="343" customFormat="1" x14ac:dyDescent="0.2">
      <c r="A60" s="1523" t="s">
        <v>483</v>
      </c>
      <c r="B60" s="615">
        <v>2520</v>
      </c>
      <c r="C60" s="466">
        <v>4611</v>
      </c>
      <c r="D60" s="466"/>
      <c r="E60" s="466"/>
      <c r="F60" s="466"/>
      <c r="G60" s="466"/>
      <c r="H60" s="466"/>
      <c r="I60" s="467"/>
      <c r="J60" s="467"/>
      <c r="K60" s="1691">
        <f t="shared" si="7"/>
        <v>4611</v>
      </c>
      <c r="L60" s="466"/>
      <c r="M60" s="610"/>
      <c r="N60" s="610"/>
    </row>
    <row r="61" spans="1:14" s="343" customFormat="1" x14ac:dyDescent="0.2">
      <c r="A61" s="1523" t="s">
        <v>206</v>
      </c>
      <c r="B61" s="615">
        <v>2540</v>
      </c>
      <c r="C61" s="466">
        <v>201648</v>
      </c>
      <c r="D61" s="466">
        <v>27863</v>
      </c>
      <c r="E61" s="466">
        <v>14307</v>
      </c>
      <c r="F61" s="466">
        <v>178661</v>
      </c>
      <c r="G61" s="466">
        <v>50837</v>
      </c>
      <c r="H61" s="466"/>
      <c r="I61" s="467"/>
      <c r="J61" s="467"/>
      <c r="K61" s="1691">
        <f t="shared" si="7"/>
        <v>473316</v>
      </c>
      <c r="L61" s="466">
        <v>452479</v>
      </c>
      <c r="M61" s="610"/>
      <c r="N61" s="610"/>
    </row>
    <row r="62" spans="1:14" s="343" customFormat="1" x14ac:dyDescent="0.2">
      <c r="A62" s="1523" t="s">
        <v>1010</v>
      </c>
      <c r="B62" s="615">
        <v>2550</v>
      </c>
      <c r="C62" s="466"/>
      <c r="D62" s="466"/>
      <c r="E62" s="466"/>
      <c r="F62" s="466"/>
      <c r="G62" s="466"/>
      <c r="H62" s="466"/>
      <c r="I62" s="467"/>
      <c r="J62" s="467"/>
      <c r="K62" s="1691">
        <f t="shared" si="7"/>
        <v>0</v>
      </c>
      <c r="L62" s="466"/>
      <c r="M62" s="610"/>
      <c r="N62" s="610"/>
    </row>
    <row r="63" spans="1:14" s="610" customFormat="1" x14ac:dyDescent="0.2">
      <c r="A63" s="1523" t="s">
        <v>102</v>
      </c>
      <c r="B63" s="615">
        <v>2560</v>
      </c>
      <c r="C63" s="466">
        <v>99985</v>
      </c>
      <c r="D63" s="466">
        <v>74</v>
      </c>
      <c r="E63" s="466">
        <v>2089</v>
      </c>
      <c r="F63" s="466">
        <v>158444</v>
      </c>
      <c r="G63" s="466"/>
      <c r="H63" s="466"/>
      <c r="I63" s="467"/>
      <c r="J63" s="467"/>
      <c r="K63" s="1691">
        <f t="shared" si="7"/>
        <v>260592</v>
      </c>
      <c r="L63" s="466">
        <v>292074</v>
      </c>
    </row>
    <row r="64" spans="1:14" s="610" customFormat="1" x14ac:dyDescent="0.2">
      <c r="A64" s="1528"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321701</v>
      </c>
      <c r="D65" s="1689">
        <f t="shared" ref="D65:L65" si="8">SUM(D59:D64)</f>
        <v>27959</v>
      </c>
      <c r="E65" s="1689">
        <f t="shared" si="8"/>
        <v>16506</v>
      </c>
      <c r="F65" s="1689">
        <f t="shared" si="8"/>
        <v>337105</v>
      </c>
      <c r="G65" s="1689">
        <f t="shared" si="8"/>
        <v>50837</v>
      </c>
      <c r="H65" s="1689">
        <f t="shared" si="8"/>
        <v>0</v>
      </c>
      <c r="I65" s="1689">
        <f t="shared" si="8"/>
        <v>0</v>
      </c>
      <c r="J65" s="1689">
        <f t="shared" si="8"/>
        <v>0</v>
      </c>
      <c r="K65" s="1689">
        <f t="shared" si="8"/>
        <v>754108</v>
      </c>
      <c r="L65" s="1689">
        <f t="shared" si="8"/>
        <v>760232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v>500</v>
      </c>
      <c r="F68" s="466"/>
      <c r="G68" s="466"/>
      <c r="H68" s="466"/>
      <c r="I68" s="467"/>
      <c r="J68" s="467"/>
      <c r="K68" s="1691">
        <f>SUM(C68:J68)</f>
        <v>500</v>
      </c>
      <c r="L68" s="466"/>
      <c r="M68" s="610"/>
      <c r="N68" s="610"/>
    </row>
    <row r="69" spans="1:14" s="343" customFormat="1" x14ac:dyDescent="0.2">
      <c r="A69" s="1523" t="s">
        <v>1121</v>
      </c>
      <c r="B69" s="615">
        <v>2630</v>
      </c>
      <c r="C69" s="466"/>
      <c r="D69" s="466"/>
      <c r="E69" s="466"/>
      <c r="F69" s="466"/>
      <c r="G69" s="466"/>
      <c r="H69" s="466"/>
      <c r="I69" s="467"/>
      <c r="J69" s="467"/>
      <c r="K69" s="1691">
        <f>SUM(C69:J69)</f>
        <v>0</v>
      </c>
      <c r="L69" s="466"/>
      <c r="M69" s="610"/>
      <c r="N69" s="610"/>
    </row>
    <row r="70" spans="1:14" s="343" customFormat="1" x14ac:dyDescent="0.2">
      <c r="A70" s="1523" t="s">
        <v>423</v>
      </c>
      <c r="B70" s="615">
        <v>2640</v>
      </c>
      <c r="C70" s="466"/>
      <c r="D70" s="466"/>
      <c r="E70" s="466"/>
      <c r="F70" s="466"/>
      <c r="G70" s="466"/>
      <c r="H70" s="466"/>
      <c r="I70" s="467"/>
      <c r="J70" s="467"/>
      <c r="K70" s="1691">
        <f>SUM(C70:J70)</f>
        <v>0</v>
      </c>
      <c r="L70" s="466"/>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500</v>
      </c>
      <c r="F72" s="1689">
        <f t="shared" si="9"/>
        <v>0</v>
      </c>
      <c r="G72" s="1689">
        <f t="shared" si="9"/>
        <v>0</v>
      </c>
      <c r="H72" s="1689">
        <f t="shared" si="9"/>
        <v>0</v>
      </c>
      <c r="I72" s="1689">
        <f t="shared" si="9"/>
        <v>0</v>
      </c>
      <c r="J72" s="1689">
        <f t="shared" si="9"/>
        <v>0</v>
      </c>
      <c r="K72" s="1689">
        <f t="shared" si="9"/>
        <v>500</v>
      </c>
      <c r="L72" s="1689">
        <f>SUM(L67:L71)</f>
        <v>0</v>
      </c>
      <c r="M72" s="610"/>
      <c r="N72" s="610"/>
    </row>
    <row r="73" spans="1:14" s="343" customFormat="1" ht="14.25" thickTop="1" thickBot="1" x14ac:dyDescent="0.25">
      <c r="A73" s="1529" t="s">
        <v>1037</v>
      </c>
      <c r="B73" s="633" t="s">
        <v>595</v>
      </c>
      <c r="C73" s="573">
        <v>10500</v>
      </c>
      <c r="D73" s="573">
        <v>462</v>
      </c>
      <c r="E73" s="573"/>
      <c r="F73" s="573"/>
      <c r="G73" s="573"/>
      <c r="H73" s="573"/>
      <c r="I73" s="531"/>
      <c r="J73" s="531"/>
      <c r="K73" s="1689">
        <f>SUM(C73:J73)</f>
        <v>10962</v>
      </c>
      <c r="L73" s="576"/>
      <c r="M73" s="610"/>
      <c r="N73" s="610"/>
    </row>
    <row r="74" spans="1:14" ht="12.75" customHeight="1" thickTop="1" thickBot="1" x14ac:dyDescent="0.25">
      <c r="A74" s="1687" t="s">
        <v>865</v>
      </c>
      <c r="B74" s="1695">
        <v>2000</v>
      </c>
      <c r="C74" s="1696">
        <f>SUM(C42,C47,C53,C57,C65,C72,C73)</f>
        <v>876427</v>
      </c>
      <c r="D74" s="1696">
        <f t="shared" ref="D74:K74" si="10">SUM(D42,D47,D53,D57,D65,D72,D73)</f>
        <v>96244</v>
      </c>
      <c r="E74" s="1696">
        <f t="shared" si="10"/>
        <v>140596</v>
      </c>
      <c r="F74" s="1696">
        <f t="shared" si="10"/>
        <v>370996</v>
      </c>
      <c r="G74" s="1696">
        <f t="shared" si="10"/>
        <v>80417</v>
      </c>
      <c r="H74" s="1696">
        <f t="shared" si="10"/>
        <v>16688</v>
      </c>
      <c r="I74" s="1696">
        <f t="shared" si="10"/>
        <v>0</v>
      </c>
      <c r="J74" s="1696">
        <f t="shared" si="10"/>
        <v>0</v>
      </c>
      <c r="K74" s="1696">
        <f t="shared" si="10"/>
        <v>1581368</v>
      </c>
      <c r="L74" s="1696">
        <f>SUM(L42,L47,L53,L57,L65,L72,L73)</f>
        <v>1443627</v>
      </c>
    </row>
    <row r="75" spans="1:14" s="259" customFormat="1" ht="15.75" customHeight="1" thickTop="1" thickBot="1" x14ac:dyDescent="0.25">
      <c r="A75" s="1629" t="s">
        <v>49</v>
      </c>
      <c r="B75" s="1630" t="s">
        <v>596</v>
      </c>
      <c r="C75" s="573">
        <v>49941</v>
      </c>
      <c r="D75" s="573">
        <v>8801</v>
      </c>
      <c r="E75" s="573">
        <v>3371</v>
      </c>
      <c r="F75" s="573">
        <v>8298</v>
      </c>
      <c r="G75" s="573"/>
      <c r="H75" s="573"/>
      <c r="I75" s="531"/>
      <c r="J75" s="531"/>
      <c r="K75" s="1689">
        <f>SUM(C75:J75)</f>
        <v>70411</v>
      </c>
      <c r="L75" s="576"/>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v>133195</v>
      </c>
      <c r="I79" s="477"/>
      <c r="J79" s="477"/>
      <c r="K79" s="1690">
        <f t="shared" si="11"/>
        <v>133195</v>
      </c>
      <c r="L79" s="466">
        <v>120000</v>
      </c>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v>32744</v>
      </c>
      <c r="I81" s="477"/>
      <c r="J81" s="477"/>
      <c r="K81" s="1690">
        <f t="shared" si="11"/>
        <v>32744</v>
      </c>
      <c r="L81" s="466">
        <v>32750</v>
      </c>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v>24000</v>
      </c>
      <c r="F83" s="617"/>
      <c r="G83" s="617"/>
      <c r="H83" s="466">
        <v>1458</v>
      </c>
      <c r="I83" s="477"/>
      <c r="J83" s="477"/>
      <c r="K83" s="1690">
        <f t="shared" si="11"/>
        <v>25458</v>
      </c>
      <c r="L83" s="466"/>
    </row>
    <row r="84" spans="1:12" ht="13.5" thickBot="1" x14ac:dyDescent="0.25">
      <c r="A84" s="1687" t="s">
        <v>1565</v>
      </c>
      <c r="B84" s="1697">
        <v>4100</v>
      </c>
      <c r="C84" s="617"/>
      <c r="D84" s="617"/>
      <c r="E84" s="1689">
        <f>SUM(E78:E83)</f>
        <v>24000</v>
      </c>
      <c r="F84" s="617"/>
      <c r="G84" s="617"/>
      <c r="H84" s="1689">
        <f>SUM(H78:H83)</f>
        <v>167397</v>
      </c>
      <c r="I84" s="477"/>
      <c r="J84" s="477"/>
      <c r="K84" s="1689">
        <f>SUM(K78:K83)</f>
        <v>191397</v>
      </c>
      <c r="L84" s="1689">
        <f>SUM(L78:L83)</f>
        <v>152750</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c r="I86" s="477"/>
      <c r="J86" s="477"/>
      <c r="K86" s="1696">
        <f t="shared" ref="K86:K98" si="12">H86</f>
        <v>0</v>
      </c>
      <c r="L86" s="530"/>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24000</v>
      </c>
      <c r="F102" s="617"/>
      <c r="G102" s="617"/>
      <c r="H102" s="1696">
        <f>SUM(H84,H92,H100,H101)</f>
        <v>167397</v>
      </c>
      <c r="I102" s="477"/>
      <c r="J102" s="477"/>
      <c r="K102" s="1696">
        <f>SUM(K84,K92,K100,K101)</f>
        <v>191397</v>
      </c>
      <c r="L102" s="1696">
        <f>SUM(L84,L92,L100,L101)</f>
        <v>152750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3035879</v>
      </c>
      <c r="D114" s="1689">
        <f t="shared" ref="D114:K114" si="13">SUM(D33,D74,D75,D102,D112,D113)</f>
        <v>324799</v>
      </c>
      <c r="E114" s="1689">
        <f t="shared" si="13"/>
        <v>238890</v>
      </c>
      <c r="F114" s="1689">
        <f t="shared" si="13"/>
        <v>591670</v>
      </c>
      <c r="G114" s="1689">
        <f t="shared" si="13"/>
        <v>176046</v>
      </c>
      <c r="H114" s="1689">
        <f>SUM(H33,H74,H75,H102,H112,H113)</f>
        <v>188931</v>
      </c>
      <c r="I114" s="1689">
        <f t="shared" si="13"/>
        <v>0</v>
      </c>
      <c r="J114" s="1689">
        <f t="shared" si="13"/>
        <v>0</v>
      </c>
      <c r="K114" s="1689">
        <f t="shared" si="13"/>
        <v>4556215</v>
      </c>
      <c r="L114" s="1689">
        <f>SUM(L33,L74,L75,L102,L112,L113)</f>
        <v>4655920</v>
      </c>
    </row>
    <row r="115" spans="1:14" ht="13.5" thickTop="1" x14ac:dyDescent="0.2">
      <c r="A115" s="2212" t="s">
        <v>1053</v>
      </c>
      <c r="B115" s="2213"/>
      <c r="C115" s="619"/>
      <c r="D115" s="619"/>
      <c r="E115" s="619"/>
      <c r="F115" s="619"/>
      <c r="G115" s="619"/>
      <c r="H115" s="619"/>
      <c r="I115" s="619"/>
      <c r="J115" s="619"/>
      <c r="K115" s="1703">
        <f>'Revenues 9-14'!C275-'Expenditures 15-22'!K114</f>
        <v>299295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c r="H123" s="466"/>
      <c r="I123" s="467"/>
      <c r="J123" s="467"/>
      <c r="K123" s="1689">
        <f>SUM(C123:J123)</f>
        <v>0</v>
      </c>
      <c r="L123" s="466"/>
    </row>
    <row r="124" spans="1:14" ht="14.25" thickTop="1" thickBot="1" x14ac:dyDescent="0.25">
      <c r="A124" s="1523" t="s">
        <v>206</v>
      </c>
      <c r="B124" s="615">
        <v>2540</v>
      </c>
      <c r="C124" s="466"/>
      <c r="D124" s="466"/>
      <c r="E124" s="466">
        <v>79074</v>
      </c>
      <c r="F124" s="466">
        <v>3716</v>
      </c>
      <c r="G124" s="466">
        <v>27873</v>
      </c>
      <c r="H124" s="466"/>
      <c r="I124" s="467"/>
      <c r="J124" s="467"/>
      <c r="K124" s="1689">
        <f>SUM(C124:J124)</f>
        <v>110663</v>
      </c>
      <c r="L124" s="466">
        <v>141800</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0</v>
      </c>
      <c r="D127" s="1689">
        <f t="shared" ref="D127:L127" si="14">SUM(D122:D126)</f>
        <v>0</v>
      </c>
      <c r="E127" s="1689">
        <f t="shared" si="14"/>
        <v>79074</v>
      </c>
      <c r="F127" s="1689">
        <f t="shared" si="14"/>
        <v>3716</v>
      </c>
      <c r="G127" s="1689">
        <f t="shared" si="14"/>
        <v>27873</v>
      </c>
      <c r="H127" s="1689">
        <f t="shared" si="14"/>
        <v>0</v>
      </c>
      <c r="I127" s="1689">
        <f t="shared" si="14"/>
        <v>0</v>
      </c>
      <c r="J127" s="1689">
        <f t="shared" si="14"/>
        <v>0</v>
      </c>
      <c r="K127" s="1689">
        <f t="shared" si="14"/>
        <v>110663</v>
      </c>
      <c r="L127" s="1689">
        <f t="shared" si="14"/>
        <v>141800</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0</v>
      </c>
      <c r="D129" s="1696">
        <f t="shared" ref="D129:L129" si="15">SUM(D120,D127,D128)</f>
        <v>0</v>
      </c>
      <c r="E129" s="1696">
        <f t="shared" si="15"/>
        <v>79074</v>
      </c>
      <c r="F129" s="1696">
        <f t="shared" si="15"/>
        <v>3716</v>
      </c>
      <c r="G129" s="1696">
        <f t="shared" si="15"/>
        <v>27873</v>
      </c>
      <c r="H129" s="1696">
        <f t="shared" si="15"/>
        <v>0</v>
      </c>
      <c r="I129" s="1696">
        <f t="shared" si="15"/>
        <v>0</v>
      </c>
      <c r="J129" s="1696">
        <f t="shared" si="15"/>
        <v>0</v>
      </c>
      <c r="K129" s="1696">
        <f t="shared" si="15"/>
        <v>110663</v>
      </c>
      <c r="L129" s="1696">
        <f t="shared" si="15"/>
        <v>141800</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1953</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02" t="s">
        <v>641</v>
      </c>
      <c r="B151" s="2184"/>
      <c r="C151" s="1689">
        <f>SUM(C129,C130,C139,C149,C150)</f>
        <v>0</v>
      </c>
      <c r="D151" s="1689">
        <f t="shared" ref="D151:K151" si="16">SUM(D129,D130,D139,D149,D150)</f>
        <v>0</v>
      </c>
      <c r="E151" s="1689">
        <f t="shared" si="16"/>
        <v>79074</v>
      </c>
      <c r="F151" s="1689">
        <f t="shared" si="16"/>
        <v>3716</v>
      </c>
      <c r="G151" s="1689">
        <f t="shared" si="16"/>
        <v>27873</v>
      </c>
      <c r="H151" s="1689">
        <f t="shared" si="16"/>
        <v>0</v>
      </c>
      <c r="I151" s="1689">
        <f t="shared" si="16"/>
        <v>0</v>
      </c>
      <c r="J151" s="1689">
        <f t="shared" si="16"/>
        <v>0</v>
      </c>
      <c r="K151" s="1689">
        <f t="shared" si="16"/>
        <v>110663</v>
      </c>
      <c r="L151" s="1689">
        <f>SUM(L129,L130,L139,L149,L150)</f>
        <v>141800</v>
      </c>
    </row>
    <row r="152" spans="1:14" ht="12.75" customHeight="1" thickTop="1" x14ac:dyDescent="0.2">
      <c r="A152" s="2205" t="s">
        <v>1240</v>
      </c>
      <c r="B152" s="2206"/>
      <c r="C152" s="619"/>
      <c r="D152" s="619"/>
      <c r="E152" s="619"/>
      <c r="F152" s="619"/>
      <c r="G152" s="619"/>
      <c r="H152" s="619"/>
      <c r="I152" s="619"/>
      <c r="J152" s="617"/>
      <c r="K152" s="1703">
        <f>'Revenues 9-14'!D275-'Expenditures 15-22'!K151</f>
        <v>51729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1954</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1953</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1955</v>
      </c>
      <c r="C158" s="617"/>
      <c r="D158" s="617"/>
      <c r="E158" s="617"/>
      <c r="F158" s="617"/>
      <c r="G158" s="617"/>
      <c r="H158" s="467"/>
      <c r="I158" s="617"/>
      <c r="J158" s="617"/>
      <c r="K158" s="1690">
        <f>H158</f>
        <v>0</v>
      </c>
      <c r="L158" s="467"/>
      <c r="M158" s="620"/>
      <c r="N158" s="620"/>
    </row>
    <row r="159" spans="1:14" s="621" customFormat="1" ht="12" x14ac:dyDescent="0.2">
      <c r="A159" s="1846" t="s">
        <v>1956</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1957</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6970</v>
      </c>
      <c r="I169" s="617"/>
      <c r="J169" s="617"/>
      <c r="K169" s="1690">
        <f>SUM(C169:H169)</f>
        <v>6970</v>
      </c>
      <c r="L169" s="657"/>
    </row>
    <row r="170" spans="1:14" ht="33.75" customHeight="1" x14ac:dyDescent="0.2">
      <c r="A170" s="670" t="s">
        <v>1769</v>
      </c>
      <c r="B170" s="672" t="s">
        <v>31</v>
      </c>
      <c r="C170" s="617"/>
      <c r="D170" s="617"/>
      <c r="E170" s="617"/>
      <c r="F170" s="617"/>
      <c r="G170" s="617"/>
      <c r="H170" s="569">
        <v>18000</v>
      </c>
      <c r="I170" s="617"/>
      <c r="J170" s="617"/>
      <c r="K170" s="1690">
        <f>SUM(C170:J170)</f>
        <v>18000</v>
      </c>
      <c r="L170" s="569">
        <v>26830</v>
      </c>
    </row>
    <row r="171" spans="1:14" ht="15.75" customHeight="1" x14ac:dyDescent="0.2">
      <c r="A171" s="622" t="s">
        <v>790</v>
      </c>
      <c r="B171" s="673" t="s">
        <v>86</v>
      </c>
      <c r="C171" s="617"/>
      <c r="D171" s="617"/>
      <c r="E171" s="466"/>
      <c r="F171" s="617"/>
      <c r="G171" s="617"/>
      <c r="H171" s="569"/>
      <c r="I171" s="477"/>
      <c r="J171" s="617"/>
      <c r="K171" s="1690">
        <f>SUM(C171:J171)</f>
        <v>0</v>
      </c>
      <c r="L171" s="569"/>
    </row>
    <row r="172" spans="1:14" ht="12.75" customHeight="1" thickBot="1" x14ac:dyDescent="0.25">
      <c r="A172" s="1687" t="s">
        <v>659</v>
      </c>
      <c r="B172" s="1688" t="s">
        <v>513</v>
      </c>
      <c r="C172" s="617"/>
      <c r="D172" s="617"/>
      <c r="E172" s="1696">
        <f>SUM(E168,E169,E170,E171)</f>
        <v>0</v>
      </c>
      <c r="F172" s="617"/>
      <c r="G172" s="617"/>
      <c r="H172" s="1696">
        <f>SUM(H168,H169,H170,H171)</f>
        <v>24970</v>
      </c>
      <c r="I172" s="639"/>
      <c r="J172" s="617"/>
      <c r="K172" s="1696">
        <f>SUM(K168,K169,K170,K171)</f>
        <v>24970</v>
      </c>
      <c r="L172" s="1696">
        <f>SUM(L168,L169,L170,L171)</f>
        <v>26830</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24970</v>
      </c>
      <c r="I174" s="639"/>
      <c r="J174" s="617"/>
      <c r="K174" s="1696">
        <f>SUM(K160,K172,K173)</f>
        <v>24970</v>
      </c>
      <c r="L174" s="1696">
        <f>SUM(L160,L172,L173)</f>
        <v>26830</v>
      </c>
    </row>
    <row r="175" spans="1:14" ht="13.5" thickTop="1" x14ac:dyDescent="0.2">
      <c r="A175" s="2212" t="s">
        <v>1053</v>
      </c>
      <c r="B175" s="2213"/>
      <c r="C175" s="617"/>
      <c r="D175" s="617"/>
      <c r="E175" s="617"/>
      <c r="F175" s="617"/>
      <c r="G175" s="617"/>
      <c r="H175" s="619"/>
      <c r="I175" s="617"/>
      <c r="J175" s="617"/>
      <c r="K175" s="1703">
        <f>'Revenues 9-14'!E275-'Expenditures 15-22'!K174</f>
        <v>-24860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8345</v>
      </c>
      <c r="D182" s="466">
        <v>122</v>
      </c>
      <c r="E182" s="466">
        <v>252670</v>
      </c>
      <c r="F182" s="466">
        <v>3010</v>
      </c>
      <c r="G182" s="466"/>
      <c r="H182" s="466"/>
      <c r="I182" s="467"/>
      <c r="J182" s="467"/>
      <c r="K182" s="1690">
        <f>SUM(C182:J182)</f>
        <v>264147</v>
      </c>
      <c r="L182" s="466">
        <v>271367</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8345</v>
      </c>
      <c r="D184" s="1696">
        <f t="shared" ref="D184:J184" si="17">SUM(D180,D182,D183)</f>
        <v>122</v>
      </c>
      <c r="E184" s="1696">
        <f t="shared" si="17"/>
        <v>252670</v>
      </c>
      <c r="F184" s="1696">
        <f t="shared" si="17"/>
        <v>3010</v>
      </c>
      <c r="G184" s="1696">
        <f t="shared" si="17"/>
        <v>0</v>
      </c>
      <c r="H184" s="1696">
        <f t="shared" si="17"/>
        <v>0</v>
      </c>
      <c r="I184" s="1696">
        <f t="shared" si="17"/>
        <v>0</v>
      </c>
      <c r="J184" s="1696">
        <f t="shared" si="17"/>
        <v>0</v>
      </c>
      <c r="K184" s="1696">
        <f>SUM(K180,K182,K183)</f>
        <v>264147</v>
      </c>
      <c r="L184" s="1696">
        <f>SUM(L180, L182:L183)</f>
        <v>271367</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8345</v>
      </c>
      <c r="D210" s="1689">
        <f>SUM(D184,D185)</f>
        <v>122</v>
      </c>
      <c r="E210" s="1689">
        <f>SUM(E184,E185,E196)</f>
        <v>252670</v>
      </c>
      <c r="F210" s="1689">
        <f>SUM(F184,F185)</f>
        <v>3010</v>
      </c>
      <c r="G210" s="1689">
        <f>SUM(G184,G185)</f>
        <v>0</v>
      </c>
      <c r="H210" s="1689">
        <f>SUM(H184,H185,H196,H208,H209)</f>
        <v>0</v>
      </c>
      <c r="I210" s="1689">
        <f>SUM(I184,I185)</f>
        <v>0</v>
      </c>
      <c r="J210" s="1689">
        <f>SUM(J184,J185)</f>
        <v>0</v>
      </c>
      <c r="K210" s="1690">
        <f>SUM(K184,K185,K196,K208,K209)</f>
        <v>264147</v>
      </c>
      <c r="L210" s="1689">
        <f>SUM(L184,L185,L196,L208,L209)</f>
        <v>271367</v>
      </c>
    </row>
    <row r="211" spans="1:14" ht="13.5" thickTop="1" x14ac:dyDescent="0.2">
      <c r="A211" s="2212" t="s">
        <v>1053</v>
      </c>
      <c r="B211" s="2213"/>
      <c r="C211" s="619"/>
      <c r="D211" s="619"/>
      <c r="E211" s="619"/>
      <c r="F211" s="619"/>
      <c r="G211" s="619"/>
      <c r="H211" s="619"/>
      <c r="I211" s="617"/>
      <c r="J211" s="617"/>
      <c r="K211" s="1703">
        <f>'Revenues 9-14'!F275-'Expenditures 15-22'!K210</f>
        <v>64849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20665</v>
      </c>
      <c r="E215" s="617"/>
      <c r="F215" s="617"/>
      <c r="G215" s="617"/>
      <c r="H215" s="617"/>
      <c r="I215" s="617"/>
      <c r="J215" s="617"/>
      <c r="K215" s="1690">
        <f>D215</f>
        <v>20665</v>
      </c>
      <c r="L215" s="466">
        <v>17736</v>
      </c>
    </row>
    <row r="216" spans="1:14" x14ac:dyDescent="0.2">
      <c r="A216" s="1523" t="s">
        <v>165</v>
      </c>
      <c r="B216" s="615" t="s">
        <v>1024</v>
      </c>
      <c r="C216" s="617"/>
      <c r="D216" s="467"/>
      <c r="E216" s="617"/>
      <c r="F216" s="617"/>
      <c r="G216" s="617"/>
      <c r="H216" s="617"/>
      <c r="I216" s="617"/>
      <c r="J216" s="617"/>
      <c r="K216" s="1690">
        <f t="shared" ref="K216:K228" si="19">D216</f>
        <v>0</v>
      </c>
      <c r="L216" s="466">
        <v>9464</v>
      </c>
    </row>
    <row r="217" spans="1:14" x14ac:dyDescent="0.2">
      <c r="A217" s="1523" t="s">
        <v>166</v>
      </c>
      <c r="B217" s="615">
        <v>1200</v>
      </c>
      <c r="C217" s="617"/>
      <c r="D217" s="466">
        <v>20830</v>
      </c>
      <c r="E217" s="617"/>
      <c r="F217" s="617"/>
      <c r="G217" s="617"/>
      <c r="H217" s="617"/>
      <c r="I217" s="617"/>
      <c r="J217" s="617"/>
      <c r="K217" s="1690">
        <f t="shared" si="19"/>
        <v>20830</v>
      </c>
      <c r="L217" s="466">
        <v>21225</v>
      </c>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v>969</v>
      </c>
      <c r="E219" s="617"/>
      <c r="F219" s="617"/>
      <c r="G219" s="617"/>
      <c r="H219" s="617"/>
      <c r="I219" s="617"/>
      <c r="J219" s="617"/>
      <c r="K219" s="1690">
        <f t="shared" si="19"/>
        <v>969</v>
      </c>
      <c r="L219" s="466"/>
    </row>
    <row r="220" spans="1:14" x14ac:dyDescent="0.2">
      <c r="A220" s="1523" t="s">
        <v>298</v>
      </c>
      <c r="B220" s="615" t="s">
        <v>163</v>
      </c>
      <c r="C220" s="617"/>
      <c r="D220" s="467"/>
      <c r="E220" s="617"/>
      <c r="F220" s="617"/>
      <c r="G220" s="617"/>
      <c r="H220" s="617"/>
      <c r="I220" s="617"/>
      <c r="J220" s="617"/>
      <c r="K220" s="1690">
        <f t="shared" si="19"/>
        <v>0</v>
      </c>
      <c r="L220" s="466">
        <v>682</v>
      </c>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v>3</v>
      </c>
      <c r="E222" s="617"/>
      <c r="F222" s="617"/>
      <c r="G222" s="617"/>
      <c r="H222" s="617"/>
      <c r="I222" s="617"/>
      <c r="J222" s="617"/>
      <c r="K222" s="1690">
        <f t="shared" si="19"/>
        <v>3</v>
      </c>
      <c r="L222" s="466">
        <v>416</v>
      </c>
    </row>
    <row r="223" spans="1:14" x14ac:dyDescent="0.2">
      <c r="A223" s="1523" t="s">
        <v>1020</v>
      </c>
      <c r="B223" s="615">
        <v>1500</v>
      </c>
      <c r="C223" s="617"/>
      <c r="D223" s="466">
        <v>3216</v>
      </c>
      <c r="E223" s="617"/>
      <c r="F223" s="617"/>
      <c r="G223" s="617"/>
      <c r="H223" s="617"/>
      <c r="I223" s="617"/>
      <c r="J223" s="617"/>
      <c r="K223" s="1690">
        <f t="shared" si="19"/>
        <v>3216</v>
      </c>
      <c r="L223" s="466">
        <v>3365</v>
      </c>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c r="E226" s="617"/>
      <c r="F226" s="617"/>
      <c r="G226" s="617"/>
      <c r="H226" s="617"/>
      <c r="I226" s="617"/>
      <c r="J226" s="617"/>
      <c r="K226" s="1690">
        <f t="shared" si="19"/>
        <v>0</v>
      </c>
      <c r="L226" s="466"/>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45683</v>
      </c>
      <c r="E229" s="617"/>
      <c r="F229" s="617"/>
      <c r="G229" s="617"/>
      <c r="H229" s="617"/>
      <c r="I229" s="617"/>
      <c r="J229" s="617"/>
      <c r="K229" s="1689">
        <f>SUM(K215:K228)</f>
        <v>45683</v>
      </c>
      <c r="L229" s="1689">
        <f>SUM(L215:L228)</f>
        <v>52888</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90">
        <f t="shared" ref="K232:K237" si="20">D232</f>
        <v>0</v>
      </c>
      <c r="L232" s="466"/>
    </row>
    <row r="233" spans="1:12" x14ac:dyDescent="0.2">
      <c r="A233" s="1523" t="s">
        <v>1151</v>
      </c>
      <c r="B233" s="615">
        <v>2120</v>
      </c>
      <c r="C233" s="617"/>
      <c r="D233" s="466">
        <v>4288</v>
      </c>
      <c r="E233" s="617"/>
      <c r="F233" s="617"/>
      <c r="G233" s="617"/>
      <c r="H233" s="617"/>
      <c r="I233" s="617"/>
      <c r="J233" s="617"/>
      <c r="K233" s="1690">
        <f t="shared" si="20"/>
        <v>4288</v>
      </c>
      <c r="L233" s="466">
        <v>4623</v>
      </c>
    </row>
    <row r="234" spans="1:12" x14ac:dyDescent="0.2">
      <c r="A234" s="1523" t="s">
        <v>207</v>
      </c>
      <c r="B234" s="615">
        <v>2130</v>
      </c>
      <c r="C234" s="617"/>
      <c r="D234" s="466"/>
      <c r="E234" s="617"/>
      <c r="F234" s="617"/>
      <c r="G234" s="617"/>
      <c r="H234" s="617"/>
      <c r="I234" s="617"/>
      <c r="J234" s="617"/>
      <c r="K234" s="1690">
        <f t="shared" si="20"/>
        <v>0</v>
      </c>
      <c r="L234" s="466"/>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v>248</v>
      </c>
      <c r="E236" s="617"/>
      <c r="F236" s="617"/>
      <c r="G236" s="617"/>
      <c r="H236" s="617"/>
      <c r="I236" s="617"/>
      <c r="J236" s="617"/>
      <c r="K236" s="1690">
        <f t="shared" si="20"/>
        <v>248</v>
      </c>
      <c r="L236" s="466">
        <v>248</v>
      </c>
    </row>
    <row r="237" spans="1:12" x14ac:dyDescent="0.2">
      <c r="A237" s="1523" t="s">
        <v>167</v>
      </c>
      <c r="B237" s="615">
        <v>2190</v>
      </c>
      <c r="C237" s="617"/>
      <c r="D237" s="466">
        <v>1642</v>
      </c>
      <c r="E237" s="617"/>
      <c r="F237" s="617"/>
      <c r="G237" s="617"/>
      <c r="H237" s="617"/>
      <c r="I237" s="617"/>
      <c r="J237" s="617"/>
      <c r="K237" s="1690">
        <f t="shared" si="20"/>
        <v>1642</v>
      </c>
      <c r="L237" s="466">
        <v>1644</v>
      </c>
    </row>
    <row r="238" spans="1:12" ht="12.75" customHeight="1" thickBot="1" x14ac:dyDescent="0.25">
      <c r="A238" s="1687" t="s">
        <v>581</v>
      </c>
      <c r="B238" s="1694" t="s">
        <v>740</v>
      </c>
      <c r="C238" s="617"/>
      <c r="D238" s="1689">
        <f>SUM(D232:D237)</f>
        <v>6178</v>
      </c>
      <c r="E238" s="617"/>
      <c r="F238" s="617"/>
      <c r="G238" s="617"/>
      <c r="H238" s="617"/>
      <c r="I238" s="617"/>
      <c r="J238" s="617"/>
      <c r="K238" s="1689">
        <f>SUM(K232:K237)</f>
        <v>6178</v>
      </c>
      <c r="L238" s="1689">
        <f>SUM(L232:L237)</f>
        <v>6515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106</v>
      </c>
      <c r="E240" s="617"/>
      <c r="F240" s="617"/>
      <c r="G240" s="617"/>
      <c r="H240" s="617"/>
      <c r="I240" s="617"/>
      <c r="J240" s="617"/>
      <c r="K240" s="1691">
        <f>D240</f>
        <v>106</v>
      </c>
      <c r="L240" s="481"/>
    </row>
    <row r="241" spans="1:12" x14ac:dyDescent="0.2">
      <c r="A241" s="1523" t="s">
        <v>869</v>
      </c>
      <c r="B241" s="615">
        <v>2220</v>
      </c>
      <c r="C241" s="617"/>
      <c r="D241" s="466"/>
      <c r="E241" s="617"/>
      <c r="F241" s="617"/>
      <c r="G241" s="617"/>
      <c r="H241" s="617"/>
      <c r="I241" s="617"/>
      <c r="J241" s="617"/>
      <c r="K241" s="1691">
        <f>D241</f>
        <v>0</v>
      </c>
      <c r="L241" s="466">
        <v>136</v>
      </c>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106</v>
      </c>
      <c r="E243" s="617"/>
      <c r="F243" s="617"/>
      <c r="G243" s="617"/>
      <c r="H243" s="617"/>
      <c r="I243" s="617"/>
      <c r="J243" s="617"/>
      <c r="K243" s="1689">
        <f>SUM(K240:K242)</f>
        <v>106</v>
      </c>
      <c r="L243" s="1689">
        <f>SUM(L240:L242)</f>
        <v>136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616</v>
      </c>
      <c r="E245" s="617"/>
      <c r="F245" s="617"/>
      <c r="G245" s="617"/>
      <c r="H245" s="617"/>
      <c r="I245" s="617"/>
      <c r="J245" s="617"/>
      <c r="K245" s="1691">
        <f>D245</f>
        <v>616</v>
      </c>
      <c r="L245" s="481">
        <v>617</v>
      </c>
    </row>
    <row r="246" spans="1:12" x14ac:dyDescent="0.2">
      <c r="A246" s="1523" t="s">
        <v>872</v>
      </c>
      <c r="B246" s="615">
        <v>2320</v>
      </c>
      <c r="C246" s="617"/>
      <c r="D246" s="466">
        <v>6659</v>
      </c>
      <c r="E246" s="617"/>
      <c r="F246" s="617"/>
      <c r="G246" s="617"/>
      <c r="H246" s="617"/>
      <c r="I246" s="617"/>
      <c r="J246" s="617"/>
      <c r="K246" s="1691">
        <f t="shared" ref="K246:K256" si="21">D246</f>
        <v>6659</v>
      </c>
      <c r="L246" s="466">
        <v>6229</v>
      </c>
    </row>
    <row r="247" spans="1:12" x14ac:dyDescent="0.2">
      <c r="A247" s="1523" t="s">
        <v>873</v>
      </c>
      <c r="B247" s="615">
        <v>2330</v>
      </c>
      <c r="C247" s="617"/>
      <c r="D247" s="466"/>
      <c r="E247" s="617"/>
      <c r="F247" s="617"/>
      <c r="G247" s="617"/>
      <c r="H247" s="617"/>
      <c r="I247" s="617"/>
      <c r="J247" s="617"/>
      <c r="K247" s="1691">
        <f t="shared" si="21"/>
        <v>0</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1905</v>
      </c>
      <c r="B249" s="684" t="s">
        <v>300</v>
      </c>
      <c r="C249" s="617"/>
      <c r="D249" s="474"/>
      <c r="E249" s="617"/>
      <c r="F249" s="617"/>
      <c r="G249" s="617"/>
      <c r="H249" s="617"/>
      <c r="I249" s="617"/>
      <c r="J249" s="617"/>
      <c r="K249" s="1691">
        <f t="shared" si="21"/>
        <v>0</v>
      </c>
      <c r="L249" s="466"/>
    </row>
    <row r="250" spans="1:12" x14ac:dyDescent="0.2">
      <c r="A250" s="1524" t="s">
        <v>1906</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7275</v>
      </c>
      <c r="E257" s="617"/>
      <c r="F257" s="617"/>
      <c r="G257" s="617"/>
      <c r="H257" s="617"/>
      <c r="I257" s="617"/>
      <c r="J257" s="617"/>
      <c r="K257" s="1689">
        <f>SUM(K245:K256)</f>
        <v>7275</v>
      </c>
      <c r="L257" s="1689">
        <f>SUM(L245:L256)</f>
        <v>6846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6165</v>
      </c>
      <c r="E259" s="617"/>
      <c r="F259" s="617"/>
      <c r="G259" s="617"/>
      <c r="H259" s="617"/>
      <c r="I259" s="617"/>
      <c r="J259" s="617"/>
      <c r="K259" s="1691">
        <f>D259</f>
        <v>6165</v>
      </c>
      <c r="L259" s="481">
        <v>6538</v>
      </c>
    </row>
    <row r="260" spans="1:14" s="598" customFormat="1" x14ac:dyDescent="0.2">
      <c r="A260" s="1541" t="s">
        <v>1904</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6165</v>
      </c>
      <c r="E261" s="617"/>
      <c r="F261" s="617"/>
      <c r="G261" s="617"/>
      <c r="H261" s="617"/>
      <c r="I261" s="617"/>
      <c r="J261" s="617"/>
      <c r="K261" s="1689">
        <f>SUM(K259:K260)</f>
        <v>6165</v>
      </c>
      <c r="L261" s="1689">
        <f>SUM(L259:L260)</f>
        <v>6538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v>2255</v>
      </c>
      <c r="E263" s="617"/>
      <c r="F263" s="617"/>
      <c r="G263" s="617"/>
      <c r="H263" s="617"/>
      <c r="I263" s="617"/>
      <c r="J263" s="617"/>
      <c r="K263" s="1691">
        <f>D263</f>
        <v>2255</v>
      </c>
      <c r="L263" s="481">
        <v>2259</v>
      </c>
    </row>
    <row r="264" spans="1:14" x14ac:dyDescent="0.2">
      <c r="A264" s="1523" t="s">
        <v>483</v>
      </c>
      <c r="B264" s="686">
        <v>2520</v>
      </c>
      <c r="C264" s="617"/>
      <c r="D264" s="466">
        <v>672</v>
      </c>
      <c r="E264" s="617"/>
      <c r="F264" s="617"/>
      <c r="G264" s="617"/>
      <c r="H264" s="617"/>
      <c r="I264" s="617"/>
      <c r="J264" s="617"/>
      <c r="K264" s="1691">
        <f t="shared" ref="K264:K269" si="22">D264</f>
        <v>672</v>
      </c>
      <c r="L264" s="466"/>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v>26918</v>
      </c>
      <c r="E266" s="617"/>
      <c r="F266" s="617"/>
      <c r="G266" s="617"/>
      <c r="H266" s="617"/>
      <c r="I266" s="617"/>
      <c r="J266" s="617"/>
      <c r="K266" s="1691">
        <f t="shared" si="22"/>
        <v>26918</v>
      </c>
      <c r="L266" s="466">
        <v>28024</v>
      </c>
    </row>
    <row r="267" spans="1:14" x14ac:dyDescent="0.2">
      <c r="A267" s="1523" t="s">
        <v>1010</v>
      </c>
      <c r="B267" s="615">
        <v>2550</v>
      </c>
      <c r="C267" s="617"/>
      <c r="D267" s="466">
        <v>121</v>
      </c>
      <c r="E267" s="617"/>
      <c r="F267" s="617"/>
      <c r="G267" s="617"/>
      <c r="H267" s="617"/>
      <c r="I267" s="617"/>
      <c r="J267" s="617"/>
      <c r="K267" s="1691">
        <f t="shared" si="22"/>
        <v>121</v>
      </c>
      <c r="L267" s="466">
        <v>121</v>
      </c>
    </row>
    <row r="268" spans="1:14" x14ac:dyDescent="0.2">
      <c r="A268" s="1523" t="s">
        <v>102</v>
      </c>
      <c r="B268" s="615">
        <v>2560</v>
      </c>
      <c r="C268" s="617"/>
      <c r="D268" s="466">
        <v>14180</v>
      </c>
      <c r="E268" s="617"/>
      <c r="F268" s="617"/>
      <c r="G268" s="617"/>
      <c r="H268" s="617"/>
      <c r="I268" s="617"/>
      <c r="J268" s="617"/>
      <c r="K268" s="1691">
        <f t="shared" si="22"/>
        <v>14180</v>
      </c>
      <c r="L268" s="466">
        <v>13684</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44146</v>
      </c>
      <c r="E270" s="617"/>
      <c r="F270" s="617"/>
      <c r="G270" s="617"/>
      <c r="H270" s="617"/>
      <c r="I270" s="617"/>
      <c r="J270" s="617"/>
      <c r="K270" s="1689">
        <f>SUM(K263:K269)</f>
        <v>44146</v>
      </c>
      <c r="L270" s="1689">
        <f>SUM(L263:L269)</f>
        <v>44088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c r="E275" s="617"/>
      <c r="F275" s="617"/>
      <c r="G275" s="617"/>
      <c r="H275" s="617"/>
      <c r="I275" s="617"/>
      <c r="J275" s="617"/>
      <c r="K275" s="1691">
        <f>D275</f>
        <v>0</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1037</v>
      </c>
      <c r="B278" s="656" t="s">
        <v>595</v>
      </c>
      <c r="C278" s="617"/>
      <c r="D278" s="657">
        <v>466</v>
      </c>
      <c r="E278" s="617"/>
      <c r="F278" s="617"/>
      <c r="G278" s="617"/>
      <c r="H278" s="617"/>
      <c r="I278" s="617"/>
      <c r="J278" s="617"/>
      <c r="K278" s="1704">
        <f>D278</f>
        <v>466</v>
      </c>
      <c r="L278" s="657"/>
    </row>
    <row r="279" spans="1:12" ht="12.75" customHeight="1" thickBot="1" x14ac:dyDescent="0.25">
      <c r="A279" s="1717" t="s">
        <v>865</v>
      </c>
      <c r="B279" s="1700">
        <v>2000</v>
      </c>
      <c r="C279" s="617"/>
      <c r="D279" s="1696">
        <f>SUM(D238,D243,D257,D261,D270,D277,D278)</f>
        <v>64336</v>
      </c>
      <c r="E279" s="617"/>
      <c r="F279" s="617"/>
      <c r="G279" s="617"/>
      <c r="H279" s="617"/>
      <c r="I279" s="617"/>
      <c r="J279" s="617"/>
      <c r="K279" s="1696">
        <f>SUM(K238,K243,K257,K261,K270,K277,K278)</f>
        <v>64336</v>
      </c>
      <c r="L279" s="1696">
        <f>SUM(L238,L243,L257,L261,L270,L277,L278)</f>
        <v>64123</v>
      </c>
    </row>
    <row r="280" spans="1:12" ht="15.75" customHeight="1" thickTop="1" thickBot="1" x14ac:dyDescent="0.25">
      <c r="A280" s="1643" t="s">
        <v>930</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1953</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89">
        <f>SUM(D229,D279,D280,D285)</f>
        <v>110019</v>
      </c>
      <c r="E295" s="617"/>
      <c r="F295" s="617"/>
      <c r="G295" s="617"/>
      <c r="H295" s="1689">
        <f>H293</f>
        <v>0</v>
      </c>
      <c r="I295" s="617"/>
      <c r="J295" s="617"/>
      <c r="K295" s="1689">
        <f>SUM(K229,K279,K280,K285,K293,K294)</f>
        <v>110019</v>
      </c>
      <c r="L295" s="1689">
        <f>SUM(L229,L279,L280,L285,L293,L294)</f>
        <v>117011</v>
      </c>
    </row>
    <row r="296" spans="1:14" ht="13.5" thickTop="1" x14ac:dyDescent="0.2">
      <c r="A296" s="2212" t="s">
        <v>1053</v>
      </c>
      <c r="B296" s="2213"/>
      <c r="C296" s="617"/>
      <c r="D296" s="619"/>
      <c r="E296" s="617"/>
      <c r="F296" s="617"/>
      <c r="G296" s="617"/>
      <c r="H296" s="688"/>
      <c r="I296" s="617"/>
      <c r="J296" s="617"/>
      <c r="K296" s="1703">
        <f>'Revenues 9-14'!G275-'Expenditures 15-22'!K295</f>
        <v>17140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c r="H301" s="466"/>
      <c r="I301" s="467"/>
      <c r="J301" s="467"/>
      <c r="K301" s="1690">
        <f>SUM(C301:J301)</f>
        <v>0</v>
      </c>
      <c r="L301" s="467"/>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1958</v>
      </c>
      <c r="B306" s="691" t="s">
        <v>1953</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96" t="s">
        <v>1053</v>
      </c>
      <c r="B313" s="2197"/>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1905</v>
      </c>
      <c r="B320" s="699" t="s">
        <v>300</v>
      </c>
      <c r="C320" s="467"/>
      <c r="D320" s="467"/>
      <c r="E320" s="467"/>
      <c r="F320" s="467"/>
      <c r="G320" s="467"/>
      <c r="H320" s="467"/>
      <c r="I320" s="467"/>
      <c r="J320" s="467"/>
      <c r="K320" s="1690">
        <f t="shared" ref="K320:K327" si="24">SUM(C320:J320)</f>
        <v>0</v>
      </c>
      <c r="L320" s="467"/>
      <c r="M320" s="666"/>
      <c r="N320" s="666"/>
    </row>
    <row r="321" spans="1:14" s="675" customFormat="1" x14ac:dyDescent="0.2">
      <c r="A321" s="1538"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38" t="s">
        <v>256</v>
      </c>
      <c r="B322" s="698" t="s">
        <v>302</v>
      </c>
      <c r="C322" s="467"/>
      <c r="D322" s="467"/>
      <c r="E322" s="467">
        <v>27428</v>
      </c>
      <c r="F322" s="467"/>
      <c r="G322" s="467"/>
      <c r="H322" s="467"/>
      <c r="I322" s="467"/>
      <c r="J322" s="467"/>
      <c r="K322" s="1690">
        <f t="shared" si="24"/>
        <v>27428</v>
      </c>
      <c r="L322" s="467">
        <v>27428</v>
      </c>
      <c r="M322" s="666"/>
      <c r="N322" s="666"/>
    </row>
    <row r="323" spans="1:14" s="675" customFormat="1" x14ac:dyDescent="0.2">
      <c r="A323" s="1538"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27428</v>
      </c>
      <c r="F330" s="1689">
        <f t="shared" si="25"/>
        <v>0</v>
      </c>
      <c r="G330" s="1689">
        <f t="shared" si="25"/>
        <v>0</v>
      </c>
      <c r="H330" s="1689">
        <f t="shared" si="25"/>
        <v>0</v>
      </c>
      <c r="I330" s="1689">
        <f t="shared" si="25"/>
        <v>0</v>
      </c>
      <c r="J330" s="1689">
        <f t="shared" si="25"/>
        <v>0</v>
      </c>
      <c r="K330" s="1689">
        <f>SUM(K319:K329)</f>
        <v>27428</v>
      </c>
      <c r="L330" s="1689">
        <f>SUM(L319:L329)</f>
        <v>27428</v>
      </c>
      <c r="M330" s="666"/>
      <c r="N330" s="666"/>
    </row>
    <row r="331" spans="1:14" s="675" customFormat="1" ht="12.75" customHeight="1" thickTop="1" x14ac:dyDescent="0.2">
      <c r="A331" s="1851" t="s">
        <v>1959</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1953</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1955</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1960</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27428</v>
      </c>
      <c r="F342" s="1689">
        <f>SUM(F330)</f>
        <v>0</v>
      </c>
      <c r="G342" s="1689">
        <f>SUM(G330)</f>
        <v>0</v>
      </c>
      <c r="H342" s="1689">
        <f>SUM(H330,H334,H340)</f>
        <v>0</v>
      </c>
      <c r="I342" s="1689">
        <f>SUM(I330)</f>
        <v>0</v>
      </c>
      <c r="J342" s="1689">
        <f>SUM(J330)</f>
        <v>0</v>
      </c>
      <c r="K342" s="1689">
        <f>SUM(K330,K334,K340)</f>
        <v>27428</v>
      </c>
      <c r="L342" s="1696">
        <f>SUM(L330,L340,L341)</f>
        <v>27428</v>
      </c>
    </row>
    <row r="343" spans="1:14" ht="12.75" customHeight="1" thickTop="1" x14ac:dyDescent="0.2">
      <c r="A343" s="2198" t="s">
        <v>1053</v>
      </c>
      <c r="B343" s="2199"/>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1961</v>
      </c>
      <c r="B354" s="684" t="s">
        <v>1953</v>
      </c>
      <c r="C354" s="617"/>
      <c r="D354" s="617"/>
      <c r="E354" s="617"/>
      <c r="F354" s="617"/>
      <c r="G354" s="617"/>
      <c r="H354" s="474"/>
      <c r="I354" s="702"/>
      <c r="J354" s="617"/>
      <c r="K354" s="1718">
        <f>H354</f>
        <v>0</v>
      </c>
      <c r="L354" s="471"/>
    </row>
    <row r="355" spans="1:14" ht="12.75" customHeight="1" x14ac:dyDescent="0.2">
      <c r="A355" s="1532" t="s">
        <v>1962</v>
      </c>
      <c r="B355" s="691" t="s">
        <v>1955</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212" t="s">
        <v>1053</v>
      </c>
      <c r="B368" s="2213"/>
      <c r="C368" s="655"/>
      <c r="D368" s="655"/>
      <c r="E368" s="627"/>
      <c r="F368" s="627"/>
      <c r="G368" s="627"/>
      <c r="H368" s="627"/>
      <c r="I368" s="627"/>
      <c r="J368" s="624"/>
      <c r="K368" s="1690">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1"/>
  <pageMargins left="1" right="0.3" top="1" bottom="0.48" header="0.5" footer="0.3"/>
  <pageSetup scale="65" firstPageNumber="7" fitToHeight="0" orientation="landscape" useFirstPageNumber="1" r:id="rId1"/>
  <headerFooter alignWithMargins="0">
    <oddHeader>&amp;C&amp;"Arial,Bold"&amp;9STATEMENT OF EXPENDITUIRES DISBURSED/EXPENDITURES, BUDGET TO ACTUAL
FOR THE YEAR ENDING JUNE 30, 2018</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 - 1</vt:lpstr>
      <vt:lpstr> SEFA - 2</vt:lpstr>
      <vt:lpstr> SEFA - 3</vt:lpstr>
      <vt:lpstr> SEFA - 4</vt:lpstr>
      <vt:lpstr> SEFA - 5</vt:lpstr>
      <vt:lpstr>SEFA NOTES</vt:lpstr>
      <vt:lpstr>SF&amp;QC Sec-1</vt:lpstr>
      <vt:lpstr>SF&amp;QC Sec-2</vt:lpstr>
      <vt:lpstr>SF&amp;QC Sec-3</vt:lpstr>
      <vt:lpstr>SSPAF</vt:lpstr>
      <vt:lpstr>' SEFA - 1'!Print_Area</vt:lpstr>
      <vt:lpstr>' SEFA - 2'!Print_Area</vt:lpstr>
      <vt:lpstr>' SEFA - 3'!Print_Area</vt:lpstr>
      <vt:lpstr>' SEFA - 4'!Print_Area</vt:lpstr>
      <vt:lpstr>' SEFA - 5'!Print_Area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2018-12-07T20:54:56Z</cp:lastPrinted>
  <dcterms:created xsi:type="dcterms:W3CDTF">2003-10-29T19:06:34Z</dcterms:created>
  <dcterms:modified xsi:type="dcterms:W3CDTF">2018-12-17T17:03:41Z</dcterms:modified>
</cp:coreProperties>
</file>