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27">#REF!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27">#REF!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27">#REF!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27">#REF!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27">#REF!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8" i="12"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D7764" i="106" s="1"/>
  <c r="J85" i="28"/>
  <c r="B7758" i="106" s="1"/>
  <c r="D7758" i="106" s="1"/>
  <c r="J88" i="28"/>
  <c r="K6" i="29"/>
  <c r="B7763" i="106" s="1"/>
  <c r="B7762" i="106"/>
  <c r="K12" i="12"/>
  <c r="K23" i="12"/>
  <c r="K24" i="12" s="1"/>
  <c r="B7733" i="106" s="1"/>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J34" i="8" s="1"/>
  <c r="I35" i="8"/>
  <c r="J35" i="8" s="1"/>
  <c r="J49" i="8" s="1"/>
  <c r="B4172" i="106" s="1"/>
  <c r="D4172" i="106" s="1"/>
  <c r="I36" i="8"/>
  <c r="J36" i="8" s="1"/>
  <c r="I37" i="8"/>
  <c r="J37" i="8" s="1"/>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c r="B6661" i="106"/>
  <c r="D6661" i="106" s="1"/>
  <c r="B6662" i="106"/>
  <c r="D6662" i="106" s="1"/>
  <c r="B6663" i="106"/>
  <c r="D6663" i="106" s="1"/>
  <c r="B6664" i="106"/>
  <c r="D6664" i="106" s="1"/>
  <c r="B6665" i="106"/>
  <c r="D6665" i="106"/>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c r="B6681" i="106"/>
  <c r="D6681" i="106"/>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71" i="36"/>
  <c r="D79" i="36"/>
  <c r="B64" i="127"/>
  <c r="B65"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H29" i="118"/>
  <c r="D11" i="37"/>
  <c r="D22" i="37"/>
  <c r="J22" i="37"/>
  <c r="D24" i="37"/>
  <c r="B4270" i="106" s="1"/>
  <c r="D4270" i="106" s="1"/>
  <c r="L5" i="11"/>
  <c r="B2056" i="106" s="1"/>
  <c r="D2056" i="106" s="1"/>
  <c r="F42" i="34" l="1"/>
  <c r="D31" i="108"/>
  <c r="D13" i="7"/>
  <c r="B3726" i="106" s="1"/>
  <c r="D3726" i="106" s="1"/>
  <c r="F26" i="108"/>
  <c r="N22" i="3"/>
  <c r="B283" i="106" s="1"/>
  <c r="D283" i="106" s="1"/>
  <c r="F68" i="34"/>
  <c r="G33" i="108"/>
  <c r="F38" i="34"/>
  <c r="B7078" i="106"/>
  <c r="D7078" i="106" s="1"/>
  <c r="F50" i="34"/>
  <c r="F46" i="34"/>
  <c r="F45" i="34"/>
  <c r="I210" i="29"/>
  <c r="B7071" i="106" s="1"/>
  <c r="D7071" i="106" s="1"/>
  <c r="D36" i="108"/>
  <c r="D26" i="108"/>
  <c r="F64" i="34"/>
  <c r="F36" i="108"/>
  <c r="F70" i="34"/>
  <c r="F41" i="34"/>
  <c r="E35" i="108"/>
  <c r="D6103" i="106"/>
  <c r="F35" i="34"/>
  <c r="K26" i="12"/>
  <c r="B7743" i="106" s="1"/>
  <c r="D7743" i="106" s="1"/>
  <c r="I24" i="12"/>
  <c r="I26" i="12" s="1"/>
  <c r="B7741" i="106" s="1"/>
  <c r="D7741" i="106" s="1"/>
  <c r="H28" i="118"/>
  <c r="K28" i="118" s="1"/>
  <c r="O27" i="118" s="1"/>
  <c r="O29" i="118" s="1"/>
  <c r="G35" i="108"/>
  <c r="B1746" i="106"/>
  <c r="D1746" i="106" s="1"/>
  <c r="F49" i="34"/>
  <c r="F21" i="8"/>
  <c r="B1879" i="106" s="1"/>
  <c r="D1879" i="106" s="1"/>
  <c r="D5" i="4"/>
  <c r="B3406" i="106" s="1"/>
  <c r="D3406" i="106" s="1"/>
  <c r="G172" i="5"/>
  <c r="G173" i="5" s="1"/>
  <c r="B5778" i="106" s="1"/>
  <c r="D5778" i="106" s="1"/>
  <c r="L15" i="11"/>
  <c r="B3459" i="106" s="1"/>
  <c r="D3459" i="106" s="1"/>
  <c r="H33" i="118"/>
  <c r="J210" i="29"/>
  <c r="B7072" i="106" s="1"/>
  <c r="D7072" i="106" s="1"/>
  <c r="C129" i="29"/>
  <c r="F131"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B5770" i="106" l="1"/>
  <c r="D5770" i="106" s="1"/>
  <c r="D7251" i="106"/>
  <c r="F66" i="34"/>
  <c r="D41" i="108"/>
  <c r="E43" i="108" s="1"/>
  <c r="H77" i="4"/>
  <c r="B3299" i="106" s="1"/>
  <c r="D3299" i="106" s="1"/>
  <c r="D7253" i="106"/>
  <c r="D7256" i="106"/>
  <c r="B1996" i="106"/>
  <c r="D1996" i="106" s="1"/>
  <c r="J24" i="12"/>
  <c r="B7732" i="106" s="1"/>
  <c r="D7732" i="106" s="1"/>
  <c r="D7250" i="106"/>
  <c r="I7" i="4"/>
  <c r="B4444" i="106" s="1"/>
  <c r="D4444" i="106" s="1"/>
  <c r="H22" i="37"/>
  <c r="J151" i="29"/>
  <c r="B7052" i="106" s="1"/>
  <c r="D7052" i="106" s="1"/>
  <c r="L16" i="11"/>
  <c r="B2061" i="106" s="1"/>
  <c r="D2061" i="106" s="1"/>
  <c r="B2031" i="106"/>
  <c r="D203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J26" i="12" l="1"/>
  <c r="B7742" i="106" s="1"/>
  <c r="D7742" i="106" s="1"/>
  <c r="F24" i="37"/>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<sst xmlns="http://schemas.openxmlformats.org/spreadsheetml/2006/main" count="5107" uniqueCount="2147">
  <si>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</si>
  <si>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</si>
  <si>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</si>
  <si>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</si>
  <si>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</si>
  <si>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</si>
  <si>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</si>
  <si>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</si>
  <si>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</si>
  <si>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</si>
  <si>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</si>
  <si>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</si>
  <si>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</si>
  <si>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</si>
  <si>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</si>
  <si>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</si>
  <si>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</si>
  <si>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</si>
  <si>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</si>
  <si>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</si>
  <si>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</si>
  <si>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</si>
  <si>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</si>
  <si>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</si>
  <si>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</si>
  <si>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</si>
  <si>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</si>
  <si>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</si>
  <si>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</si>
  <si>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</si>
  <si>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</si>
  <si>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</si>
  <si>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</si>
  <si>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</si>
  <si>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</si>
  <si>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</si>
  <si>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</si>
  <si>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</si>
  <si>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</si>
  <si>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</si>
  <si>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</si>
  <si>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</si>
  <si>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</si>
  <si>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</si>
  <si>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</si>
  <si>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</si>
  <si>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</si>
  <si>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</si>
  <si>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</si>
  <si>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</si>
  <si>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</si>
  <si>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</si>
  <si>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</si>
  <si>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</si>
  <si>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</si>
  <si>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</si>
  <si>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</si>
  <si>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</si>
  <si>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</si>
  <si>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</si>
  <si>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</si>
  <si>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</si>
  <si>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</si>
  <si>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</si>
  <si>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</si>
  <si>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</si>
  <si>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</si>
  <si>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</si>
  <si>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</si>
  <si>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</si>
  <si>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</si>
  <si>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</si>
  <si>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</si>
  <si>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</si>
  <si>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</si>
  <si>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</si>
  <si>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</si>
  <si>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</si>
  <si>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</si>
  <si>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</si>
  <si>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</si>
  <si>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</si>
  <si>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</si>
  <si>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</si>
  <si>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</si>
  <si>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</si>
  <si>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</si>
  <si>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</si>
  <si>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</si>
  <si>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</si>
  <si>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</si>
  <si>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</si>
  <si>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</si>
  <si>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</si>
  <si>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</si>
  <si>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</si>
  <si>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</si>
  <si>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</si>
  <si>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</si>
  <si>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</si>
  <si>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</si>
  <si>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</si>
  <si>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</si>
  <si>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</si>
  <si>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</si>
  <si>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</si>
  <si>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</si>
  <si>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</si>
  <si>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</si>
  <si>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</si>
  <si>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</si>
  <si>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</si>
  <si>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</si>
  <si>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</si>
  <si>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</si>
  <si>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</si>
  <si>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</si>
  <si>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</si>
  <si>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</si>
  <si>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</si>
  <si>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</si>
  <si>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</si>
  <si>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</si>
  <si>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</si>
  <si>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</si>
  <si>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</si>
  <si>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</si>
  <si>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</si>
  <si>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</si>
  <si>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</si>
  <si>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</si>
  <si>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</si>
  <si>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</si>
  <si>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</si>
  <si>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</si>
  <si>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</si>
  <si>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</si>
  <si>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</si>
  <si>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</si>
  <si>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</si>
  <si>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</si>
  <si>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</si>
  <si>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</si>
  <si>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</si>
  <si>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</si>
  <si>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</si>
  <si>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</si>
  <si>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</si>
  <si>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</si>
  <si>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</si>
  <si>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</si>
  <si>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</si>
  <si>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</si>
  <si>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</si>
  <si>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</si>
  <si>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</si>
  <si>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</si>
  <si>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</si>
  <si>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</si>
  <si>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</si>
  <si>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</si>
  <si>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</si>
  <si>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</si>
  <si>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</si>
  <si>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</si>
  <si>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</si>
  <si>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</si>
  <si>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</si>
  <si>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</si>
  <si>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</si>
  <si>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</si>
  <si>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</si>
  <si>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</si>
  <si>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</si>
  <si>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</si>
  <si>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</si>
  <si>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</si>
  <si>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</si>
  <si>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</si>
  <si>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</si>
  <si>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</si>
  <si>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</si>
  <si>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</si>
  <si>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</si>
  <si>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</si>
  <si>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</si>
  <si>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</si>
  <si>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</si>
  <si>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</si>
  <si>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</si>
  <si>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</si>
  <si>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</si>
  <si>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</si>
  <si>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</si>
  <si>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</si>
  <si>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</si>
  <si>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</si>
  <si>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</si>
  <si>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</si>
  <si>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</si>
  <si>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</si>
  <si>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</si>
  <si>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</si>
  <si>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</si>
  <si>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</si>
  <si>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</si>
  <si>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</si>
  <si>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</si>
  <si>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</si>
  <si>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</si>
  <si>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</si>
  <si>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</si>
  <si>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</si>
  <si>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</si>
  <si>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</si>
  <si>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</si>
  <si>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</si>
  <si>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</si>
  <si>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</si>
  <si>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</si>
  <si>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</si>
  <si>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</si>
  <si>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</si>
  <si>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</si>
  <si>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</si>
  <si>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</si>
  <si>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</si>
  <si>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</si>
  <si>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</si>
  <si>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</si>
  <si>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</si>
  <si>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</si>
  <si>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</si>
  <si>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</si>
  <si>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</si>
  <si>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</si>
  <si>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</si>
  <si>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</si>
  <si>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</si>
  <si>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</si>
  <si>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</si>
  <si>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</si>
  <si>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</si>
  <si>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</si>
  <si>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</si>
  <si>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</si>
  <si>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</si>
  <si>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</si>
  <si>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</si>
  <si>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</si>
  <si>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</si>
  <si>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</si>
  <si>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</si>
  <si>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</si>
  <si>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</si>
  <si>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</si>
  <si>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</si>
  <si>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</si>
  <si>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</si>
  <si>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</si>
  <si>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</si>
  <si>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</si>
  <si>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</si>
  <si>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</si>
  <si>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</si>
  <si>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</si>
  <si>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</si>
  <si>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</si>
  <si>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</si>
  <si>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</si>
  <si>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</si>
  <si>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</si>
  <si>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</si>
  <si>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</si>
  <si>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</si>
  <si>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</si>
  <si>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</si>
  <si>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</si>
  <si>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</si>
  <si>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</si>
  <si>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</si>
  <si>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</si>
  <si>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</si>
  <si>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</si>
  <si>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</si>
  <si>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</si>
  <si>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</si>
  <si>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</si>
  <si>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</si>
  <si>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</si>
  <si>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</si>
  <si>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</si>
  <si>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</si>
  <si>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</si>
  <si>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</si>
  <si>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</si>
  <si>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</si>
  <si>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</si>
  <si>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</si>
  <si>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</si>
  <si>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</si>
  <si>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</si>
  <si>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</si>
  <si>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</si>
  <si>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</si>
  <si>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</si>
  <si>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</si>
  <si>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</si>
  <si>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</si>
  <si>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</si>
  <si>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</si>
  <si>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</si>
  <si>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</si>
  <si>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</si>
  <si>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</si>
  <si>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</si>
  <si>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</si>
  <si>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</si>
  <si>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</si>
  <si>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</si>
  <si>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</si>
  <si>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</si>
  <si>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</si>
  <si>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</si>
  <si>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</si>
  <si>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</si>
  <si>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</si>
  <si>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</si>
  <si>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</si>
  <si>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</si>
  <si>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</si>
  <si>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</si>
  <si>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</si>
  <si>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</si>
  <si>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</si>
  <si>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</si>
  <si>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</si>
  <si>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</si>
  <si>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</si>
  <si>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</si>
  <si>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</si>
  <si>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</si>
  <si>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</si>
  <si>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</si>
  <si>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</si>
  <si>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</si>
  <si>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</si>
  <si>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</si>
  <si>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</si>
  <si>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</si>
  <si>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</si>
  <si>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</si>
  <si>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</si>
  <si>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</si>
  <si>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</si>
  <si>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</si>
  <si>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</si>
  <si>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</si>
  <si>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</si>
  <si>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</si>
  <si>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</si>
  <si>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</si>
  <si>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</si>
  <si>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</si>
  <si>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</si>
  <si>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</si>
  <si>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</si>
  <si>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</si>
  <si>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</si>
  <si>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</si>
  <si>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</si>
  <si>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</si>
  <si>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</si>
  <si>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</si>
  <si>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</si>
  <si>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</si>
  <si>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</si>
  <si>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</si>
  <si>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</si>
  <si>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</si>
  <si>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</si>
  <si>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</si>
  <si>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</si>
  <si>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</si>
  <si>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</si>
  <si>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</si>
  <si>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</si>
  <si>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</si>
  <si>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</si>
  <si>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</si>
  <si>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</si>
  <si>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</si>
  <si>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</si>
  <si>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</si>
  <si>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</si>
  <si>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</si>
  <si>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</si>
  <si>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</si>
  <si>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</si>
  <si>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</si>
  <si>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</si>
  <si>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</si>
  <si>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</si>
  <si>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</si>
  <si>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</si>
  <si>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</si>
  <si>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</si>
  <si>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</si>
  <si>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</si>
  <si>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</si>
  <si>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</si>
  <si>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</si>
  <si>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</si>
  <si>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</si>
  <si>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</si>
  <si>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</si>
  <si>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</si>
  <si>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</si>
  <si>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</si>
  <si>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</si>
  <si>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</si>
  <si>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</si>
  <si>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</si>
  <si>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</si>
  <si>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</si>
  <si>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</si>
  <si>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</si>
  <si>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</si>
  <si>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</si>
  <si>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</si>
  <si>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</si>
  <si>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</si>
  <si>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</si>
  <si>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</si>
  <si>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</si>
  <si>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</si>
  <si>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</si>
  <si>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</si>
  <si>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</si>
  <si>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</si>
  <si>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</si>
  <si>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</si>
  <si>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</si>
  <si>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</si>
  <si>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</si>
  <si>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</si>
  <si>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</si>
  <si>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</si>
  <si>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</si>
  <si>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</si>
  <si>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</si>
  <si>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</si>
  <si>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</si>
  <si>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</si>
  <si>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</si>
  <si>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</si>
  <si>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</si>
  <si>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</si>
  <si>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</si>
  <si>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</si>
  <si>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</si>
  <si>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</si>
  <si>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</si>
  <si>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</si>
  <si>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</si>
  <si>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</si>
  <si>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</si>
  <si>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</si>
  <si>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</si>
  <si>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</si>
  <si>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</si>
  <si>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</si>
  <si>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</si>
  <si>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</si>
  <si>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</si>
  <si>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</si>
  <si>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</si>
  <si>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</si>
  <si>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</si>
  <si>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</si>
  <si>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</si>
  <si>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</si>
  <si>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</si>
  <si>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</si>
  <si>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</si>
  <si>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</si>
  <si>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</si>
  <si>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</si>
  <si>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</si>
  <si>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</si>
  <si>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</si>
  <si>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</si>
  <si>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</si>
  <si>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</si>
  <si>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</si>
  <si>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</si>
  <si>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</si>
  <si>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</si>
  <si>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</si>
  <si>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</si>
  <si>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</si>
  <si>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</si>
  <si>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</si>
  <si>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</si>
  <si>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</si>
  <si>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</si>
  <si>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</si>
  <si>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</si>
  <si>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</si>
  <si>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</si>
  <si>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</si>
  <si>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</si>
  <si>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</si>
  <si>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</si>
  <si>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</si>
  <si>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</si>
  <si>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</si>
  <si>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</si>
  <si>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</si>
  <si>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</si>
  <si>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</si>
  <si>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</si>
  <si>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</si>
  <si>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</si>
  <si>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</si>
  <si>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</si>
  <si>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</si>
  <si>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</si>
  <si>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</si>
  <si>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</si>
  <si>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</si>
  <si>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</si>
  <si>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</si>
  <si>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</si>
  <si>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</si>
  <si>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</si>
  <si>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</si>
  <si>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</si>
  <si>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</si>
  <si>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</si>
  <si>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</si>
  <si>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</si>
  <si>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</si>
  <si>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</si>
  <si>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</si>
  <si>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</si>
  <si>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</si>
  <si>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</si>
  <si>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</si>
  <si>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</si>
  <si>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</si>
  <si>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</si>
  <si>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</si>
  <si>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</si>
  <si>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</si>
  <si>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</si>
  <si>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</si>
  <si>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</si>
  <si>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</si>
  <si>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</si>
  <si>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</si>
  <si>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</si>
  <si>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</si>
  <si>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</si>
  <si>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</si>
  <si>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</si>
  <si>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</si>
  <si>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</si>
  <si>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</si>
  <si>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</si>
  <si>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</si>
  <si>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</si>
  <si>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</si>
  <si>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</si>
  <si>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</si>
  <si>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</si>
  <si>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</si>
  <si>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</si>
  <si>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</si>
  <si>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</si>
  <si>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</si>
  <si>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</si>
  <si>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</si>
  <si>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</si>
  <si>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</si>
  <si>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</si>
  <si>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</si>
  <si>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</si>
  <si>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</si>
  <si>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</si>
  <si>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</si>
  <si>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</si>
  <si>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</si>
  <si>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</si>
  <si>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</si>
  <si>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</si>
  <si>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</si>
  <si>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</si>
  <si>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</si>
  <si>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</si>
  <si>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</si>
  <si>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</si>
  <si>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</si>
  <si>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</si>
  <si>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</si>
  <si>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</si>
  <si>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</si>
  <si>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</si>
  <si>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</si>
  <si>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</si>
  <si>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</si>
  <si>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</si>
  <si>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</si>
  <si>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</si>
  <si>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</si>
  <si>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</si>
  <si>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</si>
  <si>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</si>
  <si>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</si>
  <si>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</si>
  <si>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</si>
  <si>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</si>
  <si>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</si>
  <si>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</si>
  <si>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</si>
  <si>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</si>
  <si>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</si>
  <si>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</si>
  <si>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</si>
  <si>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</si>
  <si>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</si>
  <si>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</si>
  <si>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</si>
  <si>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</si>
  <si>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</si>
  <si>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</si>
  <si>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</si>
  <si>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</si>
  <si>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</si>
  <si>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</si>
  <si>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</si>
  <si>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</si>
  <si>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</si>
  <si>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</si>
  <si>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</si>
  <si>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</si>
  <si>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</si>
  <si>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</si>
  <si>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</si>
  <si>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</si>
  <si>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</si>
  <si>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</si>
  <si>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</si>
  <si>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</si>
  <si>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</si>
  <si>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</si>
  <si>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</si>
  <si>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</si>
  <si>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</si>
  <si>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</si>
  <si>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</si>
  <si>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</si>
  <si>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</si>
  <si>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</si>
  <si>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</si>
  <si>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</si>
  <si>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</si>
  <si>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</si>
  <si>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</si>
  <si>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</si>
  <si>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</si>
  <si>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</si>
  <si>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</si>
  <si>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</si>
  <si>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</si>
  <si>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</si>
  <si>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</si>
  <si>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</si>
  <si>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</si>
  <si>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</si>
  <si>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</si>
  <si>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</si>
  <si>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</si>
  <si>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</si>
  <si>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</si>
  <si>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</si>
  <si>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</si>
  <si>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</si>
  <si>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</si>
  <si>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</si>
  <si>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</si>
  <si>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</si>
  <si>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</si>
  <si>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</si>
  <si>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</si>
  <si>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</si>
  <si>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</si>
  <si>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</si>
  <si>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</si>
  <si>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</si>
  <si>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</si>
  <si>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</si>
  <si>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</si>
  <si>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</si>
  <si>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</si>
  <si>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</si>
  <si>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</si>
  <si>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</si>
  <si>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</si>
  <si>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</si>
  <si>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</si>
  <si>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</si>
  <si>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</si>
  <si>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</si>
  <si>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</si>
  <si>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</si>
  <si>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</si>
  <si>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</si>
  <si>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</si>
  <si>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</si>
  <si>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</si>
  <si>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</si>
  <si>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</si>
  <si>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</si>
  <si>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</si>
  <si>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</si>
  <si>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</si>
  <si>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</si>
  <si>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</si>
  <si>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</si>
  <si>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</si>
  <si>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</si>
  <si>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</si>
  <si>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</si>
  <si>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</si>
  <si>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</si>
  <si>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</si>
  <si>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</si>
  <si>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</si>
  <si>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</si>
  <si>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</si>
  <si>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</si>
  <si>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</si>
  <si>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</si>
  <si>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</si>
  <si>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</si>
  <si>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</si>
  <si>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</si>
  <si>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</si>
  <si>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</si>
  <si>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</si>
  <si>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</si>
  <si>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</si>
  <si>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</si>
  <si>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</si>
  <si>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</si>
  <si>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</si>
  <si>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</si>
  <si>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</si>
  <si>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</si>
  <si>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</si>
  <si>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</si>
  <si>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</si>
  <si>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</si>
  <si>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</si>
  <si>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</si>
  <si>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</si>
  <si>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</si>
  <si>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</si>
  <si>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</si>
  <si>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</si>
  <si>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</si>
  <si>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</si>
  <si>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</si>
  <si>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</si>
  <si>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</si>
  <si>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</si>
  <si>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</si>
  <si>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</si>
  <si>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</si>
  <si>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</si>
  <si>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</si>
  <si>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</si>
  <si>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</si>
  <si>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</si>
  <si>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</si>
  <si>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</si>
  <si>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</si>
  <si>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</si>
  <si>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</si>
  <si>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</si>
  <si>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</si>
  <si>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</si>
  <si>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</si>
  <si>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</si>
  <si>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</si>
  <si>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</si>
  <si>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</si>
  <si>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</si>
  <si>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</si>
  <si>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</si>
  <si>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</si>
  <si>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</si>
  <si>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</si>
  <si>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</si>
  <si>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</si>
  <si>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</si>
  <si>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</si>
  <si>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</si>
  <si>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</si>
  <si>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</si>
  <si>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</si>
  <si>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</si>
  <si>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</si>
  <si>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</si>
  <si>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</si>
  <si>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</si>
  <si>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</si>
  <si>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</si>
  <si>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</si>
  <si>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</si>
  <si>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</si>
  <si>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</si>
  <si>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</si>
  <si>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</si>
  <si>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</si>
  <si>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</si>
  <si>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</si>
  <si>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</si>
  <si>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</si>
  <si>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</si>
  <si>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</si>
  <si>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</si>
  <si>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</si>
  <si>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</si>
  <si>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</si>
  <si>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</si>
  <si>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</si>
  <si>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</si>
  <si>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</si>
  <si>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</si>
  <si>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</si>
  <si>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</si>
  <si>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</si>
  <si>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</si>
  <si>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</si>
  <si>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</si>
  <si>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</si>
  <si>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</si>
  <si>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</si>
  <si>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</si>
  <si>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</si>
  <si>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</si>
  <si>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</si>
  <si>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</si>
  <si>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</si>
  <si>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</si>
  <si>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</si>
  <si>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</si>
  <si>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</si>
  <si>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</si>
  <si>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</si>
  <si>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</si>
  <si>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</si>
  <si>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</si>
  <si>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</si>
  <si>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</si>
  <si>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</si>
  <si>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</si>
  <si>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</si>
  <si>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</si>
  <si>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</si>
  <si>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</si>
  <si>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</si>
  <si>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</si>
  <si>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</si>
  <si>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</si>
  <si>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</si>
  <si>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</si>
  <si>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</si>
  <si>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</si>
  <si>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</si>
  <si>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</si>
  <si>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</si>
  <si>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</si>
  <si>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</si>
  <si>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</si>
  <si>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</si>
  <si>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</si>
  <si>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</si>
  <si>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</si>
  <si>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</si>
  <si>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</si>
  <si>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</si>
  <si>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</si>
  <si>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</si>
  <si>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</si>
  <si>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</si>
  <si>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</si>
  <si>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</si>
  <si>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</si>
  <si>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</si>
  <si>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</si>
  <si>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</si>
  <si>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</si>
  <si>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</si>
  <si>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</si>
  <si>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</si>
  <si>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</si>
  <si>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</si>
  <si>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</si>
  <si>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</si>
  <si>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</si>
  <si>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</si>
  <si>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</si>
  <si>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</si>
  <si>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</si>
  <si>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</si>
  <si>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</si>
  <si>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</si>
  <si>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</si>
  <si>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</si>
  <si>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</si>
  <si>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</si>
  <si>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</si>
  <si>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</si>
  <si>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</si>
  <si>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</si>
  <si>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</si>
  <si>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</si>
  <si>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</si>
  <si>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</si>
  <si>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</si>
  <si>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</si>
  <si>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</si>
  <si>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</si>
  <si>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</si>
  <si>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</si>
  <si>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</si>
  <si>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</si>
  <si>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</si>
  <si>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</si>
  <si>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</si>
  <si>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</si>
  <si>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</si>
  <si>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</si>
  <si>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</si>
  <si>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</si>
  <si>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</si>
  <si>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</si>
  <si>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</si>
  <si>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</si>
  <si>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</si>
  <si>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</si>
  <si>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</si>
  <si>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</si>
  <si>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</si>
  <si>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</si>
  <si>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</si>
  <si>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</si>
  <si>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</si>
  <si>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</si>
  <si>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</si>
  <si>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</si>
  <si>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</si>
  <si>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</si>
  <si>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</si>
  <si>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</si>
  <si>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</si>
  <si>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</si>
  <si>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</si>
  <si>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</si>
  <si>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</si>
  <si>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</si>
  <si>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</si>
  <si>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</si>
  <si>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</si>
  <si>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</si>
  <si>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</si>
  <si>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</si>
  <si>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</si>
  <si>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</si>
  <si>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</si>
  <si>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</si>
  <si>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</si>
  <si>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</si>
  <si>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</si>
  <si>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</si>
  <si>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</si>
  <si>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</si>
  <si>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</si>
  <si>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</si>
  <si>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</si>
  <si>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</si>
  <si>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</si>
  <si>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</si>
  <si>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</si>
  <si>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</si>
  <si>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</si>
  <si>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</si>
  <si>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</si>
  <si>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</si>
  <si>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</si>
  <si>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</si>
  <si>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</si>
  <si>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</si>
  <si>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</si>
  <si>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</si>
  <si>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</si>
  <si>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</si>
  <si>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</si>
  <si>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</si>
  <si>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</si>
  <si>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</si>
  <si>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</si>
  <si>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</si>
  <si>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</si>
  <si>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</si>
  <si>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</si>
  <si>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</si>
  <si>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</si>
  <si>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</si>
  <si>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</si>
  <si>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</si>
  <si>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</si>
  <si>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</si>
  <si>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</si>
  <si>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</si>
  <si>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</si>
  <si>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</si>
  <si>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</si>
  <si>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</si>
  <si>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</si>
  <si>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</si>
  <si>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</si>
  <si>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</si>
  <si>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</si>
  <si>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</si>
  <si>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</si>
  <si>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</si>
  <si>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</si>
  <si>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</si>
  <si>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</si>
  <si>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</si>
  <si>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</si>
  <si>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</si>
  <si>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</si>
  <si>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</si>
  <si>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</si>
  <si>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</si>
  <si>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</si>
  <si>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</si>
  <si>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</si>
  <si>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</si>
  <si>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</si>
  <si>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</si>
  <si>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</si>
  <si>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</si>
  <si>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</si>
  <si>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</si>
  <si>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</si>
  <si>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</si>
  <si>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</si>
  <si>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</si>
  <si>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</si>
  <si>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</si>
  <si>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</si>
  <si>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</si>
  <si>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</si>
  <si>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</si>
  <si>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</si>
  <si>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</si>
  <si>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</si>
  <si>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</si>
  <si>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</si>
  <si>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</si>
  <si>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</si>
  <si>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</si>
  <si>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</si>
  <si>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</si>
  <si>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</si>
  <si>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</si>
  <si>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</si>
  <si>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</si>
  <si>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</si>
  <si>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</si>
  <si>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</si>
  <si>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</si>
  <si>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</si>
  <si>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</si>
  <si>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</si>
  <si>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</si>
  <si>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</si>
  <si>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</si>
  <si>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</si>
  <si>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</si>
  <si>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</si>
  <si>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</si>
  <si>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</si>
  <si>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</si>
  <si>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</si>
  <si>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</si>
  <si>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</si>
  <si>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</si>
  <si>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</si>
  <si>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</si>
  <si>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</si>
  <si>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</si>
  <si>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</si>
  <si>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</si>
  <si>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</si>
  <si>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</si>
  <si>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</si>
  <si>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</si>
  <si>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</si>
  <si>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</si>
  <si>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</si>
  <si>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</si>
  <si>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</si>
  <si>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</si>
  <si>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</si>
  <si>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</si>
  <si>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</si>
  <si>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</si>
  <si>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</si>
  <si>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</si>
  <si>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</si>
  <si>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</si>
  <si>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</si>
  <si>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</si>
  <si>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</si>
  <si>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</si>
  <si>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</si>
  <si>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</si>
  <si>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</si>
  <si>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</si>
  <si>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</si>
  <si>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</si>
  <si>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</si>
  <si>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</si>
  <si>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</si>
  <si>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</si>
  <si>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</si>
  <si>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</si>
  <si>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</si>
  <si>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</si>
  <si>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</si>
  <si>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</si>
  <si>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</si>
  <si>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</si>
  <si>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</si>
  <si>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</si>
  <si>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</si>
  <si>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</si>
  <si>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</si>
  <si>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</si>
  <si>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</si>
  <si>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</si>
  <si>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</si>
  <si>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</si>
  <si>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</si>
  <si>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</si>
  <si>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</si>
  <si>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</si>
  <si>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</si>
  <si>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</si>
  <si>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</si>
  <si>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</si>
  <si>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</si>
  <si>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</si>
  <si>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</si>
  <si>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</si>
  <si>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</si>
  <si>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</si>
  <si>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</si>
  <si>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</si>
  <si>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</si>
  <si>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</si>
  <si>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</si>
  <si>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</si>
  <si>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</si>
  <si>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</si>
  <si>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</si>
  <si>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</si>
  <si>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</si>
  <si>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</si>
  <si>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</si>
  <si>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</si>
  <si>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</si>
  <si>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</si>
  <si>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</si>
  <si>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</si>
  <si>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</si>
  <si>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</si>
  <si>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</si>
  <si>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</si>
  <si>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</si>
  <si>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</si>
  <si>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</si>
  <si>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</si>
  <si>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</si>
  <si>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</si>
  <si>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</si>
  <si>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</si>
  <si>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</si>
  <si>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</si>
  <si>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</si>
  <si>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</si>
  <si>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</si>
  <si>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</si>
  <si>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</si>
  <si>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</si>
  <si>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</si>
  <si>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</si>
  <si>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</si>
  <si>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</si>
  <si>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</si>
  <si>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</si>
  <si>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</si>
  <si>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</si>
  <si>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</si>
  <si>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</si>
  <si>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</si>
  <si>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</si>
  <si>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</si>
  <si>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</si>
  <si>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</si>
  <si>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</si>
  <si>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</si>
  <si>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</si>
  <si>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</si>
  <si>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</si>
  <si>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</si>
  <si>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</si>
  <si>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</si>
  <si>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</si>
  <si>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</si>
  <si>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</si>
  <si>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</si>
  <si>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</si>
  <si>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</si>
  <si>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</si>
  <si>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</si>
  <si>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</si>
  <si>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</si>
  <si>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</si>
  <si>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</si>
  <si>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</si>
  <si>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</si>
  <si>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</si>
  <si>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</si>
  <si>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</si>
  <si>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</si>
  <si>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</si>
  <si>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</si>
  <si>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</si>
  <si>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</si>
  <si>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</si>
  <si>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</si>
  <si>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</si>
  <si>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</si>
  <si>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</si>
  <si>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</si>
  <si>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</si>
  <si>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</si>
  <si>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</si>
  <si>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</si>
  <si>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</si>
  <si>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</si>
  <si>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</si>
  <si>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</si>
  <si>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</si>
  <si>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</si>
  <si>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</si>
  <si>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</si>
  <si>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</si>
  <si>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</si>
  <si>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</si>
  <si>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</si>
  <si>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</si>
  <si>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</si>
  <si>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</si>
  <si>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</si>
  <si>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</si>
  <si>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</si>
  <si>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</si>
  <si>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</si>
  <si>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</si>
  <si>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</si>
  <si>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</si>
  <si>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</si>
  <si>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</si>
  <si>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</si>
  <si>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</si>
  <si>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</si>
  <si>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</si>
  <si>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</si>
  <si>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</si>
  <si>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</si>
  <si>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</si>
  <si>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</si>
  <si>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</si>
  <si>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</si>
  <si>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</si>
  <si>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</si>
  <si>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</si>
  <si>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</si>
  <si>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</si>
  <si>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</si>
  <si>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</si>
  <si>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</si>
  <si>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</si>
  <si>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</si>
  <si>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</si>
  <si>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</si>
  <si>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</si>
  <si>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</si>
  <si>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</si>
  <si>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</si>
  <si>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</si>
  <si>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</si>
  <si>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</si>
  <si>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</si>
  <si>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</si>
  <si>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</si>
  <si>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</si>
  <si>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</si>
  <si>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</si>
  <si>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</si>
  <si>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</si>
  <si>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</si>
  <si>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</si>
  <si>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</si>
  <si>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</si>
  <si>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</si>
  <si>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</si>
  <si>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</si>
  <si>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</si>
  <si>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</si>
  <si>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</si>
  <si>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</si>
  <si>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</si>
  <si>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</si>
  <si>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</si>
  <si>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</si>
  <si>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</si>
  <si>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</si>
  <si>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</si>
  <si>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</si>
  <si>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</si>
  <si>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</si>
  <si>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</si>
  <si>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</si>
  <si>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</si>
  <si>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</si>
  <si>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</si>
  <si>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</si>
  <si>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</si>
  <si>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</si>
  <si>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</si>
  <si>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</si>
  <si>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</si>
  <si>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</si>
  <si>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</si>
  <si>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</si>
  <si>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</si>
  <si>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</si>
  <si>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</si>
  <si>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</si>
  <si>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</si>
  <si>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</si>
  <si>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</si>
  <si>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</si>
  <si>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</si>
  <si>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</si>
  <si>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</si>
  <si>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</si>
  <si>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</si>
  <si>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</si>
  <si>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</si>
  <si>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</si>
  <si>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</si>
  <si>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</si>
  <si>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</si>
  <si>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</si>
  <si>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</si>
  <si>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</si>
  <si>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</si>
  <si>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</si>
  <si>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</si>
  <si>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</si>
  <si>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</si>
  <si>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</si>
  <si>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</si>
  <si>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</si>
  <si>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</si>
  <si>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</si>
  <si>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</si>
  <si>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</si>
  <si>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</si>
  <si>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</si>
  <si>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</si>
  <si>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</si>
  <si>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</si>
  <si>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</si>
  <si>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</si>
  <si>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</si>
  <si>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</si>
  <si>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</si>
  <si>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</si>
  <si>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</si>
  <si>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</si>
  <si>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</si>
  <si>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</si>
  <si>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</si>
  <si>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</si>
  <si>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</si>
  <si>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</si>
  <si>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</si>
  <si>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</si>
  <si>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</si>
  <si>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</si>
  <si>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</si>
  <si>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</si>
  <si>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</si>
  <si>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</si>
  <si>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</si>
  <si>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</si>
  <si>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</si>
  <si>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</si>
  <si>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</si>
  <si>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</si>
  <si>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</si>
  <si>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</si>
  <si>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</si>
  <si>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</si>
  <si>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</si>
  <si>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</si>
  <si>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</si>
  <si>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</si>
  <si>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</si>
  <si>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</si>
  <si>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</si>
  <si>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</si>
  <si>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</si>
  <si>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</si>
  <si>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</si>
  <si>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</si>
  <si>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</si>
  <si>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</si>
  <si>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</si>
  <si>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</si>
  <si>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</si>
  <si>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</si>
  <si>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</si>
  <si>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</si>
  <si>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</si>
  <si>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</si>
  <si>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</si>
  <si>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</si>
  <si>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</si>
  <si>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</si>
  <si>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</si>
  <si>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</si>
  <si>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</si>
  <si>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</si>
  <si>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</si>
  <si>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</si>
  <si>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</si>
  <si>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</si>
  <si>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</si>
  <si>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</si>
  <si>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</si>
  <si>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</si>
  <si>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</si>
  <si>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</si>
  <si>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</si>
  <si>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</si>
  <si>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</si>
  <si>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</si>
  <si>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</si>
  <si>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</si>
  <si>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</si>
  <si>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</si>
  <si>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</si>
  <si>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</si>
  <si>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</si>
  <si>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</si>
  <si>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</si>
  <si>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</si>
  <si>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</si>
  <si>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</si>
  <si>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</si>
  <si>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</si>
  <si>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</si>
  <si>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</si>
  <si>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</si>
  <si>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</si>
  <si>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</si>
  <si>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</si>
  <si>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</si>
  <si>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</si>
  <si>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</si>
  <si>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</si>
  <si>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</si>
  <si>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</si>
  <si>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</si>
  <si>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</si>
  <si>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</si>
  <si>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</si>
  <si>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</si>
  <si>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</si>
  <si>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</si>
  <si>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</si>
  <si>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</si>
  <si>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</si>
  <si>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</si>
  <si>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</si>
  <si>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</si>
  <si>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</si>
  <si>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</si>
  <si>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</si>
  <si>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</si>
  <si>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</si>
  <si>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</si>
  <si>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</si>
  <si>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</si>
  <si>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</si>
  <si>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</si>
  <si>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</si>
  <si>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</si>
  <si>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</si>
  <si>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</si>
  <si>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</si>
  <si>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</si>
  <si>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</si>
  <si>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</si>
  <si>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</si>
  <si>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</si>
  <si>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</si>
  <si>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</si>
  <si>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</si>
  <si>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</si>
  <si>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</si>
  <si>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</si>
  <si>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</si>
  <si>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</si>
  <si>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</si>
  <si>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</si>
  <si>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</si>
  <si>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</si>
  <si>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</si>
  <si>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</si>
  <si>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</si>
  <si>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</si>
  <si>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</si>
  <si>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</si>
  <si>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</si>
  <si>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</si>
  <si>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</si>
  <si>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</si>
  <si>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</si>
  <si>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</si>
  <si>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</si>
  <si>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</si>
  <si>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</si>
  <si>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</si>
  <si>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</si>
  <si>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</si>
  <si>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</si>
  <si>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</si>
  <si>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</si>
  <si>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</si>
  <si>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</si>
  <si>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</si>
  <si>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</si>
  <si>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</si>
  <si>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</si>
  <si>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</si>
  <si>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</si>
  <si>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</si>
  <si>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</si>
  <si>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</si>
  <si>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</si>
  <si>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</si>
  <si>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</si>
  <si>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</si>
  <si>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</si>
  <si>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</si>
  <si>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</si>
  <si>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</si>
  <si>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</si>
  <si>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</si>
  <si>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</si>
  <si>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</si>
  <si>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</si>
  <si>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</si>
  <si>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</si>
  <si>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</si>
  <si>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</si>
  <si>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</si>
  <si>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</si>
  <si>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</si>
  <si>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</si>
  <si>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</si>
  <si>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</si>
  <si>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</si>
  <si>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</si>
  <si>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</si>
  <si>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</si>
  <si>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</si>
  <si>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</si>
  <si>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</si>
  <si>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</si>
  <si>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</si>
  <si>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</si>
  <si>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</si>
  <si>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</si>
  <si>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</si>
  <si>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</si>
  <si>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</si>
  <si>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</si>
  <si>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</si>
  <si>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</si>
  <si>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</si>
  <si>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</si>
  <si>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</si>
  <si>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</si>
  <si>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</si>
  <si>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</si>
  <si>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</si>
  <si>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</si>
  <si>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</si>
  <si>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</si>
  <si>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</si>
  <si>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</si>
  <si>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</si>
  <si>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</si>
  <si>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</si>
  <si>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</si>
  <si>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</si>
  <si>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</si>
  <si>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</si>
  <si>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</si>
  <si>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</si>
  <si>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</si>
  <si>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</si>
  <si>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</si>
  <si>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</si>
  <si>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</si>
  <si>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</si>
  <si>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</si>
  <si>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</si>
  <si>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</si>
  <si>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</si>
  <si>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</si>
  <si>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</si>
  <si>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</si>
  <si>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</si>
  <si>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</si>
  <si>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</si>
  <si>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</si>
  <si>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</si>
  <si>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</si>
  <si>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</si>
  <si>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</si>
  <si>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</si>
  <si>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</si>
  <si>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</si>
  <si>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</si>
  <si>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</si>
  <si>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</si>
  <si>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</si>
  <si>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</si>
  <si>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</si>
  <si>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</si>
  <si>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</si>
  <si>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</si>
  <si>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</si>
  <si>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</si>
  <si>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</si>
  <si>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</si>
  <si>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</si>
  <si>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</si>
  <si>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</si>
  <si>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</si>
  <si>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</si>
  <si>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</si>
  <si>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</si>
  <si>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</si>
  <si>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</si>
  <si>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</si>
  <si>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</si>
  <si>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</si>
  <si>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</si>
  <si>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</si>
  <si>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</si>
  <si>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</si>
  <si>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</si>
  <si>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</si>
  <si>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</si>
  <si>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</si>
  <si>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</si>
  <si>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</si>
  <si>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</si>
  <si>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</si>
  <si>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</si>
  <si>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</si>
  <si>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</si>
  <si>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</si>
  <si>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</si>
  <si>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</si>
  <si>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</si>
  <si>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</si>
  <si>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</si>
  <si>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</si>
  <si>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</si>
  <si>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</si>
  <si>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</si>
  <si>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</si>
  <si>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</si>
  <si>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</si>
  <si>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</si>
  <si>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</si>
  <si>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</si>
  <si>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</si>
  <si>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</si>
  <si>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</si>
  <si>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</si>
  <si>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</si>
  <si>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</si>
  <si>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</si>
  <si>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</si>
  <si>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</si>
  <si>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</si>
  <si>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</si>
  <si>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</si>
  <si>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</si>
  <si>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</si>
  <si>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</si>
  <si>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</si>
  <si>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</si>
  <si>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</si>
  <si>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</si>
  <si>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</si>
  <si>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</si>
  <si>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</si>
  <si>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</si>
  <si>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</si>
  <si>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</si>
  <si>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</si>
  <si>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</si>
  <si>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</si>
  <si>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</si>
  <si>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</si>
  <si>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</si>
  <si>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</si>
  <si>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</si>
  <si>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</si>
  <si>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</si>
  <si>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</si>
  <si>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</si>
  <si>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</si>
  <si>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</si>
  <si>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</si>
  <si>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</si>
  <si>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</si>
  <si>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</si>
  <si>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</si>
  <si>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</si>
  <si>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</si>
  <si>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</si>
  <si>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</si>
  <si>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</si>
  <si>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</si>
  <si>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</si>
  <si>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</si>
  <si>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</si>
  <si>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</si>
  <si>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</si>
  <si>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</si>
  <si>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</si>
  <si>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</si>
  <si>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</si>
  <si>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</si>
  <si>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</si>
  <si>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</si>
  <si>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</si>
  <si>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</si>
  <si>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</si>
  <si>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</si>
  <si>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</si>
  <si>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</si>
  <si>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</si>
  <si>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</si>
  <si>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</si>
  <si>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</si>
  <si>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</si>
  <si>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</si>
  <si>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</si>
  <si>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</si>
  <si>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</si>
  <si>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</si>
  <si>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</si>
  <si>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</si>
  <si>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</si>
  <si>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</si>
  <si>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</si>
  <si>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</si>
  <si>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</si>
  <si>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</si>
  <si>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</si>
  <si>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</si>
  <si>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</si>
  <si>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</si>
  <si>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</si>
  <si>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</si>
  <si>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</si>
  <si>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</si>
  <si>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</si>
  <si>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</si>
  <si>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</si>
  <si>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</si>
  <si>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</si>
  <si>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</si>
  <si>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</si>
  <si>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</si>
  <si>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</si>
  <si>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</si>
  <si>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</si>
  <si>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</si>
  <si>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</si>
  <si>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</si>
  <si>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</si>
  <si>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</si>
  <si>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</si>
  <si>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</si>
  <si>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</si>
  <si>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</si>
  <si>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</si>
  <si>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</si>
  <si>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</si>
  <si>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</si>
  <si>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</si>
  <si>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</si>
  <si>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</si>
  <si>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</si>
  <si>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</si>
  <si>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</si>
  <si>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</si>
  <si>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</si>
  <si>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</si>
  <si>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</si>
  <si>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</si>
  <si>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</si>
  <si>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</si>
  <si>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</si>
  <si>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</si>
  <si>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</si>
  <si>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</si>
  <si>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</si>
  <si>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</si>
  <si>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</si>
  <si>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</si>
  <si>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</si>
  <si>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</si>
  <si>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</si>
  <si>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</si>
  <si>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</si>
  <si>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</si>
  <si>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</si>
  <si>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</si>
  <si>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</si>
  <si>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</si>
  <si>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</si>
  <si>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</si>
  <si>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</si>
  <si>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</si>
  <si>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</si>
  <si>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</si>
  <si>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</si>
  <si>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</si>
  <si>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</si>
  <si>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</si>
  <si>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</si>
  <si>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</si>
  <si>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</si>
  <si>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</si>
  <si>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</si>
  <si>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</si>
  <si>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</si>
  <si>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</si>
  <si>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</si>
  <si>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</si>
  <si>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</si>
  <si>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</si>
  <si>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</si>
  <si>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</si>
  <si>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</si>
  <si>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</si>
  <si>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</si>
  <si>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</si>
  <si>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</si>
  <si>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</si>
  <si>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</si>
  <si>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</si>
  <si>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</si>
  <si>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</si>
  <si>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</si>
  <si>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</si>
  <si>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</si>
  <si>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</si>
  <si>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</si>
  <si>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</si>
  <si>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</si>
  <si>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</si>
  <si>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</si>
  <si>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</si>
  <si>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</si>
  <si>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</si>
  <si>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</si>
  <si>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</si>
  <si>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</si>
  <si>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</si>
  <si>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</si>
  <si>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</si>
  <si>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</si>
  <si>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</si>
  <si>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</si>
  <si>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</si>
  <si>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</si>
  <si>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</si>
  <si>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</si>
  <si>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</si>
  <si>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</si>
  <si>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</si>
  <si>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</si>
  <si>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</si>
  <si>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</si>
  <si>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</si>
  <si>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</si>
  <si>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</si>
  <si>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</si>
  <si>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</si>
  <si>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</si>
  <si>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</si>
  <si>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</si>
  <si>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</si>
  <si>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</si>
  <si>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</si>
  <si>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</si>
  <si>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</si>
  <si>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</si>
  <si>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</si>
  <si>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</si>
  <si>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</si>
  <si>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</si>
  <si>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</si>
  <si>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</si>
  <si>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</si>
  <si>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</si>
  <si>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</si>
  <si>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</si>
  <si>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</si>
  <si>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</si>
  <si>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</si>
  <si>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</si>
  <si>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</si>
  <si>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</si>
  <si>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</si>
  <si>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</si>
  <si>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</si>
  <si>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</si>
  <si>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</si>
  <si>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</si>
  <si>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</si>
  <si>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</si>
  <si>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</si>
  <si>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</si>
  <si>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</si>
  <si>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</si>
  <si>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</si>
  <si>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</si>
  <si>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</si>
  <si>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</si>
  <si>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</si>
  <si>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</si>
  <si>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</si>
  <si>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</si>
  <si>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</si>
  <si>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</si>
  <si>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</si>
  <si>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</si>
  <si>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</si>
  <si>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</si>
  <si>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</si>
  <si>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</si>
  <si>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</si>
  <si>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</si>
  <si>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</si>
  <si>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</si>
  <si>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</si>
  <si>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</si>
  <si>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</si>
  <si>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</si>
  <si>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</si>
  <si>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</si>
  <si>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</si>
  <si>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</si>
  <si>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</si>
  <si>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</si>
  <si>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</si>
  <si>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</si>
  <si>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</si>
  <si>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</si>
  <si>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</si>
  <si>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</si>
  <si>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</si>
  <si>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</si>
  <si>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</si>
  <si>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</si>
  <si>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</si>
  <si>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</si>
  <si>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</si>
  <si>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</si>
  <si>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</si>
  <si>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</si>
  <si>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</si>
  <si>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</si>
  <si>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</si>
  <si>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</si>
  <si>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</si>
  <si>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</si>
  <si>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</si>
  <si>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</si>
  <si>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</si>
  <si>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</si>
  <si>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</si>
  <si>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</si>
  <si>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</si>
  <si>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</si>
  <si>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</si>
  <si>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</si>
  <si>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</si>
  <si>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</si>
  <si>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</si>
  <si>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</si>
  <si>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</si>
  <si>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</si>
  <si>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</si>
  <si>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</si>
  <si>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</si>
  <si>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</si>
  <si>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</si>
  <si>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</si>
  <si>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</si>
  <si>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</si>
  <si>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</si>
  <si>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</si>
  <si>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</si>
  <si>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</si>
  <si>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</si>
  <si>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</si>
  <si>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</si>
  <si>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</si>
  <si>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</si>
  <si>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</si>
  <si>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</si>
  <si>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</si>
  <si>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</si>
  <si>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</si>
  <si>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</si>
  <si>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</si>
  <si>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</si>
  <si>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</si>
  <si>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</si>
  <si>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</si>
  <si>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</si>
  <si>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</si>
  <si>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</si>
  <si>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</si>
  <si>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</si>
  <si>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</si>
  <si>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</si>
  <si>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</si>
  <si>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</si>
  <si>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Tim C. Custis, CPA</t>
  </si>
  <si>
    <t>tcustis@gorenzcpa.com</t>
  </si>
  <si>
    <t>Henry</t>
  </si>
  <si>
    <t>Wethersfield Community Unit School District No. 230</t>
  </si>
  <si>
    <t>439 Willard</t>
  </si>
  <si>
    <t>Kewanee</t>
  </si>
  <si>
    <t>skazubow@geese230.com</t>
  </si>
  <si>
    <t>Shane Kazubowski</t>
  </si>
  <si>
    <t>x</t>
  </si>
  <si>
    <t>QZAB Bonds</t>
  </si>
  <si>
    <t>Working Cash Bonds</t>
  </si>
  <si>
    <t>Alternative Revenue Bonds</t>
  </si>
  <si>
    <t>Technology Lease</t>
  </si>
  <si>
    <t>Bus Lease</t>
  </si>
  <si>
    <t>Geneseo, Henry Stark ROE</t>
  </si>
  <si>
    <t>Annawan/Cambridge/Galva/Wethersfield/Alwood</t>
  </si>
  <si>
    <t>Illinois Energy Concortium (School Districts all over the State)</t>
  </si>
  <si>
    <t>Sherrard/Mercer County/Annawan/United</t>
  </si>
  <si>
    <t>Praire State Insurance Cooperative made up of 100 districts</t>
  </si>
  <si>
    <t>Illinois Liquid Assets Funds</t>
  </si>
  <si>
    <t>Schools of Illinois Public Cooperative</t>
  </si>
  <si>
    <t>Bureau, Henry, and Stark Regional Office of Educations</t>
  </si>
  <si>
    <t>Bradford/Geneseo/Bureau/Henry and Stark ROE</t>
  </si>
  <si>
    <t>Annawan</t>
  </si>
  <si>
    <t>Annawan/Bradford/Cambridge/Geneseo/Kewanee/Stark Co.</t>
  </si>
  <si>
    <t>School of Illinois Public Cooperative</t>
  </si>
  <si>
    <t>Henry-Bureau-Stark ROE</t>
  </si>
  <si>
    <t>Annawan School District</t>
  </si>
  <si>
    <t>Alwood/Annawan/Cambridge/Galva/Stark/#1</t>
  </si>
  <si>
    <t>2017-001</t>
  </si>
  <si>
    <t>Lack of segregatin of duties</t>
  </si>
  <si>
    <t>Segregation of duties amount accounting personnel is an integral part of an internal control structure.</t>
  </si>
  <si>
    <t>Two individuals have the primary responsibility for performing most of the accounting and financial duties, which significantly reduces certain aspects of the internal control structure which rely on adequate segregation of duties.</t>
  </si>
  <si>
    <t>All District accounting and financial records are maintained by two individuals.</t>
  </si>
  <si>
    <t>Certain individuals have the ability to complete and record accounting functions which ideally would be segregated.</t>
  </si>
  <si>
    <t>Limited funding currently precludes the hiring of additional staff.</t>
  </si>
  <si>
    <t>Segregation of duties is normally difficult to accomplish within a small governmental entity. Management should be ever mindful of areas that could be improved, including, but not limited to, hiring additional personnel.</t>
  </si>
  <si>
    <t>Currently, 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pursue this option.</t>
  </si>
  <si>
    <t>Unresolved - See Finding 2018-001</t>
  </si>
  <si>
    <t>Adverse due to the use of the Regulatory Basis of Accounting.</t>
  </si>
  <si>
    <t>Part C-20 - See Finding 2018-001</t>
  </si>
  <si>
    <t>Lease Certificates/Capital Lease</t>
  </si>
  <si>
    <t>No contracts for the year ended June 30, 2018</t>
  </si>
  <si>
    <t>Page 10, Line 74 - Non Program Food</t>
  </si>
  <si>
    <t>Page 10, Line 87 - Technology Rental</t>
  </si>
  <si>
    <t>Page 11 Line 107</t>
  </si>
  <si>
    <t>Transportation Fund - Fan Busses and Courtesy Riders</t>
  </si>
  <si>
    <t>Education Fund - Refunds and Rebates</t>
  </si>
  <si>
    <t>Capital Projects Fund - Insurance Reimbursements</t>
  </si>
  <si>
    <t>Page 12, Line 171 - State Library and Back to Books Grant</t>
  </si>
  <si>
    <t>Page 15, Line 41 - Crossing Guard</t>
  </si>
  <si>
    <t>Page 18, Line 171 - Bank Fees</t>
  </si>
  <si>
    <t>Page 24, Line 37 - Technology Lease</t>
  </si>
  <si>
    <t>Audit Check Line 69 - The formula does not include Page 19, Cell H200, Debt Service Fund Payments of Principal on Long Term Debt</t>
  </si>
  <si>
    <t>Audit Check Line 80 - "PLEASE ENTER CONTRACTS PAID IN THE CURRENT YEAR"</t>
  </si>
  <si>
    <t>For the current fiscal year under audit, the district did not have any qualifying contracts</t>
  </si>
  <si>
    <t>exceeding the $25,000 limit.</t>
  </si>
  <si>
    <t>Qualified Zone Academy Bond</t>
  </si>
  <si>
    <t>Page 19, Line 237 -  Crossing Guard</t>
  </si>
  <si>
    <t>066-005027</t>
  </si>
  <si>
    <t>see embeded 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</si>
</sst>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7" t="s">
        <v>425</v>
      </c>
      <c r="J1" s="1998"/>
      <c r="K1" s="1998"/>
      <c r="L1" s="1998"/>
      <c r="M1" s="1998"/>
      <c r="N1" s="1998"/>
      <c r="O1" s="1998"/>
      <c r="P1" s="1998"/>
      <c r="Q1" s="1998"/>
      <c r="R1" s="1998"/>
      <c r="S1" s="1998"/>
    </row>
    <row r="2" spans="1:28" ht="12" customHeight="1" x14ac:dyDescent="0.2">
      <c r="A2" s="47" t="s">
        <v>1684</v>
      </c>
      <c r="D2" s="48"/>
      <c r="I2" s="1999" t="s">
        <v>1036</v>
      </c>
      <c r="J2" s="1998"/>
      <c r="K2" s="1998"/>
      <c r="L2" s="1998"/>
      <c r="M2" s="1998"/>
      <c r="N2" s="1998"/>
      <c r="O2" s="1998"/>
      <c r="P2" s="1998"/>
      <c r="Q2" s="1998"/>
      <c r="R2" s="1998"/>
      <c r="S2" s="1998"/>
    </row>
    <row r="3" spans="1:28" ht="12" customHeight="1" x14ac:dyDescent="0.2">
      <c r="A3" s="155" t="s">
        <v>1685</v>
      </c>
      <c r="B3" s="156"/>
      <c r="C3" s="156"/>
      <c r="D3" s="157"/>
      <c r="I3" s="1999" t="s">
        <v>54</v>
      </c>
      <c r="J3" s="1998"/>
      <c r="K3" s="1998"/>
      <c r="L3" s="1998"/>
      <c r="M3" s="1998"/>
      <c r="N3" s="1998"/>
      <c r="O3" s="1998"/>
      <c r="P3" s="1998"/>
      <c r="Q3" s="1998"/>
      <c r="R3" s="1998"/>
      <c r="S3" s="1998"/>
    </row>
    <row r="4" spans="1:28" ht="12" customHeight="1" x14ac:dyDescent="0.2">
      <c r="A4" s="37"/>
      <c r="I4" s="1999" t="s">
        <v>545</v>
      </c>
      <c r="J4" s="1998"/>
      <c r="K4" s="1998"/>
      <c r="L4" s="1998"/>
      <c r="M4" s="1998"/>
      <c r="N4" s="1998"/>
      <c r="O4" s="1998"/>
      <c r="P4" s="1998"/>
      <c r="Q4" s="1998"/>
      <c r="R4" s="1998"/>
      <c r="S4" s="1998"/>
    </row>
    <row r="5" spans="1:28" ht="14.1" customHeight="1" x14ac:dyDescent="0.2">
      <c r="B5" s="104" t="s">
        <v>2077</v>
      </c>
      <c r="C5" s="26" t="s">
        <v>966</v>
      </c>
      <c r="D5" s="84"/>
      <c r="E5" s="84"/>
      <c r="H5" s="38"/>
      <c r="I5" s="2007" t="s">
        <v>701</v>
      </c>
      <c r="J5" s="2006"/>
      <c r="K5" s="2006"/>
      <c r="L5" s="2006"/>
      <c r="M5" s="2006"/>
      <c r="N5" s="2006"/>
      <c r="O5" s="2006"/>
      <c r="P5" s="2006"/>
      <c r="Q5" s="2006"/>
      <c r="R5" s="2006"/>
      <c r="S5" s="2006"/>
    </row>
    <row r="6" spans="1:28" ht="14.1" customHeight="1" x14ac:dyDescent="0.2">
      <c r="B6" s="104"/>
      <c r="C6" s="26" t="s">
        <v>967</v>
      </c>
      <c r="D6" s="84"/>
      <c r="E6" s="84"/>
      <c r="I6" s="2005" t="s">
        <v>938</v>
      </c>
      <c r="J6" s="2006"/>
      <c r="K6" s="2006"/>
      <c r="L6" s="2006"/>
      <c r="M6" s="2006"/>
      <c r="N6" s="2006"/>
      <c r="O6" s="2006"/>
      <c r="P6" s="2006"/>
      <c r="Q6" s="2006"/>
      <c r="R6" s="2006"/>
      <c r="S6" s="2006"/>
    </row>
    <row r="7" spans="1:28" ht="12.2" customHeight="1" x14ac:dyDescent="0.2">
      <c r="I7" s="2000">
        <v>43281</v>
      </c>
      <c r="J7" s="2001"/>
      <c r="K7" s="2001"/>
      <c r="L7" s="2001"/>
      <c r="M7" s="2001"/>
      <c r="N7" s="2001"/>
      <c r="O7" s="2001"/>
      <c r="P7" s="2001"/>
      <c r="Q7" s="2001"/>
      <c r="R7" s="2001"/>
      <c r="S7" s="200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2" t="s">
        <v>695</v>
      </c>
      <c r="J9" s="2003"/>
      <c r="K9" s="2003"/>
      <c r="L9" s="2003"/>
      <c r="M9" s="2003"/>
      <c r="N9" s="2003"/>
      <c r="O9" s="2003"/>
      <c r="P9" s="2003"/>
      <c r="Q9" s="2003"/>
      <c r="R9" s="2003"/>
      <c r="S9" s="2004"/>
      <c r="T9" s="2018" t="s">
        <v>554</v>
      </c>
      <c r="U9" s="2019"/>
      <c r="V9" s="2019"/>
      <c r="W9" s="2019"/>
      <c r="X9" s="2019"/>
      <c r="Y9" s="2019"/>
      <c r="Z9" s="2019"/>
      <c r="AA9" s="2020"/>
    </row>
    <row r="10" spans="1:28" ht="13.5" customHeight="1" x14ac:dyDescent="0.2">
      <c r="A10" s="2025" t="s">
        <v>696</v>
      </c>
      <c r="B10" s="2026"/>
      <c r="C10" s="2026"/>
      <c r="D10" s="2026"/>
      <c r="E10" s="2026"/>
      <c r="F10" s="2026"/>
      <c r="G10" s="2026"/>
      <c r="H10" s="2027"/>
      <c r="I10" s="29"/>
      <c r="J10" s="30"/>
      <c r="K10" s="28"/>
      <c r="R10" s="30"/>
      <c r="S10" s="30"/>
      <c r="T10" s="2021"/>
      <c r="U10" s="2006"/>
      <c r="V10" s="2006"/>
      <c r="W10" s="2006"/>
      <c r="X10" s="2006"/>
      <c r="Y10" s="2006"/>
      <c r="Z10" s="2006"/>
      <c r="AA10" s="2012"/>
    </row>
    <row r="11" spans="1:28" ht="14.25" customHeight="1" x14ac:dyDescent="0.2">
      <c r="A11" s="2028" t="s">
        <v>1012</v>
      </c>
      <c r="B11" s="2029"/>
      <c r="C11" s="2029"/>
      <c r="D11" s="2029"/>
      <c r="E11" s="2029"/>
      <c r="F11" s="2029"/>
      <c r="G11" s="2029"/>
      <c r="H11" s="2030"/>
      <c r="I11" s="27"/>
      <c r="J11" s="74"/>
      <c r="K11" s="27"/>
      <c r="O11" s="148" t="s">
        <v>2077</v>
      </c>
      <c r="P11" s="100" t="s">
        <v>210</v>
      </c>
      <c r="Q11" s="30"/>
      <c r="R11" s="28"/>
      <c r="S11" s="27"/>
      <c r="T11" s="2022"/>
      <c r="U11" s="2023"/>
      <c r="V11" s="2023"/>
      <c r="W11" s="2023"/>
      <c r="X11" s="2023"/>
      <c r="Y11" s="2023"/>
      <c r="Z11" s="2023"/>
      <c r="AA11" s="202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2">
        <v>28037230026</v>
      </c>
      <c r="B13" s="2033"/>
      <c r="C13" s="2033"/>
      <c r="D13" s="2033"/>
      <c r="E13" s="2033"/>
      <c r="F13" s="2033"/>
      <c r="G13" s="2033"/>
      <c r="H13" s="2034"/>
      <c r="I13" s="31"/>
      <c r="J13" s="30"/>
      <c r="K13" s="28"/>
      <c r="L13" s="30"/>
      <c r="M13" s="30"/>
      <c r="N13" s="30"/>
      <c r="O13" s="30"/>
      <c r="P13" s="30"/>
      <c r="Q13" s="30"/>
      <c r="R13" s="30"/>
      <c r="S13" s="30"/>
      <c r="T13" s="2037" t="s">
        <v>2078</v>
      </c>
      <c r="U13" s="2038"/>
      <c r="V13" s="2038"/>
      <c r="W13" s="2038"/>
      <c r="X13" s="2038"/>
      <c r="Y13" s="2039"/>
      <c r="Z13" s="2039"/>
      <c r="AA13" s="204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1" t="s">
        <v>2088</v>
      </c>
      <c r="B15" s="2035"/>
      <c r="C15" s="2035"/>
      <c r="D15" s="2035"/>
      <c r="E15" s="2035"/>
      <c r="F15" s="2035"/>
      <c r="G15" s="2035"/>
      <c r="H15" s="2036"/>
      <c r="T15" s="2041" t="s">
        <v>2086</v>
      </c>
      <c r="U15" s="1985"/>
      <c r="V15" s="1985"/>
      <c r="W15" s="1985"/>
      <c r="X15" s="1985"/>
      <c r="Y15" s="2042"/>
      <c r="Z15" s="2042"/>
      <c r="AA15" s="204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1" t="s">
        <v>2089</v>
      </c>
      <c r="B17" s="1992"/>
      <c r="C17" s="1992"/>
      <c r="D17" s="1992"/>
      <c r="E17" s="1992"/>
      <c r="F17" s="1992"/>
      <c r="G17" s="1992"/>
      <c r="H17" s="2017"/>
      <c r="T17" s="2048" t="s">
        <v>2079</v>
      </c>
      <c r="U17" s="2049"/>
      <c r="V17" s="2049"/>
      <c r="W17" s="2049"/>
      <c r="X17" s="2049"/>
      <c r="Y17" s="2049"/>
      <c r="Z17" s="2049"/>
      <c r="AA17" s="2050"/>
    </row>
    <row r="18" spans="1:27" ht="13.5" customHeight="1" x14ac:dyDescent="0.2">
      <c r="A18" s="85" t="s">
        <v>551</v>
      </c>
      <c r="B18" s="76"/>
      <c r="C18" s="72"/>
      <c r="D18" s="76"/>
      <c r="E18" s="76"/>
      <c r="F18" s="76"/>
      <c r="G18" s="76"/>
      <c r="H18" s="56"/>
      <c r="I18" s="2016" t="s">
        <v>697</v>
      </c>
      <c r="J18" s="1967"/>
      <c r="K18" s="1967"/>
      <c r="L18" s="1967"/>
      <c r="M18" s="1967"/>
      <c r="N18" s="1967"/>
      <c r="O18" s="1967"/>
      <c r="P18" s="1967"/>
      <c r="Q18" s="1967"/>
      <c r="R18" s="1967"/>
      <c r="S18" s="1968"/>
      <c r="T18" s="85" t="s">
        <v>735</v>
      </c>
      <c r="U18" s="51"/>
      <c r="V18" s="72"/>
      <c r="W18" s="50"/>
      <c r="X18" s="85" t="s">
        <v>284</v>
      </c>
      <c r="Y18" s="81"/>
      <c r="Z18" s="159" t="s">
        <v>698</v>
      </c>
      <c r="AA18" s="46"/>
    </row>
    <row r="19" spans="1:27" ht="13.5" customHeight="1" x14ac:dyDescent="0.2">
      <c r="A19" s="2031" t="s">
        <v>2090</v>
      </c>
      <c r="B19" s="1977"/>
      <c r="C19" s="1977"/>
      <c r="D19" s="1977"/>
      <c r="E19" s="1977"/>
      <c r="F19" s="1977"/>
      <c r="G19" s="1977"/>
      <c r="H19" s="1957"/>
      <c r="I19" s="30"/>
      <c r="J19" s="99"/>
      <c r="K19" s="40"/>
      <c r="L19" s="38"/>
      <c r="M19" s="112" t="s">
        <v>333</v>
      </c>
      <c r="P19" s="27"/>
      <c r="Q19" s="27"/>
      <c r="R19" s="27"/>
      <c r="S19" s="31"/>
      <c r="T19" s="2031" t="s">
        <v>2080</v>
      </c>
      <c r="U19" s="1956"/>
      <c r="V19" s="1956"/>
      <c r="W19" s="1957"/>
      <c r="X19" s="2046" t="s">
        <v>2081</v>
      </c>
      <c r="Y19" s="2047"/>
      <c r="Z19" s="2044">
        <v>61614</v>
      </c>
      <c r="AA19" s="204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5" t="s">
        <v>2091</v>
      </c>
      <c r="B21" s="1956"/>
      <c r="C21" s="1956"/>
      <c r="D21" s="1956"/>
      <c r="E21" s="1956"/>
      <c r="F21" s="1956"/>
      <c r="G21" s="1956"/>
      <c r="H21" s="1957"/>
      <c r="I21" s="2011" t="s">
        <v>699</v>
      </c>
      <c r="J21" s="2006"/>
      <c r="K21" s="2006"/>
      <c r="L21" s="2006"/>
      <c r="M21" s="2006"/>
      <c r="N21" s="2006"/>
      <c r="O21" s="2006"/>
      <c r="P21" s="2006"/>
      <c r="Q21" s="2006"/>
      <c r="R21" s="2006"/>
      <c r="S21" s="2012"/>
      <c r="T21" s="2055" t="s">
        <v>2082</v>
      </c>
      <c r="U21" s="2056"/>
      <c r="V21" s="2056"/>
      <c r="W21" s="2056"/>
      <c r="X21" s="2061" t="s">
        <v>2083</v>
      </c>
      <c r="Y21" s="2062"/>
      <c r="Z21" s="2062"/>
      <c r="AA21" s="2063"/>
    </row>
    <row r="22" spans="1:27" ht="13.5" customHeight="1" x14ac:dyDescent="0.2">
      <c r="A22" s="87" t="s">
        <v>552</v>
      </c>
      <c r="B22" s="59"/>
      <c r="C22" s="59"/>
      <c r="D22" s="59"/>
      <c r="E22" s="59"/>
      <c r="F22" s="59"/>
      <c r="G22" s="59"/>
      <c r="H22" s="60"/>
      <c r="I22" s="2013" t="s">
        <v>1504</v>
      </c>
      <c r="J22" s="2014"/>
      <c r="K22" s="2014"/>
      <c r="L22" s="2014"/>
      <c r="M22" s="2014"/>
      <c r="N22" s="2014"/>
      <c r="O22" s="2014"/>
      <c r="P22" s="2014"/>
      <c r="Q22" s="2014"/>
      <c r="R22" s="2014"/>
      <c r="S22" s="2015"/>
      <c r="T22" s="85" t="s">
        <v>1596</v>
      </c>
      <c r="U22" s="51"/>
      <c r="V22" s="72"/>
      <c r="W22" s="51"/>
      <c r="X22" s="160" t="s">
        <v>1385</v>
      </c>
      <c r="Z22" s="45"/>
      <c r="AA22" s="46"/>
    </row>
    <row r="23" spans="1:27" ht="13.5" customHeight="1" x14ac:dyDescent="0.2">
      <c r="A23" s="2008" t="s">
        <v>2092</v>
      </c>
      <c r="B23" s="2009"/>
      <c r="C23" s="2009"/>
      <c r="D23" s="2009"/>
      <c r="E23" s="2009"/>
      <c r="F23" s="2009"/>
      <c r="G23" s="2009"/>
      <c r="H23" s="2010"/>
      <c r="T23" s="1991" t="s">
        <v>2145</v>
      </c>
      <c r="U23" s="2054"/>
      <c r="V23" s="2054"/>
      <c r="W23" s="2054"/>
      <c r="X23" s="2058">
        <v>44530</v>
      </c>
      <c r="Y23" s="2059"/>
      <c r="Z23" s="2059"/>
      <c r="AA23" s="2060"/>
    </row>
    <row r="24" spans="1:27" ht="14.1" customHeight="1" x14ac:dyDescent="0.2">
      <c r="A24" s="88" t="s">
        <v>698</v>
      </c>
      <c r="B24" s="49"/>
      <c r="C24" s="49"/>
      <c r="D24" s="49"/>
      <c r="E24" s="49"/>
      <c r="F24" s="49"/>
      <c r="G24" s="49"/>
      <c r="H24" s="61"/>
      <c r="J24" s="1978">
        <f>IF(B5="x",IF(AUDITCHECK!D29="AFR form Incomplete.","",IF(AUDITCHECK!D29="Deficit reduction plan is required.","School District must complete a deficit reduction plan in the 2018-2019 Budget",)),"")</f>
        <v>0</v>
      </c>
      <c r="K24" s="1978"/>
      <c r="L24" s="1978"/>
      <c r="M24" s="1978"/>
      <c r="N24" s="1978"/>
      <c r="O24" s="1978"/>
      <c r="P24" s="1978"/>
      <c r="Q24" s="1978"/>
      <c r="R24" s="1978"/>
      <c r="S24" s="1979"/>
      <c r="T24" s="105" t="s">
        <v>552</v>
      </c>
      <c r="U24" s="106"/>
      <c r="V24" s="106"/>
      <c r="W24" s="106"/>
      <c r="X24" s="107"/>
      <c r="Y24" s="107"/>
      <c r="Z24" s="107"/>
      <c r="AA24" s="108"/>
    </row>
    <row r="25" spans="1:27" ht="14.1" customHeight="1" x14ac:dyDescent="0.2">
      <c r="A25" s="1955"/>
      <c r="B25" s="1956"/>
      <c r="C25" s="1956"/>
      <c r="D25" s="1956"/>
      <c r="E25" s="1956"/>
      <c r="F25" s="1956"/>
      <c r="G25" s="1956"/>
      <c r="H25" s="1957"/>
      <c r="I25" s="113"/>
      <c r="J25" s="1980"/>
      <c r="K25" s="1980"/>
      <c r="L25" s="1980"/>
      <c r="M25" s="1980"/>
      <c r="N25" s="1980"/>
      <c r="O25" s="1980"/>
      <c r="P25" s="1980"/>
      <c r="Q25" s="1980"/>
      <c r="R25" s="1980"/>
      <c r="S25" s="1981"/>
      <c r="T25" s="2051" t="s">
        <v>2087</v>
      </c>
      <c r="U25" s="2052"/>
      <c r="V25" s="2052"/>
      <c r="W25" s="2052"/>
      <c r="X25" s="2052"/>
      <c r="Y25" s="2052"/>
      <c r="Z25" s="2052"/>
      <c r="AA25" s="205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6" t="s">
        <v>1591</v>
      </c>
      <c r="J27" s="1967"/>
      <c r="K27" s="1967"/>
      <c r="L27" s="1967"/>
      <c r="M27" s="1967"/>
      <c r="N27" s="1967"/>
      <c r="O27" s="1967"/>
      <c r="P27" s="1967"/>
      <c r="Q27" s="1967"/>
      <c r="R27" s="1967"/>
      <c r="S27" s="196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7"/>
      <c r="Q35" s="1956"/>
      <c r="R35" s="195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1" t="s">
        <v>2093</v>
      </c>
      <c r="B38" s="1992"/>
      <c r="C38" s="1992"/>
      <c r="D38" s="1992"/>
      <c r="E38" s="1992"/>
      <c r="F38" s="1956"/>
      <c r="G38" s="1956"/>
      <c r="H38" s="1957"/>
      <c r="I38" s="1984"/>
      <c r="J38" s="1985"/>
      <c r="K38" s="1985"/>
      <c r="L38" s="1985"/>
      <c r="M38" s="1985"/>
      <c r="N38" s="1985"/>
      <c r="O38" s="1985"/>
      <c r="P38" s="1986"/>
      <c r="Q38" s="1986"/>
      <c r="R38" s="1986"/>
      <c r="S38" s="1987"/>
      <c r="T38" s="2041"/>
      <c r="U38" s="1985"/>
      <c r="V38" s="1985"/>
      <c r="W38" s="1985"/>
      <c r="X38" s="1986"/>
      <c r="Y38" s="1986"/>
      <c r="Z38" s="1986"/>
      <c r="AA38" s="1987"/>
    </row>
    <row r="39" spans="1:27" ht="12" customHeight="1" x14ac:dyDescent="0.2">
      <c r="A39" s="1961" t="s">
        <v>552</v>
      </c>
      <c r="B39" s="1962"/>
      <c r="C39" s="72"/>
      <c r="D39" s="69"/>
      <c r="E39" s="69"/>
      <c r="F39" s="79"/>
      <c r="G39" s="69"/>
      <c r="H39" s="56"/>
      <c r="I39" s="1961" t="s">
        <v>552</v>
      </c>
      <c r="J39" s="1962"/>
      <c r="K39" s="1962"/>
      <c r="L39" s="1962"/>
      <c r="M39" s="1962"/>
      <c r="N39" s="67"/>
      <c r="O39" s="72"/>
      <c r="P39" s="72"/>
      <c r="Q39" s="78"/>
      <c r="R39" s="72"/>
      <c r="S39" s="56"/>
      <c r="T39" s="72" t="s">
        <v>552</v>
      </c>
      <c r="U39" s="51"/>
      <c r="V39" s="72"/>
      <c r="W39" s="50"/>
      <c r="X39" s="78"/>
      <c r="Y39" s="45"/>
      <c r="Z39" s="45"/>
      <c r="AA39" s="46"/>
    </row>
    <row r="40" spans="1:27" ht="13.5" customHeight="1" x14ac:dyDescent="0.2">
      <c r="A40" s="1969" t="s">
        <v>2092</v>
      </c>
      <c r="B40" s="1970"/>
      <c r="C40" s="1971"/>
      <c r="D40" s="1971"/>
      <c r="E40" s="1971"/>
      <c r="F40" s="1972"/>
      <c r="G40" s="1972"/>
      <c r="H40" s="1973"/>
      <c r="I40" s="1994"/>
      <c r="J40" s="1995"/>
      <c r="K40" s="1995"/>
      <c r="L40" s="1995"/>
      <c r="M40" s="1995"/>
      <c r="N40" s="1995"/>
      <c r="O40" s="1995"/>
      <c r="P40" s="1995"/>
      <c r="Q40" s="1995"/>
      <c r="R40" s="1995"/>
      <c r="S40" s="1996"/>
      <c r="T40" s="1994"/>
      <c r="U40" s="2057"/>
      <c r="V40" s="1995"/>
      <c r="W40" s="1995"/>
      <c r="X40" s="1995"/>
      <c r="Y40" s="1995"/>
      <c r="Z40" s="1995"/>
      <c r="AA40" s="199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3">
        <v>3098534860</v>
      </c>
      <c r="B42" s="1975"/>
      <c r="C42" s="1976"/>
      <c r="D42" s="1974">
        <v>3098567976</v>
      </c>
      <c r="E42" s="1975"/>
      <c r="F42" s="1975"/>
      <c r="G42" s="1975"/>
      <c r="H42" s="1976"/>
      <c r="I42" s="1958"/>
      <c r="J42" s="1959"/>
      <c r="K42" s="1959"/>
      <c r="L42" s="1959"/>
      <c r="M42" s="1959"/>
      <c r="N42" s="1959"/>
      <c r="O42" s="1960"/>
      <c r="P42" s="1993"/>
      <c r="Q42" s="1959"/>
      <c r="R42" s="1959"/>
      <c r="S42" s="1960"/>
      <c r="T42" s="1958"/>
      <c r="U42" s="1959"/>
      <c r="V42" s="1959"/>
      <c r="W42" s="1960"/>
      <c r="X42" s="1993"/>
      <c r="Y42" s="1959"/>
      <c r="Z42" s="1959"/>
      <c r="AA42" s="196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8"/>
      <c r="B44" s="1989"/>
      <c r="C44" s="1989"/>
      <c r="D44" s="1989"/>
      <c r="E44" s="1989"/>
      <c r="F44" s="1989"/>
      <c r="G44" s="1989"/>
      <c r="H44" s="1990"/>
      <c r="I44" s="1963"/>
      <c r="J44" s="1964"/>
      <c r="K44" s="1964"/>
      <c r="L44" s="1964"/>
      <c r="M44" s="1964"/>
      <c r="N44" s="1964"/>
      <c r="O44" s="1964"/>
      <c r="P44" s="1964"/>
      <c r="Q44" s="1964"/>
      <c r="R44" s="1964"/>
      <c r="S44" s="1965"/>
      <c r="T44" s="1963"/>
      <c r="U44" s="1982"/>
      <c r="V44" s="1982"/>
      <c r="W44" s="1982"/>
      <c r="X44" s="1982"/>
      <c r="Y44" s="1982"/>
      <c r="Z44" s="1964"/>
      <c r="AA44" s="196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950000000000003" customHeight="1" x14ac:dyDescent="0.2">
      <c r="A1" s="1906" t="s">
        <v>106</v>
      </c>
    </row>
    <row r="2" spans="1:6" ht="39.75" customHeight="1" x14ac:dyDescent="0.2">
      <c r="A2" s="2197" t="s">
        <v>1905</v>
      </c>
      <c r="B2" s="1548" t="s">
        <v>2037</v>
      </c>
      <c r="C2" s="713" t="s">
        <v>1910</v>
      </c>
      <c r="D2" s="713" t="s">
        <v>1911</v>
      </c>
      <c r="E2" s="713" t="s">
        <v>1912</v>
      </c>
      <c r="F2" s="713" t="s">
        <v>1913</v>
      </c>
    </row>
    <row r="3" spans="1:6" ht="12" customHeight="1" x14ac:dyDescent="0.2">
      <c r="A3" s="2198"/>
      <c r="B3" s="1545"/>
      <c r="C3" s="1546"/>
      <c r="D3" s="1547" t="s">
        <v>274</v>
      </c>
      <c r="E3" s="1546"/>
      <c r="F3" s="1547" t="s">
        <v>275</v>
      </c>
    </row>
    <row r="4" spans="1:6" ht="13.9" customHeight="1" x14ac:dyDescent="0.2">
      <c r="A4" s="714" t="s">
        <v>1217</v>
      </c>
      <c r="B4" s="1769">
        <f>'Revenues 9-14'!C5</f>
        <v>1441007</v>
      </c>
      <c r="C4" s="1544">
        <v>747753</v>
      </c>
      <c r="D4" s="1772">
        <f>B4-C4</f>
        <v>693254</v>
      </c>
      <c r="E4" s="1544">
        <v>1476360</v>
      </c>
      <c r="F4" s="1772">
        <f>E4-C4</f>
        <v>728607</v>
      </c>
    </row>
    <row r="5" spans="1:6" ht="13.9" customHeight="1" x14ac:dyDescent="0.2">
      <c r="A5" s="714" t="s">
        <v>925</v>
      </c>
      <c r="B5" s="1770">
        <f>'Revenues 9-14'!D5</f>
        <v>277117</v>
      </c>
      <c r="C5" s="583">
        <v>143799</v>
      </c>
      <c r="D5" s="1773">
        <f t="shared" ref="D5:D18" si="0">B5-C5</f>
        <v>133318</v>
      </c>
      <c r="E5" s="583">
        <v>283915</v>
      </c>
      <c r="F5" s="1773">
        <f>E5-C5</f>
        <v>140116</v>
      </c>
    </row>
    <row r="6" spans="1:6" ht="13.9" customHeight="1" x14ac:dyDescent="0.2">
      <c r="A6" s="714" t="s">
        <v>431</v>
      </c>
      <c r="B6" s="1770">
        <f>'Revenues 9-14'!E5</f>
        <v>189651</v>
      </c>
      <c r="C6" s="583">
        <v>96777</v>
      </c>
      <c r="D6" s="1773">
        <f t="shared" si="0"/>
        <v>92874</v>
      </c>
      <c r="E6" s="583">
        <v>191075</v>
      </c>
      <c r="F6" s="1773">
        <f t="shared" ref="F6:F18" si="1">E6-C6</f>
        <v>94298</v>
      </c>
    </row>
    <row r="7" spans="1:6" ht="13.9" customHeight="1" x14ac:dyDescent="0.2">
      <c r="A7" s="714" t="s">
        <v>157</v>
      </c>
      <c r="B7" s="1770">
        <f>'Revenues 9-14'!F5</f>
        <v>110848</v>
      </c>
      <c r="C7" s="583">
        <v>57520</v>
      </c>
      <c r="D7" s="1773">
        <f t="shared" si="0"/>
        <v>53328</v>
      </c>
      <c r="E7" s="583">
        <v>113566</v>
      </c>
      <c r="F7" s="1773">
        <f t="shared" si="1"/>
        <v>56046</v>
      </c>
    </row>
    <row r="8" spans="1:6" ht="13.9" customHeight="1" x14ac:dyDescent="0.2">
      <c r="A8" s="714" t="s">
        <v>1241</v>
      </c>
      <c r="B8" s="1770">
        <f>'Revenues 9-14'!G5</f>
        <v>77193</v>
      </c>
      <c r="C8" s="583">
        <v>43053</v>
      </c>
      <c r="D8" s="1773">
        <f t="shared" si="0"/>
        <v>34140</v>
      </c>
      <c r="E8" s="583">
        <v>85004</v>
      </c>
      <c r="F8" s="1773">
        <f t="shared" si="1"/>
        <v>41951</v>
      </c>
    </row>
    <row r="9" spans="1:6" ht="13.9" customHeight="1" x14ac:dyDescent="0.2">
      <c r="A9" s="714" t="s">
        <v>428</v>
      </c>
      <c r="B9" s="1770">
        <f>'Revenues 9-14'!H5</f>
        <v>0</v>
      </c>
      <c r="C9" s="583">
        <v>0</v>
      </c>
      <c r="D9" s="1773">
        <f t="shared" si="0"/>
        <v>0</v>
      </c>
      <c r="E9" s="583">
        <v>0</v>
      </c>
      <c r="F9" s="1773">
        <f t="shared" si="1"/>
        <v>0</v>
      </c>
    </row>
    <row r="10" spans="1:6" ht="13.9" customHeight="1" x14ac:dyDescent="0.2">
      <c r="A10" s="714" t="s">
        <v>427</v>
      </c>
      <c r="B10" s="1770">
        <f>'Revenues 9-14'!I5</f>
        <v>27711</v>
      </c>
      <c r="C10" s="583">
        <v>14380</v>
      </c>
      <c r="D10" s="1773">
        <f t="shared" si="0"/>
        <v>13331</v>
      </c>
      <c r="E10" s="583">
        <v>28392</v>
      </c>
      <c r="F10" s="1773">
        <f t="shared" si="1"/>
        <v>14012</v>
      </c>
    </row>
    <row r="11" spans="1:6" x14ac:dyDescent="0.2">
      <c r="A11" s="714" t="s">
        <v>429</v>
      </c>
      <c r="B11" s="1770">
        <f>'Revenues 9-14'!J5</f>
        <v>212336</v>
      </c>
      <c r="C11" s="583">
        <v>112451</v>
      </c>
      <c r="D11" s="1773">
        <f t="shared" si="0"/>
        <v>99885</v>
      </c>
      <c r="E11" s="583">
        <v>222022</v>
      </c>
      <c r="F11" s="1773">
        <f t="shared" si="1"/>
        <v>109571</v>
      </c>
    </row>
    <row r="12" spans="1:6" ht="13.9" customHeight="1" x14ac:dyDescent="0.2">
      <c r="A12" s="714" t="s">
        <v>159</v>
      </c>
      <c r="B12" s="1770">
        <f>'Revenues 9-14'!K5</f>
        <v>0</v>
      </c>
      <c r="C12" s="583">
        <v>0</v>
      </c>
      <c r="D12" s="1773">
        <f t="shared" si="0"/>
        <v>0</v>
      </c>
      <c r="E12" s="583">
        <v>0</v>
      </c>
      <c r="F12" s="1773">
        <f t="shared" si="1"/>
        <v>0</v>
      </c>
    </row>
    <row r="13" spans="1:6" ht="13.9" customHeight="1" x14ac:dyDescent="0.2">
      <c r="A13" s="714" t="s">
        <v>993</v>
      </c>
      <c r="B13" s="1770">
        <f>SUM('Revenues 9-14'!C6:D6)</f>
        <v>21210</v>
      </c>
      <c r="C13" s="583">
        <v>14380</v>
      </c>
      <c r="D13" s="1773">
        <f t="shared" si="0"/>
        <v>6830</v>
      </c>
      <c r="E13" s="583">
        <v>28392</v>
      </c>
      <c r="F13" s="1773">
        <f t="shared" si="1"/>
        <v>14012</v>
      </c>
    </row>
    <row r="14" spans="1:6" ht="13.9" customHeight="1" x14ac:dyDescent="0.2">
      <c r="A14" s="714" t="s">
        <v>430</v>
      </c>
      <c r="B14" s="1770">
        <f>SUM('Revenues 9-14'!C7:D7,'Revenues 9-14'!F7:H7)</f>
        <v>22169</v>
      </c>
      <c r="C14" s="583">
        <v>11504</v>
      </c>
      <c r="D14" s="1773">
        <f t="shared" si="0"/>
        <v>10665</v>
      </c>
      <c r="E14" s="583">
        <v>22713</v>
      </c>
      <c r="F14" s="1773">
        <f t="shared" si="1"/>
        <v>11209</v>
      </c>
    </row>
    <row r="15" spans="1:6" ht="13.9" customHeight="1" x14ac:dyDescent="0.2">
      <c r="A15" s="714" t="s">
        <v>1220</v>
      </c>
      <c r="B15" s="1770">
        <f>'Revenues 9-14'!E9</f>
        <v>0</v>
      </c>
      <c r="C15" s="583">
        <v>0</v>
      </c>
      <c r="D15" s="1773">
        <f t="shared" si="0"/>
        <v>0</v>
      </c>
      <c r="E15" s="583">
        <v>0</v>
      </c>
      <c r="F15" s="1773">
        <f t="shared" si="1"/>
        <v>0</v>
      </c>
    </row>
    <row r="16" spans="1:6" ht="13.9" customHeight="1" x14ac:dyDescent="0.2">
      <c r="A16" s="714" t="s">
        <v>1221</v>
      </c>
      <c r="B16" s="1770">
        <f>'Revenues 9-14'!G8</f>
        <v>104185</v>
      </c>
      <c r="C16" s="583">
        <v>48144</v>
      </c>
      <c r="D16" s="1773">
        <f t="shared" si="0"/>
        <v>56041</v>
      </c>
      <c r="E16" s="583">
        <v>95055</v>
      </c>
      <c r="F16" s="1773">
        <f t="shared" si="1"/>
        <v>46911</v>
      </c>
    </row>
    <row r="17" spans="1:6" ht="13.9" customHeight="1" x14ac:dyDescent="0.2">
      <c r="A17" s="714" t="s">
        <v>1222</v>
      </c>
      <c r="B17" s="1770">
        <f>'Revenues 9-14'!C10</f>
        <v>0</v>
      </c>
      <c r="C17" s="583">
        <v>0</v>
      </c>
      <c r="D17" s="1773">
        <f t="shared" si="0"/>
        <v>0</v>
      </c>
      <c r="E17" s="583">
        <v>0</v>
      </c>
      <c r="F17" s="1773">
        <f t="shared" si="1"/>
        <v>0</v>
      </c>
    </row>
    <row r="18" spans="1:6" ht="13.9" customHeight="1" x14ac:dyDescent="0.2">
      <c r="A18" s="714" t="s">
        <v>786</v>
      </c>
      <c r="B18" s="1770">
        <f>SUM('Revenues 9-14'!C11:K11)</f>
        <v>0</v>
      </c>
      <c r="C18" s="583">
        <v>0</v>
      </c>
      <c r="D18" s="1773">
        <f t="shared" si="0"/>
        <v>0</v>
      </c>
      <c r="E18" s="583">
        <v>0</v>
      </c>
      <c r="F18" s="1773">
        <f t="shared" si="1"/>
        <v>0</v>
      </c>
    </row>
    <row r="19" spans="1:6" ht="13.9" customHeight="1" thickBot="1" x14ac:dyDescent="0.25">
      <c r="A19" s="1774" t="s">
        <v>1223</v>
      </c>
      <c r="B19" s="1771">
        <f>SUM(B4:B18)</f>
        <v>2483427</v>
      </c>
      <c r="C19" s="1771">
        <f>SUM(C4:C18)</f>
        <v>1289761</v>
      </c>
      <c r="D19" s="1771">
        <f>SUM(D4:D18)</f>
        <v>1193666</v>
      </c>
      <c r="E19" s="1771">
        <f>SUM(E4:E18)</f>
        <v>2546494</v>
      </c>
      <c r="F19" s="1771">
        <f>SUM(F4:F18)</f>
        <v>1256733</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2" customHeight="1" x14ac:dyDescent="0.2">
      <c r="A1" s="2219" t="s">
        <v>650</v>
      </c>
      <c r="B1" s="2217"/>
      <c r="C1" s="720"/>
    </row>
    <row r="2" spans="1:7" ht="33.75" x14ac:dyDescent="0.2">
      <c r="A2" s="2224" t="s">
        <v>1905</v>
      </c>
      <c r="B2" s="2225"/>
      <c r="C2" s="1907" t="s">
        <v>2038</v>
      </c>
      <c r="D2" s="722" t="s">
        <v>2045</v>
      </c>
      <c r="E2" s="722" t="s">
        <v>2046</v>
      </c>
      <c r="F2" s="1907" t="s">
        <v>2039</v>
      </c>
    </row>
    <row r="3" spans="1:7" ht="15.95" customHeight="1" x14ac:dyDescent="0.2">
      <c r="A3" s="2226" t="s">
        <v>1176</v>
      </c>
      <c r="B3" s="2227"/>
      <c r="C3" s="2220"/>
      <c r="D3" s="2221"/>
      <c r="E3" s="2221"/>
      <c r="F3" s="2222"/>
    </row>
    <row r="4" spans="1:7" ht="12.75" customHeight="1" thickBot="1" x14ac:dyDescent="0.25">
      <c r="A4" s="2214" t="s">
        <v>651</v>
      </c>
      <c r="B4" s="2215"/>
      <c r="C4" s="579"/>
      <c r="D4" s="579"/>
      <c r="E4" s="579"/>
      <c r="F4" s="1775">
        <f>SUM(C4+D4)-E4</f>
        <v>0</v>
      </c>
    </row>
    <row r="5" spans="1:7" ht="15.95" customHeight="1" thickTop="1" x14ac:dyDescent="0.2">
      <c r="A5" s="2218" t="s">
        <v>1172</v>
      </c>
      <c r="B5" s="2213"/>
      <c r="C5" s="2207"/>
      <c r="D5" s="2208"/>
      <c r="E5" s="2208"/>
      <c r="F5" s="2209"/>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0" t="s">
        <v>652</v>
      </c>
      <c r="B15" s="2211"/>
      <c r="C15" s="1775">
        <f>SUM(C6:C14)</f>
        <v>0</v>
      </c>
      <c r="D15" s="1775">
        <f>SUM(D6:D14)</f>
        <v>0</v>
      </c>
      <c r="E15" s="1775">
        <f>SUM(E6:E14)</f>
        <v>0</v>
      </c>
      <c r="F15" s="1775">
        <f>SUM(F6:F14)</f>
        <v>0</v>
      </c>
      <c r="G15" s="550"/>
    </row>
    <row r="16" spans="1:7" s="202" customFormat="1" ht="15.95" customHeight="1" thickTop="1" x14ac:dyDescent="0.2">
      <c r="A16" s="2223" t="s">
        <v>1173</v>
      </c>
      <c r="B16" s="2213"/>
      <c r="C16" s="2207"/>
      <c r="D16" s="2208"/>
      <c r="E16" s="2208"/>
      <c r="F16" s="2209"/>
    </row>
    <row r="17" spans="1:11" ht="12.75" customHeight="1" thickBot="1" x14ac:dyDescent="0.25">
      <c r="A17" s="2205" t="s">
        <v>66</v>
      </c>
      <c r="B17" s="2206"/>
      <c r="C17" s="725"/>
      <c r="D17" s="583"/>
      <c r="E17" s="725"/>
      <c r="F17" s="1775">
        <f>SUM(C17+D17)-E17</f>
        <v>0</v>
      </c>
    </row>
    <row r="18" spans="1:11" ht="12.75" customHeight="1" thickTop="1" thickBot="1" x14ac:dyDescent="0.25">
      <c r="A18" s="2205" t="s">
        <v>6</v>
      </c>
      <c r="B18" s="2206"/>
      <c r="C18" s="725"/>
      <c r="D18" s="583"/>
      <c r="E18" s="725"/>
      <c r="F18" s="1775">
        <f>SUM(C18+D18)-E18</f>
        <v>0</v>
      </c>
    </row>
    <row r="19" spans="1:11" ht="12.75" customHeight="1" thickTop="1" thickBot="1" x14ac:dyDescent="0.25">
      <c r="A19" s="2205" t="s">
        <v>406</v>
      </c>
      <c r="B19" s="2206"/>
      <c r="C19" s="725"/>
      <c r="D19" s="583"/>
      <c r="E19" s="725"/>
      <c r="F19" s="1775">
        <f>SUM(C19+D19)-E19</f>
        <v>0</v>
      </c>
    </row>
    <row r="20" spans="1:11" ht="12.75" customHeight="1" thickTop="1" thickBot="1" x14ac:dyDescent="0.25">
      <c r="A20" s="2205" t="s">
        <v>468</v>
      </c>
      <c r="B20" s="2206"/>
      <c r="C20" s="725"/>
      <c r="D20" s="583"/>
      <c r="E20" s="725"/>
      <c r="F20" s="1775">
        <f>SUM(C20+D20)-E20</f>
        <v>0</v>
      </c>
    </row>
    <row r="21" spans="1:11" ht="14.25" thickTop="1" thickBot="1" x14ac:dyDescent="0.25">
      <c r="A21" s="2210" t="s">
        <v>653</v>
      </c>
      <c r="B21" s="2211"/>
      <c r="C21" s="1775">
        <f>SUM(C17:C20)</f>
        <v>0</v>
      </c>
      <c r="D21" s="1775">
        <f>SUM(D17:D20)</f>
        <v>0</v>
      </c>
      <c r="E21" s="1775">
        <f>SUM(E17:E20)</f>
        <v>0</v>
      </c>
      <c r="F21" s="1775">
        <f>SUM(F17:F20)</f>
        <v>0</v>
      </c>
      <c r="G21" s="550"/>
    </row>
    <row r="22" spans="1:11" ht="15.95" customHeight="1" thickTop="1" x14ac:dyDescent="0.2">
      <c r="A22" s="2212" t="s">
        <v>1174</v>
      </c>
      <c r="B22" s="2213"/>
      <c r="C22" s="2207"/>
      <c r="D22" s="2208"/>
      <c r="E22" s="2208"/>
      <c r="F22" s="2209"/>
    </row>
    <row r="23" spans="1:11" ht="13.5" thickBot="1" x14ac:dyDescent="0.25">
      <c r="A23" s="2214" t="s">
        <v>654</v>
      </c>
      <c r="B23" s="2215"/>
      <c r="C23" s="579"/>
      <c r="D23" s="579"/>
      <c r="E23" s="579"/>
      <c r="F23" s="1775">
        <f>SUM(C23+D23)-E23</f>
        <v>0</v>
      </c>
      <c r="G23" s="550"/>
    </row>
    <row r="24" spans="1:11" ht="15.95" customHeight="1" thickTop="1" x14ac:dyDescent="0.2">
      <c r="A24" s="2212" t="s">
        <v>1175</v>
      </c>
      <c r="B24" s="2213"/>
      <c r="C24" s="2207"/>
      <c r="D24" s="2208"/>
      <c r="E24" s="2208"/>
      <c r="F24" s="2209"/>
    </row>
    <row r="25" spans="1:11" ht="13.5" thickBot="1" x14ac:dyDescent="0.25">
      <c r="A25" s="2214" t="s">
        <v>655</v>
      </c>
      <c r="B25" s="2215"/>
      <c r="C25" s="579"/>
      <c r="D25" s="579"/>
      <c r="E25" s="579"/>
      <c r="F25" s="1775">
        <f>SUM(C25+D25)-E25</f>
        <v>0</v>
      </c>
      <c r="G25" s="550"/>
    </row>
    <row r="26" spans="1:11" ht="15.95" customHeight="1" thickTop="1" x14ac:dyDescent="0.2">
      <c r="A26" s="2218" t="s">
        <v>678</v>
      </c>
      <c r="B26" s="2213"/>
      <c r="C26" s="726"/>
      <c r="D26" s="726"/>
      <c r="E26" s="726"/>
      <c r="F26" s="727"/>
    </row>
    <row r="27" spans="1:11" ht="13.5" thickBot="1" x14ac:dyDescent="0.25">
      <c r="A27" s="2210" t="s">
        <v>1130</v>
      </c>
      <c r="B27" s="2211"/>
      <c r="C27" s="583"/>
      <c r="D27" s="583"/>
      <c r="E27" s="583"/>
      <c r="F27" s="1775">
        <f>SUM(C27+D27)-E27</f>
        <v>0</v>
      </c>
      <c r="G27" s="550"/>
    </row>
    <row r="28" spans="1:11" ht="7.5" customHeight="1" thickTop="1" x14ac:dyDescent="0.2">
      <c r="A28" s="592"/>
    </row>
    <row r="29" spans="1:11" ht="23.45" customHeight="1" x14ac:dyDescent="0.2">
      <c r="A29" s="2216" t="s">
        <v>603</v>
      </c>
      <c r="B29" s="2217"/>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2095</v>
      </c>
      <c r="B31" s="732">
        <v>40154</v>
      </c>
      <c r="C31" s="733">
        <v>560000</v>
      </c>
      <c r="D31" s="734">
        <v>9</v>
      </c>
      <c r="E31" s="733">
        <v>560000</v>
      </c>
      <c r="F31" s="733"/>
      <c r="G31" s="733"/>
      <c r="H31" s="733"/>
      <c r="I31" s="1776">
        <f>((E31+F31)-H31)+G31</f>
        <v>560000</v>
      </c>
      <c r="J31" s="733">
        <f>I31-328394</f>
        <v>231606</v>
      </c>
      <c r="K31" s="735"/>
    </row>
    <row r="32" spans="1:11" ht="12" customHeight="1" x14ac:dyDescent="0.2">
      <c r="A32" s="731" t="s">
        <v>2096</v>
      </c>
      <c r="B32" s="732">
        <v>41426</v>
      </c>
      <c r="C32" s="733">
        <v>600000</v>
      </c>
      <c r="D32" s="734">
        <v>1</v>
      </c>
      <c r="E32" s="733">
        <v>600000</v>
      </c>
      <c r="F32" s="733"/>
      <c r="G32" s="733"/>
      <c r="H32" s="733">
        <v>140000</v>
      </c>
      <c r="I32" s="1776">
        <f>((E32+F32)-H32)+G32</f>
        <v>460000</v>
      </c>
      <c r="J32" s="733">
        <f>I32-69683</f>
        <v>390317</v>
      </c>
      <c r="K32" s="735"/>
    </row>
    <row r="33" spans="1:11" ht="12" customHeight="1" x14ac:dyDescent="0.2">
      <c r="A33" s="731" t="s">
        <v>2097</v>
      </c>
      <c r="B33" s="732">
        <v>41791</v>
      </c>
      <c r="C33" s="733">
        <v>1235000</v>
      </c>
      <c r="D33" s="734">
        <v>8</v>
      </c>
      <c r="E33" s="733">
        <v>1070000</v>
      </c>
      <c r="F33" s="733"/>
      <c r="G33" s="733"/>
      <c r="H33" s="733">
        <v>125000</v>
      </c>
      <c r="I33" s="1776">
        <f t="shared" ref="I33:I48" si="1">((E33+F33)-H33)+G33</f>
        <v>945000</v>
      </c>
      <c r="J33" s="733">
        <f>I33-138627</f>
        <v>806373</v>
      </c>
      <c r="K33" s="735"/>
    </row>
    <row r="34" spans="1:11" ht="12" customHeight="1" x14ac:dyDescent="0.2">
      <c r="A34" s="731" t="s">
        <v>2098</v>
      </c>
      <c r="B34" s="732"/>
      <c r="C34" s="733">
        <v>31946</v>
      </c>
      <c r="D34" s="734">
        <v>7</v>
      </c>
      <c r="E34" s="733">
        <v>20938</v>
      </c>
      <c r="F34" s="733"/>
      <c r="G34" s="733"/>
      <c r="H34" s="733">
        <v>10258</v>
      </c>
      <c r="I34" s="1776">
        <f t="shared" si="1"/>
        <v>10680</v>
      </c>
      <c r="J34" s="733">
        <f>I34</f>
        <v>10680</v>
      </c>
      <c r="K34" s="736"/>
    </row>
    <row r="35" spans="1:11" ht="12" customHeight="1" x14ac:dyDescent="0.2">
      <c r="A35" s="731" t="s">
        <v>2099</v>
      </c>
      <c r="B35" s="732"/>
      <c r="C35" s="737">
        <v>95380</v>
      </c>
      <c r="D35" s="734">
        <v>7</v>
      </c>
      <c r="E35" s="737">
        <v>76156</v>
      </c>
      <c r="F35" s="737"/>
      <c r="G35" s="737"/>
      <c r="H35" s="737">
        <v>18932</v>
      </c>
      <c r="I35" s="1776">
        <f t="shared" si="1"/>
        <v>57224</v>
      </c>
      <c r="J35" s="737">
        <f>I35</f>
        <v>57224</v>
      </c>
      <c r="K35" s="736"/>
    </row>
    <row r="36" spans="1:11" ht="12" customHeight="1" x14ac:dyDescent="0.2">
      <c r="A36" s="731" t="s">
        <v>2099</v>
      </c>
      <c r="B36" s="732"/>
      <c r="C36" s="733">
        <v>83473</v>
      </c>
      <c r="D36" s="734">
        <v>7</v>
      </c>
      <c r="E36" s="733">
        <v>66371</v>
      </c>
      <c r="F36" s="733"/>
      <c r="G36" s="733"/>
      <c r="H36" s="733">
        <v>16500</v>
      </c>
      <c r="I36" s="1776">
        <f t="shared" si="1"/>
        <v>49871</v>
      </c>
      <c r="J36" s="733">
        <f>I36</f>
        <v>49871</v>
      </c>
      <c r="K36" s="738"/>
    </row>
    <row r="37" spans="1:11" ht="12" customHeight="1" x14ac:dyDescent="0.2">
      <c r="A37" s="731" t="s">
        <v>2098</v>
      </c>
      <c r="B37" s="732"/>
      <c r="C37" s="467">
        <v>27388</v>
      </c>
      <c r="D37" s="739">
        <v>7</v>
      </c>
      <c r="E37" s="467"/>
      <c r="F37" s="467"/>
      <c r="G37" s="467">
        <v>27388</v>
      </c>
      <c r="H37" s="467">
        <v>9479</v>
      </c>
      <c r="I37" s="1776">
        <f t="shared" si="1"/>
        <v>17909</v>
      </c>
      <c r="J37" s="467">
        <f>I37</f>
        <v>17909</v>
      </c>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2633187</v>
      </c>
      <c r="D49" s="744"/>
      <c r="E49" s="1776">
        <f t="shared" ref="E49:J49" si="2">SUM(E31:E48)</f>
        <v>2393465</v>
      </c>
      <c r="F49" s="1776">
        <f t="shared" si="2"/>
        <v>0</v>
      </c>
      <c r="G49" s="1776">
        <f t="shared" si="2"/>
        <v>27388</v>
      </c>
      <c r="H49" s="1776">
        <f t="shared" si="2"/>
        <v>320169</v>
      </c>
      <c r="I49" s="1776">
        <f t="shared" si="2"/>
        <v>2100684</v>
      </c>
      <c r="J49" s="1776">
        <f t="shared" si="2"/>
        <v>1563980</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199" t="s">
        <v>605</v>
      </c>
      <c r="C52" s="2200"/>
      <c r="D52" s="2200"/>
      <c r="E52" s="748" t="s">
        <v>900</v>
      </c>
      <c r="F52" s="2201" t="s">
        <v>2127</v>
      </c>
      <c r="G52" s="2202"/>
      <c r="H52" s="735"/>
      <c r="I52" s="735"/>
      <c r="J52" s="745"/>
    </row>
    <row r="53" spans="1:11" ht="11.25" customHeight="1" x14ac:dyDescent="0.2">
      <c r="A53" s="749" t="s">
        <v>969</v>
      </c>
      <c r="B53" s="750" t="s">
        <v>1008</v>
      </c>
      <c r="C53" s="745"/>
      <c r="D53" s="736"/>
      <c r="E53" s="748" t="s">
        <v>518</v>
      </c>
      <c r="F53" s="2203" t="s">
        <v>2097</v>
      </c>
      <c r="G53" s="2204"/>
      <c r="H53" s="735"/>
      <c r="I53" s="735"/>
      <c r="J53" s="745"/>
    </row>
    <row r="54" spans="1:11" ht="11.25" customHeight="1" x14ac:dyDescent="0.2">
      <c r="A54" s="751" t="s">
        <v>970</v>
      </c>
      <c r="B54" s="746" t="s">
        <v>1009</v>
      </c>
      <c r="C54" s="745"/>
      <c r="D54" s="736"/>
      <c r="E54" s="748" t="s">
        <v>519</v>
      </c>
      <c r="F54" s="2203" t="s">
        <v>2143</v>
      </c>
      <c r="G54" s="2204"/>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8" t="s">
        <v>911</v>
      </c>
      <c r="B1" s="2229"/>
      <c r="C1" s="2229"/>
      <c r="D1" s="2229"/>
      <c r="E1" s="2229"/>
      <c r="F1" s="2229"/>
      <c r="G1" s="2230"/>
      <c r="H1" s="1550"/>
      <c r="I1" s="759"/>
      <c r="J1" s="433"/>
    </row>
    <row r="2" spans="1:11" ht="26.25" x14ac:dyDescent="0.2">
      <c r="A2" s="2247" t="s">
        <v>1776</v>
      </c>
      <c r="B2" s="2248"/>
      <c r="C2" s="2248"/>
      <c r="D2" s="2248"/>
      <c r="E2" s="2249"/>
      <c r="F2" s="760" t="s">
        <v>960</v>
      </c>
      <c r="G2" s="761" t="s">
        <v>1773</v>
      </c>
      <c r="H2" s="761" t="s">
        <v>430</v>
      </c>
      <c r="I2" s="761" t="s">
        <v>1220</v>
      </c>
      <c r="J2" s="761" t="s">
        <v>1919</v>
      </c>
      <c r="K2" s="761" t="s">
        <v>140</v>
      </c>
    </row>
    <row r="3" spans="1:11" x14ac:dyDescent="0.2">
      <c r="A3" s="2250" t="s">
        <v>1698</v>
      </c>
      <c r="B3" s="2251"/>
      <c r="C3" s="2251"/>
      <c r="D3" s="2251"/>
      <c r="E3" s="2252"/>
      <c r="F3" s="762"/>
      <c r="G3" s="763"/>
      <c r="H3" s="763"/>
      <c r="I3" s="763"/>
      <c r="J3" s="764"/>
      <c r="K3" s="764"/>
    </row>
    <row r="4" spans="1:11" x14ac:dyDescent="0.2">
      <c r="A4" s="2253" t="s">
        <v>387</v>
      </c>
      <c r="B4" s="2254"/>
      <c r="C4" s="2254"/>
      <c r="D4" s="2254"/>
      <c r="E4" s="2200"/>
      <c r="F4" s="765"/>
      <c r="G4" s="766"/>
      <c r="H4" s="767"/>
      <c r="I4" s="766"/>
      <c r="J4" s="768"/>
      <c r="K4" s="768"/>
    </row>
    <row r="5" spans="1:11" x14ac:dyDescent="0.2">
      <c r="A5" s="2231" t="s">
        <v>1129</v>
      </c>
      <c r="B5" s="2232"/>
      <c r="C5" s="2232"/>
      <c r="D5" s="2232"/>
      <c r="E5" s="2233"/>
      <c r="F5" s="769" t="s">
        <v>903</v>
      </c>
      <c r="G5" s="770"/>
      <c r="H5" s="763">
        <v>22169</v>
      </c>
      <c r="I5" s="771"/>
      <c r="J5" s="772"/>
      <c r="K5" s="772"/>
    </row>
    <row r="6" spans="1:11" x14ac:dyDescent="0.2">
      <c r="A6" s="773" t="s">
        <v>744</v>
      </c>
      <c r="B6" s="774"/>
      <c r="C6" s="774"/>
      <c r="D6" s="774"/>
      <c r="E6" s="775"/>
      <c r="F6" s="776" t="s">
        <v>904</v>
      </c>
      <c r="G6" s="763"/>
      <c r="H6" s="763">
        <v>12</v>
      </c>
      <c r="I6" s="763"/>
      <c r="J6" s="764">
        <v>2</v>
      </c>
      <c r="K6" s="764"/>
    </row>
    <row r="7" spans="1:11" x14ac:dyDescent="0.2">
      <c r="A7" s="777" t="s">
        <v>264</v>
      </c>
      <c r="B7" s="778"/>
      <c r="C7" s="778"/>
      <c r="D7" s="778"/>
      <c r="E7" s="779"/>
      <c r="F7" s="769" t="s">
        <v>905</v>
      </c>
      <c r="G7" s="766"/>
      <c r="H7" s="766"/>
      <c r="I7" s="766"/>
      <c r="J7" s="780"/>
      <c r="K7" s="764">
        <v>3660</v>
      </c>
    </row>
    <row r="8" spans="1:11" x14ac:dyDescent="0.2">
      <c r="A8" s="777" t="s">
        <v>363</v>
      </c>
      <c r="B8" s="778"/>
      <c r="C8" s="778"/>
      <c r="D8" s="778"/>
      <c r="E8" s="779"/>
      <c r="F8" s="769" t="s">
        <v>906</v>
      </c>
      <c r="G8" s="781"/>
      <c r="H8" s="781"/>
      <c r="I8" s="781"/>
      <c r="J8" s="764">
        <f>170065+59354</f>
        <v>229419</v>
      </c>
      <c r="K8" s="768"/>
    </row>
    <row r="9" spans="1:11" x14ac:dyDescent="0.2">
      <c r="A9" s="777" t="s">
        <v>140</v>
      </c>
      <c r="B9" s="778"/>
      <c r="C9" s="778"/>
      <c r="D9" s="778"/>
      <c r="E9" s="779"/>
      <c r="F9" s="776" t="s">
        <v>908</v>
      </c>
      <c r="G9" s="781"/>
      <c r="H9" s="770"/>
      <c r="I9" s="770"/>
      <c r="J9" s="780"/>
      <c r="K9" s="764">
        <v>5902</v>
      </c>
    </row>
    <row r="10" spans="1:11" x14ac:dyDescent="0.2">
      <c r="A10" s="2231" t="s">
        <v>1920</v>
      </c>
      <c r="B10" s="2232"/>
      <c r="C10" s="2232"/>
      <c r="D10" s="2232"/>
      <c r="E10" s="2234"/>
      <c r="F10" s="782" t="s">
        <v>917</v>
      </c>
      <c r="G10" s="781"/>
      <c r="H10" s="783"/>
      <c r="I10" s="763"/>
      <c r="J10" s="764"/>
      <c r="K10" s="764"/>
    </row>
    <row r="11" spans="1:11" x14ac:dyDescent="0.2">
      <c r="A11" s="2231" t="s">
        <v>162</v>
      </c>
      <c r="B11" s="2232"/>
      <c r="C11" s="2232"/>
      <c r="D11" s="2232"/>
      <c r="E11" s="2233"/>
      <c r="F11" s="769" t="s">
        <v>907</v>
      </c>
      <c r="G11" s="770"/>
      <c r="H11" s="763"/>
      <c r="I11" s="763"/>
      <c r="J11" s="764"/>
      <c r="K11" s="772"/>
    </row>
    <row r="12" spans="1:11" ht="13.5" thickBot="1" x14ac:dyDescent="0.25">
      <c r="A12" s="2258" t="s">
        <v>961</v>
      </c>
      <c r="B12" s="2259"/>
      <c r="C12" s="2259"/>
      <c r="D12" s="2259"/>
      <c r="E12" s="2260"/>
      <c r="F12" s="1777"/>
      <c r="G12" s="1778">
        <f>SUM(G5:G11)</f>
        <v>0</v>
      </c>
      <c r="H12" s="1778">
        <f>SUM(H5:H11)</f>
        <v>22181</v>
      </c>
      <c r="I12" s="1778">
        <f>SUM(I5:I11)</f>
        <v>0</v>
      </c>
      <c r="J12" s="1778">
        <f>SUM(J5:J11)</f>
        <v>229421</v>
      </c>
      <c r="K12" s="1778">
        <f>SUM(K5:K11)</f>
        <v>9562</v>
      </c>
    </row>
    <row r="13" spans="1:11" ht="13.5" thickTop="1" x14ac:dyDescent="0.2">
      <c r="A13" s="2255" t="s">
        <v>388</v>
      </c>
      <c r="B13" s="2256"/>
      <c r="C13" s="2256"/>
      <c r="D13" s="2256"/>
      <c r="E13" s="2257"/>
      <c r="F13" s="784"/>
      <c r="G13" s="785"/>
      <c r="H13" s="786"/>
      <c r="I13" s="787"/>
      <c r="J13" s="787"/>
      <c r="K13" s="787"/>
    </row>
    <row r="14" spans="1:11" x14ac:dyDescent="0.2">
      <c r="A14" s="2238" t="s">
        <v>476</v>
      </c>
      <c r="B14" s="2238"/>
      <c r="C14" s="2238"/>
      <c r="D14" s="2238"/>
      <c r="E14" s="2239"/>
      <c r="F14" s="788" t="s">
        <v>909</v>
      </c>
      <c r="G14" s="781"/>
      <c r="H14" s="763">
        <v>22181</v>
      </c>
      <c r="I14" s="770"/>
      <c r="J14" s="772"/>
      <c r="K14" s="764">
        <v>9562</v>
      </c>
    </row>
    <row r="15" spans="1:11" x14ac:dyDescent="0.2">
      <c r="A15" s="2232" t="s">
        <v>4</v>
      </c>
      <c r="B15" s="2232"/>
      <c r="C15" s="2232"/>
      <c r="D15" s="2232"/>
      <c r="E15" s="2233"/>
      <c r="F15" s="788" t="s">
        <v>910</v>
      </c>
      <c r="G15" s="770"/>
      <c r="H15" s="763"/>
      <c r="I15" s="763"/>
      <c r="J15" s="764">
        <v>59354</v>
      </c>
      <c r="K15" s="764"/>
    </row>
    <row r="16" spans="1:11" x14ac:dyDescent="0.2">
      <c r="A16" s="2232" t="s">
        <v>316</v>
      </c>
      <c r="B16" s="2232"/>
      <c r="C16" s="2232"/>
      <c r="D16" s="2232"/>
      <c r="E16" s="2233"/>
      <c r="F16" s="788" t="s">
        <v>980</v>
      </c>
      <c r="G16" s="771"/>
      <c r="H16" s="766"/>
      <c r="I16" s="766"/>
      <c r="J16" s="768"/>
      <c r="K16" s="768"/>
    </row>
    <row r="17" spans="1:11" x14ac:dyDescent="0.2">
      <c r="A17" s="2263" t="s">
        <v>992</v>
      </c>
      <c r="B17" s="2263"/>
      <c r="C17" s="2263"/>
      <c r="D17" s="2263"/>
      <c r="E17" s="2264"/>
      <c r="F17" s="789"/>
      <c r="G17" s="790"/>
      <c r="H17" s="791"/>
      <c r="I17" s="791"/>
      <c r="J17" s="792"/>
      <c r="K17" s="793"/>
    </row>
    <row r="18" spans="1:11" x14ac:dyDescent="0.2">
      <c r="A18" s="2242" t="s">
        <v>386</v>
      </c>
      <c r="B18" s="2243"/>
      <c r="C18" s="2243"/>
      <c r="D18" s="2243"/>
      <c r="E18" s="2244"/>
      <c r="F18" s="788" t="s">
        <v>989</v>
      </c>
      <c r="G18" s="781"/>
      <c r="H18" s="781"/>
      <c r="I18" s="781"/>
      <c r="J18" s="764"/>
      <c r="K18" s="794"/>
    </row>
    <row r="19" spans="1:11" ht="21.75" customHeight="1" x14ac:dyDescent="0.2">
      <c r="A19" s="2240" t="s">
        <v>1916</v>
      </c>
      <c r="B19" s="2240"/>
      <c r="C19" s="2240"/>
      <c r="D19" s="2240"/>
      <c r="E19" s="2241"/>
      <c r="F19" s="788" t="s">
        <v>990</v>
      </c>
      <c r="G19" s="781"/>
      <c r="H19" s="781"/>
      <c r="I19" s="781"/>
      <c r="J19" s="764">
        <v>149722</v>
      </c>
      <c r="K19" s="794"/>
    </row>
    <row r="20" spans="1:11" x14ac:dyDescent="0.2">
      <c r="A20" s="2242" t="s">
        <v>1921</v>
      </c>
      <c r="B20" s="2243"/>
      <c r="C20" s="2243"/>
      <c r="D20" s="2243"/>
      <c r="E20" s="2244"/>
      <c r="F20" s="788" t="s">
        <v>991</v>
      </c>
      <c r="G20" s="781"/>
      <c r="H20" s="781"/>
      <c r="I20" s="781"/>
      <c r="J20" s="764"/>
      <c r="K20" s="794"/>
    </row>
    <row r="21" spans="1:11" ht="13.5" thickBot="1" x14ac:dyDescent="0.25">
      <c r="A21" s="2261" t="s">
        <v>659</v>
      </c>
      <c r="B21" s="2261"/>
      <c r="C21" s="2261"/>
      <c r="D21" s="2261"/>
      <c r="E21" s="2261"/>
      <c r="F21" s="1779"/>
      <c r="G21" s="791"/>
      <c r="H21" s="795"/>
      <c r="I21" s="795"/>
      <c r="J21" s="1780">
        <f>SUM(J18:J20)</f>
        <v>149722</v>
      </c>
      <c r="K21" s="792"/>
    </row>
    <row r="22" spans="1:11" ht="13.5" thickTop="1" x14ac:dyDescent="0.2">
      <c r="A22" s="2232" t="s">
        <v>1922</v>
      </c>
      <c r="B22" s="2232"/>
      <c r="C22" s="2232"/>
      <c r="D22" s="2232"/>
      <c r="E22" s="2233"/>
      <c r="F22" s="788" t="s">
        <v>917</v>
      </c>
      <c r="G22" s="781"/>
      <c r="H22" s="763"/>
      <c r="I22" s="763"/>
      <c r="J22" s="796"/>
      <c r="K22" s="764"/>
    </row>
    <row r="23" spans="1:11" ht="13.5" thickBot="1" x14ac:dyDescent="0.25">
      <c r="A23" s="2262" t="s">
        <v>962</v>
      </c>
      <c r="B23" s="2261"/>
      <c r="C23" s="2261"/>
      <c r="D23" s="2261"/>
      <c r="E23" s="2261"/>
      <c r="F23" s="1781"/>
      <c r="G23" s="1778">
        <f>SUM(G14:G16,G21,G22)</f>
        <v>0</v>
      </c>
      <c r="H23" s="1778">
        <f>SUM(H14:H16,H21,H22)</f>
        <v>22181</v>
      </c>
      <c r="I23" s="1778">
        <f>SUM(I14:I16,I21,I22)</f>
        <v>0</v>
      </c>
      <c r="J23" s="1778">
        <f>SUM(J14:J16,J21,J22)</f>
        <v>209076</v>
      </c>
      <c r="K23" s="1778">
        <f>SUM(K14:K16,K21,K22)</f>
        <v>9562</v>
      </c>
    </row>
    <row r="24" spans="1:11" ht="14.25" thickTop="1" thickBot="1" x14ac:dyDescent="0.25">
      <c r="A24" s="2262" t="s">
        <v>2026</v>
      </c>
      <c r="B24" s="2261"/>
      <c r="C24" s="2261"/>
      <c r="D24" s="2261"/>
      <c r="E24" s="2261"/>
      <c r="F24" s="1782"/>
      <c r="G24" s="1783">
        <f>SUM(G3,G12)-G23</f>
        <v>0</v>
      </c>
      <c r="H24" s="1783">
        <f>SUM(H3,H12)-H23</f>
        <v>0</v>
      </c>
      <c r="I24" s="1783">
        <f>SUM(I3,I12)-I23</f>
        <v>0</v>
      </c>
      <c r="J24" s="1783">
        <f>SUM(J3,J12)-J23</f>
        <v>20345</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20345</v>
      </c>
      <c r="K26" s="1778">
        <f>K24-K25</f>
        <v>0</v>
      </c>
    </row>
    <row r="27" spans="1:11" ht="5.4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35"/>
      <c r="I31" s="2236"/>
      <c r="J31" s="2236"/>
      <c r="K31" s="2236"/>
    </row>
    <row r="32" spans="1:11" x14ac:dyDescent="0.2">
      <c r="A32" s="808"/>
      <c r="B32" s="237"/>
      <c r="C32" s="237"/>
      <c r="D32" s="237"/>
      <c r="E32" s="804"/>
      <c r="F32" s="810" t="s">
        <v>561</v>
      </c>
      <c r="G32" s="763"/>
      <c r="H32" s="2237"/>
      <c r="I32" s="2236"/>
      <c r="J32" s="2236"/>
      <c r="K32" s="2236"/>
    </row>
    <row r="33" spans="1:11" ht="1.7" customHeight="1" x14ac:dyDescent="0.2">
      <c r="A33" s="811" t="s">
        <v>1231</v>
      </c>
      <c r="B33" s="364"/>
      <c r="C33" s="364"/>
      <c r="D33" s="364"/>
      <c r="E33" s="364"/>
      <c r="F33" s="364"/>
      <c r="G33" s="812"/>
      <c r="H33" s="2237"/>
      <c r="I33" s="2236"/>
      <c r="J33" s="2236"/>
      <c r="K33" s="2236"/>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2" t="s">
        <v>562</v>
      </c>
      <c r="B41" s="2245"/>
      <c r="C41" s="2245"/>
      <c r="D41" s="2245"/>
      <c r="E41" s="2245"/>
      <c r="F41" s="2246"/>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2035</v>
      </c>
      <c r="B1" s="2268"/>
      <c r="C1" s="2269"/>
      <c r="D1" s="825"/>
      <c r="E1" s="826"/>
      <c r="F1" s="826"/>
      <c r="G1" s="827"/>
      <c r="H1" s="828"/>
      <c r="I1" s="829"/>
      <c r="J1" s="2265"/>
      <c r="K1" s="2266"/>
      <c r="L1" s="2266"/>
    </row>
    <row r="2" spans="1:14" ht="69.9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39570</v>
      </c>
      <c r="D5" s="840"/>
      <c r="E5" s="840"/>
      <c r="F5" s="1780">
        <f>(C5+D5)-E5</f>
        <v>39570</v>
      </c>
      <c r="G5" s="836"/>
      <c r="H5" s="841"/>
      <c r="I5" s="841"/>
      <c r="J5" s="841"/>
      <c r="K5" s="792"/>
      <c r="L5" s="1789">
        <f>F5-K5</f>
        <v>39570</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5894508</v>
      </c>
      <c r="D8" s="843">
        <v>16823</v>
      </c>
      <c r="E8" s="843"/>
      <c r="F8" s="1780">
        <f>(C8+D8)-E8</f>
        <v>5911331</v>
      </c>
      <c r="G8" s="842">
        <v>50</v>
      </c>
      <c r="H8" s="764">
        <v>2677114</v>
      </c>
      <c r="I8" s="764">
        <v>95225</v>
      </c>
      <c r="J8" s="764"/>
      <c r="K8" s="1789">
        <f>(H8+I8)-J8</f>
        <v>2772339</v>
      </c>
      <c r="L8" s="1789">
        <f>F8-K8</f>
        <v>3138992</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1089969</v>
      </c>
      <c r="D10" s="845"/>
      <c r="E10" s="845"/>
      <c r="F10" s="1784">
        <f>(C10+D10)-E10</f>
        <v>1089969</v>
      </c>
      <c r="G10" s="842">
        <v>20</v>
      </c>
      <c r="H10" s="846">
        <v>500756</v>
      </c>
      <c r="I10" s="846">
        <v>43231</v>
      </c>
      <c r="J10" s="846"/>
      <c r="K10" s="1789">
        <f>(H10+I10)-J10</f>
        <v>543987</v>
      </c>
      <c r="L10" s="1789">
        <f>F10-K10</f>
        <v>545982</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769687</v>
      </c>
      <c r="D12" s="843">
        <v>104990</v>
      </c>
      <c r="E12" s="843">
        <v>105866</v>
      </c>
      <c r="F12" s="1780">
        <f>(C12+D12)-E12</f>
        <v>768811</v>
      </c>
      <c r="G12" s="842">
        <v>10</v>
      </c>
      <c r="H12" s="764">
        <v>416804</v>
      </c>
      <c r="I12" s="764">
        <v>76879</v>
      </c>
      <c r="J12" s="764">
        <v>105866</v>
      </c>
      <c r="K12" s="1789">
        <f>(H12+I12)-J12</f>
        <v>387817</v>
      </c>
      <c r="L12" s="1789">
        <f>F12-K12</f>
        <v>380994</v>
      </c>
    </row>
    <row r="13" spans="1:14" ht="14.25" thickTop="1" thickBot="1" x14ac:dyDescent="0.25">
      <c r="A13" s="847" t="s">
        <v>1184</v>
      </c>
      <c r="B13" s="839">
        <v>252</v>
      </c>
      <c r="C13" s="843">
        <v>672065</v>
      </c>
      <c r="D13" s="843"/>
      <c r="E13" s="843"/>
      <c r="F13" s="1780">
        <f>(C13+D13)-E13</f>
        <v>672065</v>
      </c>
      <c r="G13" s="842">
        <v>5</v>
      </c>
      <c r="H13" s="764">
        <v>504427</v>
      </c>
      <c r="I13" s="764">
        <v>50962</v>
      </c>
      <c r="J13" s="764"/>
      <c r="K13" s="1789">
        <f>(H13+I13)-J13</f>
        <v>555389</v>
      </c>
      <c r="L13" s="1789">
        <f>F13-K13</f>
        <v>116676</v>
      </c>
    </row>
    <row r="14" spans="1:14" ht="14.25" thickTop="1" thickBot="1" x14ac:dyDescent="0.25">
      <c r="A14" s="847" t="s">
        <v>1185</v>
      </c>
      <c r="B14" s="839">
        <v>253</v>
      </c>
      <c r="C14" s="764">
        <v>0</v>
      </c>
      <c r="D14" s="764"/>
      <c r="E14" s="764"/>
      <c r="F14" s="1780">
        <f>(C14+D14)-E14</f>
        <v>0</v>
      </c>
      <c r="G14" s="842">
        <v>3</v>
      </c>
      <c r="H14" s="764">
        <v>0</v>
      </c>
      <c r="I14" s="764"/>
      <c r="J14" s="764"/>
      <c r="K14" s="1789">
        <f>(H14+I14)-J14</f>
        <v>0</v>
      </c>
      <c r="L14" s="1789">
        <f>F14-K14</f>
        <v>0</v>
      </c>
    </row>
    <row r="15" spans="1:14" ht="15" customHeight="1" thickTop="1" thickBot="1" x14ac:dyDescent="0.25">
      <c r="A15" s="1651" t="s">
        <v>549</v>
      </c>
      <c r="B15" s="1650">
        <v>260</v>
      </c>
      <c r="C15" s="843">
        <v>0</v>
      </c>
      <c r="D15" s="843">
        <v>39379</v>
      </c>
      <c r="E15" s="843"/>
      <c r="F15" s="1780">
        <f>(C15+D15)-E15</f>
        <v>39379</v>
      </c>
      <c r="G15" s="848" t="s">
        <v>917</v>
      </c>
      <c r="H15" s="780"/>
      <c r="I15" s="780"/>
      <c r="J15" s="780"/>
      <c r="K15" s="780"/>
      <c r="L15" s="1789">
        <f>F15-K15</f>
        <v>39379</v>
      </c>
    </row>
    <row r="16" spans="1:14" ht="15" customHeight="1" thickTop="1" thickBot="1" x14ac:dyDescent="0.25">
      <c r="A16" s="1785" t="s">
        <v>664</v>
      </c>
      <c r="B16" s="1786">
        <v>200</v>
      </c>
      <c r="C16" s="1780">
        <f>SUM(C3,C5:C6,C8:C10,C12:C15)</f>
        <v>8465799</v>
      </c>
      <c r="D16" s="1780">
        <f>SUM(D3,D5:D6,D8:D10,D12:D15)</f>
        <v>161192</v>
      </c>
      <c r="E16" s="1780">
        <f>SUM(E3,E5:E6,E8:E10,E12:E15)</f>
        <v>105866</v>
      </c>
      <c r="F16" s="1780">
        <f>SUM(F3,F5:F6,F8:F10,F12:F15)</f>
        <v>8521125</v>
      </c>
      <c r="G16" s="842"/>
      <c r="H16" s="1780">
        <f>SUM(H3,H6,H8:H10,H12:H14,)</f>
        <v>4099101</v>
      </c>
      <c r="I16" s="1780">
        <f>SUM(I3,I6,I8:I10,I12:I14,)</f>
        <v>266297</v>
      </c>
      <c r="J16" s="1780">
        <f>SUM(J3,J6,J8:J10,J12:J14,)</f>
        <v>105866</v>
      </c>
      <c r="K16" s="1780">
        <f>(H16+I16)-J16</f>
        <v>4259532</v>
      </c>
      <c r="L16" s="1780">
        <f>F16-K16</f>
        <v>4261593</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266297</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1.1"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21" sqref="A21"/>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7" customHeight="1" thickTop="1" x14ac:dyDescent="0.2">
      <c r="A1" s="2273" t="s">
        <v>1699</v>
      </c>
      <c r="B1" s="2274"/>
      <c r="C1" s="2274"/>
      <c r="D1" s="2274"/>
      <c r="E1" s="2274"/>
      <c r="F1" s="2275"/>
      <c r="G1" s="854"/>
    </row>
    <row r="2" spans="1:7" ht="15" customHeight="1" thickBot="1" x14ac:dyDescent="0.25">
      <c r="A2" s="2276" t="s">
        <v>498</v>
      </c>
      <c r="B2" s="2277"/>
      <c r="C2" s="2277"/>
      <c r="D2" s="2277"/>
      <c r="E2" s="2277"/>
      <c r="F2" s="2278"/>
      <c r="G2" s="856"/>
    </row>
    <row r="3" spans="1:7" ht="5.4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79"/>
      <c r="B5" s="2280"/>
      <c r="C5" s="2280"/>
      <c r="D5" s="2280"/>
      <c r="E5" s="2280"/>
      <c r="F5" s="2280"/>
    </row>
    <row r="6" spans="1:7" ht="13.5" customHeight="1" thickBot="1" x14ac:dyDescent="0.25">
      <c r="A6" s="2270" t="s">
        <v>1166</v>
      </c>
      <c r="B6" s="2271"/>
      <c r="C6" s="2271"/>
      <c r="D6" s="2271"/>
      <c r="E6" s="2271"/>
      <c r="F6" s="2272"/>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4395310</v>
      </c>
      <c r="G8" s="864"/>
    </row>
    <row r="9" spans="1:7" x14ac:dyDescent="0.2">
      <c r="A9" s="868" t="s">
        <v>480</v>
      </c>
      <c r="B9" s="869" t="s">
        <v>1989</v>
      </c>
      <c r="C9" s="870"/>
      <c r="D9" s="868" t="s">
        <v>522</v>
      </c>
      <c r="E9" s="867"/>
      <c r="F9" s="1933">
        <f>'Expenditures 15-22'!K151</f>
        <v>432525</v>
      </c>
      <c r="G9" s="871"/>
    </row>
    <row r="10" spans="1:7" x14ac:dyDescent="0.2">
      <c r="A10" s="868" t="s">
        <v>520</v>
      </c>
      <c r="B10" s="869" t="s">
        <v>1990</v>
      </c>
      <c r="C10" s="870"/>
      <c r="D10" s="868" t="s">
        <v>522</v>
      </c>
      <c r="E10" s="867"/>
      <c r="F10" s="1933">
        <f>'Expenditures 15-22'!K174</f>
        <v>328447</v>
      </c>
      <c r="G10" s="871"/>
    </row>
    <row r="11" spans="1:7" x14ac:dyDescent="0.2">
      <c r="A11" s="868" t="s">
        <v>481</v>
      </c>
      <c r="B11" s="869" t="s">
        <v>1991</v>
      </c>
      <c r="C11" s="870"/>
      <c r="D11" s="868" t="s">
        <v>522</v>
      </c>
      <c r="E11" s="867"/>
      <c r="F11" s="1933">
        <f>'Expenditures 15-22'!K210</f>
        <v>224140</v>
      </c>
      <c r="G11" s="871"/>
    </row>
    <row r="12" spans="1:7" x14ac:dyDescent="0.2">
      <c r="A12" s="868" t="s">
        <v>482</v>
      </c>
      <c r="B12" s="869" t="s">
        <v>1992</v>
      </c>
      <c r="C12" s="870"/>
      <c r="D12" s="868" t="s">
        <v>522</v>
      </c>
      <c r="E12" s="867"/>
      <c r="F12" s="1933">
        <f>'Expenditures 15-22'!K295</f>
        <v>167641</v>
      </c>
      <c r="G12" s="871"/>
    </row>
    <row r="13" spans="1:7" x14ac:dyDescent="0.2">
      <c r="A13" s="868" t="s">
        <v>108</v>
      </c>
      <c r="B13" s="869" t="s">
        <v>1993</v>
      </c>
      <c r="C13" s="870"/>
      <c r="D13" s="868" t="s">
        <v>522</v>
      </c>
      <c r="E13" s="867"/>
      <c r="F13" s="1933">
        <f>'Expenditures 15-22'!K342</f>
        <v>217949</v>
      </c>
      <c r="G13" s="872"/>
    </row>
    <row r="14" spans="1:7" ht="12" customHeight="1" thickBot="1" x14ac:dyDescent="0.25">
      <c r="A14" s="1790"/>
      <c r="B14" s="1791"/>
      <c r="C14" s="1792"/>
      <c r="D14" s="1793" t="s">
        <v>522</v>
      </c>
      <c r="E14" s="1794" t="s">
        <v>1015</v>
      </c>
      <c r="F14" s="1795">
        <f>SUM(F8:F13)</f>
        <v>5766012</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98943</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383271</v>
      </c>
      <c r="G53" s="864"/>
    </row>
    <row r="54" spans="1:7" x14ac:dyDescent="0.2">
      <c r="A54" s="868" t="s">
        <v>479</v>
      </c>
      <c r="B54" s="868" t="s">
        <v>1552</v>
      </c>
      <c r="C54" s="888" t="s">
        <v>1039</v>
      </c>
      <c r="D54" s="884" t="s">
        <v>1157</v>
      </c>
      <c r="E54" s="867"/>
      <c r="F54" s="1937">
        <f>'Expenditures 15-22'!G114</f>
        <v>33090</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2975</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284737</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35432</v>
      </c>
      <c r="G64" s="864"/>
    </row>
    <row r="65" spans="1:8" x14ac:dyDescent="0.2">
      <c r="A65" s="868" t="s">
        <v>481</v>
      </c>
      <c r="B65" s="868" t="s">
        <v>2002</v>
      </c>
      <c r="C65" s="885" t="s">
        <v>1039</v>
      </c>
      <c r="D65" s="884" t="s">
        <v>1157</v>
      </c>
      <c r="E65" s="867"/>
      <c r="F65" s="1937">
        <f>'Expenditures 15-22'!G210</f>
        <v>1862</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6810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10169</v>
      </c>
      <c r="G73" s="864"/>
    </row>
    <row r="74" spans="1:8" x14ac:dyDescent="0.2">
      <c r="A74" s="868" t="s">
        <v>456</v>
      </c>
      <c r="B74" s="868" t="s">
        <v>2010</v>
      </c>
      <c r="C74" s="885" t="s">
        <v>915</v>
      </c>
      <c r="D74" s="886" t="s">
        <v>1567</v>
      </c>
      <c r="E74" s="867"/>
      <c r="F74" s="1941">
        <f>'Expenditures 15-22'!K334</f>
        <v>0</v>
      </c>
      <c r="G74" s="864"/>
    </row>
    <row r="75" spans="1:8" ht="5.4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857289</v>
      </c>
      <c r="G76" s="864"/>
    </row>
    <row r="77" spans="1:8" s="892" customFormat="1" ht="12" customHeight="1" thickTop="1" thickBot="1" x14ac:dyDescent="0.25">
      <c r="A77" s="1799"/>
      <c r="B77" s="1796"/>
      <c r="C77" s="1792"/>
      <c r="D77" s="1797" t="s">
        <v>2012</v>
      </c>
      <c r="E77" s="1794"/>
      <c r="F77" s="1800">
        <f>(F14-F76)</f>
        <v>4908723</v>
      </c>
      <c r="G77" s="868"/>
    </row>
    <row r="78" spans="1:8" s="892" customFormat="1" ht="12" customHeight="1" thickTop="1" x14ac:dyDescent="0.2">
      <c r="A78" s="1801"/>
      <c r="B78" s="1796"/>
      <c r="C78" s="1792"/>
      <c r="D78" s="1797" t="s">
        <v>2059</v>
      </c>
      <c r="E78" s="1794"/>
      <c r="F78" s="897">
        <v>501.08</v>
      </c>
      <c r="G78" s="898"/>
      <c r="H78" s="868"/>
    </row>
    <row r="79" spans="1:8" s="892" customFormat="1" ht="12" customHeight="1" thickBot="1" x14ac:dyDescent="0.25">
      <c r="A79" s="1802"/>
      <c r="B79" s="1796"/>
      <c r="C79" s="1792"/>
      <c r="D79" s="1797" t="s">
        <v>2013</v>
      </c>
      <c r="E79" s="1794" t="s">
        <v>1015</v>
      </c>
      <c r="F79" s="1803">
        <f>IF(F78&gt;0,F77/F78," Complete Line 78")</f>
        <v>9796.2860221920655</v>
      </c>
      <c r="G79" s="868"/>
    </row>
    <row r="80" spans="1:8" s="892" customFormat="1" ht="8.25" customHeight="1" thickTop="1" x14ac:dyDescent="0.2">
      <c r="A80" s="899"/>
      <c r="B80" s="868"/>
      <c r="C80" s="870"/>
      <c r="D80" s="900"/>
      <c r="E80" s="867"/>
      <c r="F80" s="901"/>
      <c r="G80" s="868"/>
    </row>
    <row r="81" spans="1:7" s="892" customFormat="1" ht="12" thickBot="1" x14ac:dyDescent="0.25">
      <c r="A81" s="2270" t="s">
        <v>1167</v>
      </c>
      <c r="B81" s="2271"/>
      <c r="C81" s="2271"/>
      <c r="D81" s="2271"/>
      <c r="E81" s="2271"/>
      <c r="F81" s="2272"/>
      <c r="G81" s="868"/>
    </row>
    <row r="82" spans="1:7" s="892" customFormat="1" ht="5.4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70701</v>
      </c>
      <c r="G94" s="911"/>
    </row>
    <row r="95" spans="1:7" x14ac:dyDescent="0.2">
      <c r="A95" s="907" t="s">
        <v>142</v>
      </c>
      <c r="B95" s="907" t="s">
        <v>177</v>
      </c>
      <c r="C95" s="909">
        <v>1700</v>
      </c>
      <c r="D95" s="917" t="str">
        <f>'Revenues 9-14'!A82</f>
        <v>Total District/School Activity Income</v>
      </c>
      <c r="E95" s="905"/>
      <c r="F95" s="1809">
        <f>SUM('Revenues 9-14'!C82,'Revenues 9-14'!D82)</f>
        <v>20863</v>
      </c>
      <c r="G95" s="911"/>
    </row>
    <row r="96" spans="1:7" x14ac:dyDescent="0.2">
      <c r="A96" s="907" t="s">
        <v>479</v>
      </c>
      <c r="B96" s="907" t="s">
        <v>178</v>
      </c>
      <c r="C96" s="909">
        <f>'Revenues 9-14'!B84</f>
        <v>1811</v>
      </c>
      <c r="D96" s="910" t="str">
        <f>'Revenues 9-14'!A84</f>
        <v>Rentals - Regular Textbooks</v>
      </c>
      <c r="E96" s="905"/>
      <c r="F96" s="1809">
        <f>'Revenues 9-14'!C84</f>
        <v>29279</v>
      </c>
      <c r="G96" s="911"/>
    </row>
    <row r="97" spans="1:7" x14ac:dyDescent="0.2">
      <c r="A97" s="907" t="s">
        <v>479</v>
      </c>
      <c r="B97" s="907" t="s">
        <v>179</v>
      </c>
      <c r="C97" s="909">
        <f>'Revenues 9-14'!B87</f>
        <v>1819</v>
      </c>
      <c r="D97" s="910" t="str">
        <f>'Revenues 9-14'!A87</f>
        <v>Rentals - Other (Describe &amp; Itemize)</v>
      </c>
      <c r="E97" s="905"/>
      <c r="F97" s="1809">
        <f>'Revenues 9-14'!C87</f>
        <v>14659</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8283</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13655</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71403</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30015</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1880</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5902</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130884</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4000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125512</v>
      </c>
      <c r="G129" s="929"/>
    </row>
    <row r="130" spans="1:7" x14ac:dyDescent="0.2">
      <c r="A130" s="926" t="s">
        <v>689</v>
      </c>
      <c r="B130" s="926" t="s">
        <v>804</v>
      </c>
      <c r="C130" s="931">
        <v>4300</v>
      </c>
      <c r="D130" s="932" t="str">
        <f>'Revenues 9-14'!A211</f>
        <v>Total Title I</v>
      </c>
      <c r="E130" s="905"/>
      <c r="F130" s="1809">
        <f>SUM('Revenues 9-14'!C211,'Revenues 9-14'!D211,'Revenues 9-14'!F211,'Revenues 9-14'!G211)</f>
        <v>131356</v>
      </c>
      <c r="G130" s="929"/>
    </row>
    <row r="131" spans="1:7" x14ac:dyDescent="0.2">
      <c r="A131" s="926" t="s">
        <v>689</v>
      </c>
      <c r="B131" s="926" t="s">
        <v>805</v>
      </c>
      <c r="C131" s="931">
        <v>4400</v>
      </c>
      <c r="D131" s="932" t="str">
        <f>'Revenues 9-14'!A216</f>
        <v>Total Title IV</v>
      </c>
      <c r="E131" s="905"/>
      <c r="F131" s="1809">
        <f>SUM('Revenues 9-14'!C216,'Revenues 9-14'!D216,'Revenues 9-14'!F216,'Revenues 9-14'!G216)</f>
        <v>24388</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13923</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98</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16024</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3341</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11628</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102694.01</v>
      </c>
      <c r="G175" s="926"/>
    </row>
    <row r="176" spans="1:7" x14ac:dyDescent="0.2">
      <c r="A176" s="1942" t="s">
        <v>685</v>
      </c>
      <c r="B176" s="1943" t="s">
        <v>2058</v>
      </c>
      <c r="C176" s="1944">
        <v>3300</v>
      </c>
      <c r="D176" s="1945" t="s">
        <v>2062</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830488.01</v>
      </c>
    </row>
    <row r="179" spans="1:7" ht="12" customHeight="1" x14ac:dyDescent="0.2">
      <c r="A179" s="1790"/>
      <c r="B179" s="1804"/>
      <c r="C179" s="1805"/>
      <c r="D179" s="1806" t="s">
        <v>2015</v>
      </c>
      <c r="E179" s="1807"/>
      <c r="F179" s="1809">
        <f>'PCTC-OEPP 27-28'!F77-F178</f>
        <v>4078234.99</v>
      </c>
    </row>
    <row r="180" spans="1:7" ht="12" customHeight="1" x14ac:dyDescent="0.2">
      <c r="A180" s="1790"/>
      <c r="B180" s="1804"/>
      <c r="C180" s="1805"/>
      <c r="D180" s="1806" t="s">
        <v>1924</v>
      </c>
      <c r="E180" s="1807"/>
      <c r="F180" s="1809">
        <f>'Cap Outlay Deprec 26'!I18</f>
        <v>266297</v>
      </c>
    </row>
    <row r="181" spans="1:7" ht="12" customHeight="1" x14ac:dyDescent="0.2">
      <c r="A181" s="1790"/>
      <c r="B181" s="1804"/>
      <c r="C181" s="1805"/>
      <c r="D181" s="1806" t="s">
        <v>2016</v>
      </c>
      <c r="E181" s="1807"/>
      <c r="F181" s="1809">
        <f>F179+F180</f>
        <v>4344531.99</v>
      </c>
    </row>
    <row r="182" spans="1:7" ht="12" customHeight="1" x14ac:dyDescent="0.2">
      <c r="A182" s="1790"/>
      <c r="B182" s="1810"/>
      <c r="C182" s="1805"/>
      <c r="D182" s="1806" t="str">
        <f>D78</f>
        <v>9 Month ADA from District Average Daily Attendance/Prior General State Aid Inquiry 2017-2018</v>
      </c>
      <c r="E182" s="1807"/>
      <c r="F182" s="1811">
        <f>'PCTC-OEPP 27-28'!F78</f>
        <v>501.08</v>
      </c>
      <c r="G182" s="929"/>
    </row>
    <row r="183" spans="1:7" ht="12" customHeight="1" thickBot="1" x14ac:dyDescent="0.25">
      <c r="A183" s="1790"/>
      <c r="B183" s="1810"/>
      <c r="C183" s="1805"/>
      <c r="D183" s="1806" t="s">
        <v>2017</v>
      </c>
      <c r="E183" s="1807" t="s">
        <v>1626</v>
      </c>
      <c r="F183" s="1812">
        <f>F181/F182</f>
        <v>8670.3360541230941</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activeCell="A21" sqref="A21"/>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45" customHeight="1" x14ac:dyDescent="0.25">
      <c r="A3" s="1565"/>
      <c r="B3" s="1565"/>
      <c r="C3" s="1565"/>
      <c r="D3" s="1565"/>
      <c r="E3" s="1565"/>
      <c r="F3" s="1565"/>
      <c r="G3" s="1565"/>
    </row>
    <row r="4" spans="1:7" ht="18.75" customHeight="1" x14ac:dyDescent="0.25">
      <c r="A4" s="2284" t="s">
        <v>1925</v>
      </c>
      <c r="B4" s="2285"/>
      <c r="C4" s="2285"/>
      <c r="D4" s="2285"/>
      <c r="E4" s="2285"/>
      <c r="F4" s="2285"/>
      <c r="G4" s="2286"/>
    </row>
    <row r="5" spans="1:7" x14ac:dyDescent="0.25">
      <c r="A5" s="2287"/>
      <c r="B5" s="2288"/>
      <c r="C5" s="2288"/>
      <c r="D5" s="2288"/>
      <c r="E5" s="2288"/>
      <c r="F5" s="2288"/>
      <c r="G5" s="2289"/>
    </row>
    <row r="6" spans="1:7" ht="18.75" x14ac:dyDescent="0.25">
      <c r="A6" s="1554" t="s">
        <v>1926</v>
      </c>
      <c r="B6" s="1555"/>
      <c r="C6" s="1555"/>
      <c r="D6" s="1555"/>
      <c r="E6" s="1555"/>
      <c r="F6" s="1555"/>
      <c r="G6" s="1556"/>
    </row>
    <row r="7" spans="1:7" ht="30.75" customHeight="1" x14ac:dyDescent="0.25">
      <c r="A7" s="2290" t="s">
        <v>2075</v>
      </c>
      <c r="B7" s="2291"/>
      <c r="C7" s="2291"/>
      <c r="D7" s="2291"/>
      <c r="E7" s="2291"/>
      <c r="F7" s="2291"/>
      <c r="G7" s="2292"/>
    </row>
    <row r="8" spans="1:7" ht="15.95" customHeight="1" x14ac:dyDescent="0.25">
      <c r="A8" s="2293" t="s">
        <v>2024</v>
      </c>
      <c r="B8" s="2294"/>
      <c r="C8" s="2294"/>
      <c r="D8" s="2294"/>
      <c r="E8" s="2294"/>
      <c r="F8" s="2294"/>
      <c r="G8" s="2295"/>
    </row>
    <row r="9" spans="1:7" ht="35.25" customHeight="1" x14ac:dyDescent="0.25">
      <c r="A9" s="2290" t="s">
        <v>2023</v>
      </c>
      <c r="B9" s="2291"/>
      <c r="C9" s="2291"/>
      <c r="D9" s="2291"/>
      <c r="E9" s="2291"/>
      <c r="F9" s="2291"/>
      <c r="G9" s="2292"/>
    </row>
    <row r="10" spans="1:7" ht="15" customHeight="1" x14ac:dyDescent="0.25">
      <c r="A10" s="1557" t="s">
        <v>1927</v>
      </c>
      <c r="B10" s="1558"/>
      <c r="C10" s="1558"/>
      <c r="D10" s="1558"/>
      <c r="E10" s="1558"/>
      <c r="F10" s="1558"/>
      <c r="G10" s="1559"/>
    </row>
    <row r="11" spans="1:7" ht="17.25" customHeight="1" x14ac:dyDescent="0.25">
      <c r="A11" s="2290" t="s">
        <v>1941</v>
      </c>
      <c r="B11" s="2291"/>
      <c r="C11" s="2291"/>
      <c r="D11" s="2291"/>
      <c r="E11" s="2291"/>
      <c r="F11" s="2291"/>
      <c r="G11" s="2292"/>
    </row>
    <row r="12" spans="1:7" ht="15" customHeight="1" x14ac:dyDescent="0.25">
      <c r="A12" s="1557" t="s">
        <v>1932</v>
      </c>
      <c r="B12" s="1558"/>
      <c r="C12" s="1558"/>
      <c r="D12" s="1558"/>
      <c r="E12" s="1558"/>
      <c r="F12" s="1558"/>
      <c r="G12" s="1559"/>
    </row>
    <row r="13" spans="1:7" ht="32.25" customHeight="1" x14ac:dyDescent="0.25">
      <c r="A13" s="2281" t="s">
        <v>1933</v>
      </c>
      <c r="B13" s="2282"/>
      <c r="C13" s="2282"/>
      <c r="D13" s="2282"/>
      <c r="E13" s="2282"/>
      <c r="F13" s="2282"/>
      <c r="G13" s="2283"/>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4" t="s">
        <v>2128</v>
      </c>
      <c r="B17" s="1866"/>
      <c r="C17" s="1676"/>
      <c r="D17" s="1865"/>
      <c r="E17" s="1560">
        <f t="shared" ref="E17:E141" si="1">IF(D17&lt;=25000,D17,IF(D17&gt;25000,25000,0))</f>
        <v>0</v>
      </c>
      <c r="F17" s="1813">
        <f t="shared" si="0"/>
        <v>0</v>
      </c>
      <c r="G17" s="1814">
        <f>IF(F17=0,0,D17-F17)</f>
        <v>0</v>
      </c>
      <c r="H17" s="1667"/>
    </row>
    <row r="18" spans="1:8"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2"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6" t="s">
        <v>1778</v>
      </c>
      <c r="B5" s="2297"/>
      <c r="C5" s="2297"/>
      <c r="D5" s="2297"/>
      <c r="E5" s="2297"/>
      <c r="F5" s="2297"/>
      <c r="G5" s="2298"/>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72133</v>
      </c>
      <c r="F10" s="973"/>
      <c r="G10" s="974"/>
      <c r="H10" s="162"/>
      <c r="I10" s="162"/>
    </row>
    <row r="11" spans="1:9" s="667" customFormat="1" ht="22.5" customHeight="1" x14ac:dyDescent="0.2">
      <c r="A11" s="2301" t="s">
        <v>1945</v>
      </c>
      <c r="B11" s="2302"/>
      <c r="C11" s="2302"/>
      <c r="D11" s="2303"/>
      <c r="E11" s="976">
        <v>21055</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3043445</v>
      </c>
      <c r="F19" s="1820"/>
      <c r="G19" s="1822">
        <f>'Expenditures 15-22'!K33-SUM('Expenditures 15-22'!G33,'Expenditures 15-22'!I33)+'Expenditures 15-22'!D229</f>
        <v>3043445</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56593</v>
      </c>
      <c r="F21" s="1823"/>
      <c r="G21" s="1826">
        <f>'Expenditures 15-22'!K42-SUM('Expenditures 15-22'!G42,'Expenditures 15-22'!I42)+'Expenditures 15-22'!K120-SUM('Expenditures 15-22'!G120,'Expenditures 15-22'!I120)+'Expenditures 15-22'!K180-SUM('Expenditures 15-22'!G180,'Expenditures 15-22'!I180)+'Expenditures 15-22'!D238</f>
        <v>56593</v>
      </c>
      <c r="H21" s="986"/>
      <c r="I21" s="162"/>
    </row>
    <row r="22" spans="1:9" s="667" customFormat="1" ht="12" customHeight="1" x14ac:dyDescent="0.2">
      <c r="A22" s="993" t="s">
        <v>585</v>
      </c>
      <c r="B22" s="994"/>
      <c r="C22" s="992">
        <v>2200</v>
      </c>
      <c r="D22" s="1823"/>
      <c r="E22" s="1825">
        <f>'Expenditures 15-22'!K47-SUM('Expenditures 15-22'!G47,'Expenditures 15-22'!I47)+'Expenditures 15-22'!D243</f>
        <v>236322</v>
      </c>
      <c r="F22" s="1823"/>
      <c r="G22" s="1826">
        <f>'Expenditures 15-22'!K47-SUM('Expenditures 15-22'!G47,'Expenditures 15-22'!I47)+'Expenditures 15-22'!D243</f>
        <v>236322</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443513</v>
      </c>
      <c r="F23" s="1823"/>
      <c r="G23" s="1825">
        <f>'Expenditures 15-22'!K53-SUM('Expenditures 15-22'!G53,'Expenditures 15-22'!I53)+'Expenditures 15-22'!D257+'Expenditures 15-22'!K330-SUM('Expenditures 15-22'!G330,'Expenditures 15-22'!I330)</f>
        <v>443513</v>
      </c>
      <c r="H23" s="986"/>
      <c r="I23" s="162"/>
    </row>
    <row r="24" spans="1:9" s="667" customFormat="1" ht="12" customHeight="1" x14ac:dyDescent="0.2">
      <c r="A24" s="993" t="s">
        <v>587</v>
      </c>
      <c r="B24" s="994"/>
      <c r="C24" s="992">
        <v>2400</v>
      </c>
      <c r="D24" s="1823"/>
      <c r="E24" s="1825">
        <f>'Expenditures 15-22'!K57-SUM('Expenditures 15-22'!G57,'Expenditures 15-22'!I57)+'Expenditures 15-22'!D261</f>
        <v>256332</v>
      </c>
      <c r="F24" s="1823"/>
      <c r="G24" s="1826">
        <f>'Expenditures 15-22'!K57-SUM('Expenditures 15-22'!G57,'Expenditures 15-22'!I57)+'Expenditures 15-22'!D261</f>
        <v>256332</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61736</v>
      </c>
      <c r="E27" s="1825">
        <f>E8</f>
        <v>0</v>
      </c>
      <c r="F27" s="1825">
        <f>'Expenditures 15-22'!K60-SUM('Expenditures 15-22'!G60,'Expenditures 15-22'!I60)+'Expenditures 15-22'!D264-E8</f>
        <v>61736</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461690</v>
      </c>
      <c r="F28" s="1827">
        <f>'Expenditures 15-22'!K61-SUM('Expenditures 15-22'!G61,'Expenditures 15-22'!I61)+'Expenditures 15-22'!K124-SUM('Expenditures 15-22'!G124,'Expenditures 15-22'!I124)+'Expenditures 15-22'!D266-E9</f>
        <v>461690</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201184</v>
      </c>
      <c r="F29" s="1823"/>
      <c r="G29" s="1826">
        <f>'Expenditures 15-22'!K62-SUM('Expenditures 15-22'!G62,'Expenditures 15-22'!I62)+'Expenditures 15-22'!K125-SUM('Expenditures 15-22'!G125,'Expenditures 15-22'!I125)+'Expenditures 15-22'!K182-SUM('Expenditures 15-22'!G182,'Expenditures 15-22'!I182)+'Expenditures 15-22'!D267</f>
        <v>201184</v>
      </c>
      <c r="H29" s="984"/>
    </row>
    <row r="30" spans="1:9" ht="12" customHeight="1" x14ac:dyDescent="0.2">
      <c r="A30" s="993" t="s">
        <v>102</v>
      </c>
      <c r="B30" s="996"/>
      <c r="C30" s="992">
        <v>2560</v>
      </c>
      <c r="D30" s="1823"/>
      <c r="E30" s="1825">
        <f>'Expenditures 15-22'!K63-SUM('Expenditures 15-22'!G63,'Expenditures 15-22'!I63)+'Expenditures 15-22'!D268-E10</f>
        <v>134864</v>
      </c>
      <c r="F30" s="1823"/>
      <c r="G30" s="1825">
        <f>'Expenditures 15-22'!K63-SUM('Expenditures 15-22'!G63,'Expenditures 15-22'!I63)+'Expenditures 15-22'!D268-E10</f>
        <v>134864</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1930</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61736</v>
      </c>
      <c r="E41" s="1827">
        <f>SUM(E19:E40)</f>
        <v>4833943</v>
      </c>
      <c r="F41" s="1827">
        <f>SUM(F19:F39)</f>
        <v>523426</v>
      </c>
      <c r="G41" s="1827">
        <f>SUM(G19:G40)</f>
        <v>4372253</v>
      </c>
    </row>
    <row r="42" spans="1:7" x14ac:dyDescent="0.2">
      <c r="A42" s="986"/>
      <c r="B42" s="162"/>
      <c r="C42" s="1000"/>
      <c r="D42" s="2299" t="s">
        <v>543</v>
      </c>
      <c r="E42" s="2300"/>
      <c r="F42" s="1001" t="s">
        <v>544</v>
      </c>
      <c r="G42" s="1002"/>
    </row>
    <row r="43" spans="1:7" ht="12" customHeight="1" x14ac:dyDescent="0.2">
      <c r="A43" s="986"/>
      <c r="B43" s="162"/>
      <c r="C43" s="1000"/>
      <c r="D43" s="1828" t="s">
        <v>493</v>
      </c>
      <c r="E43" s="1829">
        <f>D41</f>
        <v>61736</v>
      </c>
      <c r="F43" s="1828" t="s">
        <v>495</v>
      </c>
      <c r="G43" s="1829">
        <f>F41</f>
        <v>523426</v>
      </c>
    </row>
    <row r="44" spans="1:7" ht="12" customHeight="1" x14ac:dyDescent="0.2">
      <c r="A44" s="986"/>
      <c r="B44" s="162"/>
      <c r="C44" s="1000"/>
      <c r="D44" s="1828" t="s">
        <v>494</v>
      </c>
      <c r="E44" s="1829">
        <f>E41</f>
        <v>4833943</v>
      </c>
      <c r="F44" s="1828" t="s">
        <v>494</v>
      </c>
      <c r="G44" s="1829">
        <f>G41</f>
        <v>4372253</v>
      </c>
    </row>
    <row r="45" spans="1:7" ht="12" customHeight="1" x14ac:dyDescent="0.2">
      <c r="A45" s="986"/>
      <c r="B45" s="162"/>
      <c r="C45" s="162"/>
      <c r="D45" s="1830" t="s">
        <v>1063</v>
      </c>
      <c r="E45" s="1831">
        <f>(E43/E44)</f>
        <v>1.2771354565000042E-2</v>
      </c>
      <c r="F45" s="1830" t="s">
        <v>1063</v>
      </c>
      <c r="G45" s="1831">
        <f>(G43/G44)</f>
        <v>0.11971539615845653</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7.5703125" style="1901" bestFit="1" customWidth="1"/>
    <col min="9" max="9" width="4" style="1901" bestFit="1" customWidth="1"/>
    <col min="10" max="10" width="2.7109375" style="1901" bestFit="1" customWidth="1"/>
    <col min="11" max="11" width="9" style="1901" customWidth="1"/>
    <col min="12" max="16384" width="9.140625" style="1870"/>
  </cols>
  <sheetData>
    <row r="1" spans="1:10" x14ac:dyDescent="0.2">
      <c r="A1" s="2318" t="s">
        <v>1446</v>
      </c>
      <c r="B1" s="2318"/>
      <c r="C1" s="2318"/>
      <c r="D1" s="2318"/>
      <c r="E1" s="2318"/>
      <c r="F1" s="2318"/>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9" t="s">
        <v>1627</v>
      </c>
      <c r="B5" s="2320"/>
      <c r="C5" s="2321"/>
      <c r="D5" s="2321"/>
      <c r="E5" s="2321"/>
      <c r="F5" s="2321"/>
    </row>
    <row r="6" spans="1:10" ht="12" customHeight="1" x14ac:dyDescent="0.25">
      <c r="A6" s="1873"/>
      <c r="B6" s="1874"/>
      <c r="C6" s="2322" t="str">
        <f>COVER!A17</f>
        <v>Wethersfield Community Unit School District No. 230</v>
      </c>
      <c r="D6" s="2322"/>
      <c r="E6" s="2322"/>
      <c r="F6" s="1875"/>
    </row>
    <row r="7" spans="1:10" ht="11.25" customHeight="1" thickBot="1" x14ac:dyDescent="0.3">
      <c r="A7" s="1873"/>
      <c r="B7" s="1874"/>
      <c r="C7" s="2323">
        <f>COVER!A13</f>
        <v>28037230026</v>
      </c>
      <c r="D7" s="2323"/>
      <c r="E7" s="2323"/>
      <c r="F7" s="1875"/>
    </row>
    <row r="8" spans="1:10" ht="25.5" customHeight="1" thickBot="1" x14ac:dyDescent="0.25">
      <c r="A8" s="1916" t="s">
        <v>2025</v>
      </c>
      <c r="B8" s="1876"/>
      <c r="C8" s="1912" t="s">
        <v>1780</v>
      </c>
      <c r="D8" s="1911" t="s">
        <v>1781</v>
      </c>
      <c r="E8" s="1913" t="s">
        <v>1447</v>
      </c>
      <c r="F8" s="1911" t="s">
        <v>1782</v>
      </c>
      <c r="H8" s="1877" t="b">
        <v>0</v>
      </c>
    </row>
    <row r="9" spans="1:10" ht="15.9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t="s">
        <v>2094</v>
      </c>
      <c r="D11" s="1888" t="s">
        <v>2094</v>
      </c>
      <c r="E11" s="1889"/>
      <c r="F11" s="1890" t="s">
        <v>2100</v>
      </c>
      <c r="H11" s="1901">
        <f>IF(C11="X",5,0)</f>
        <v>5</v>
      </c>
      <c r="I11" s="1901">
        <f>IF(D11="X",5,0)</f>
        <v>5</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2094</v>
      </c>
      <c r="D13" s="1888" t="s">
        <v>2094</v>
      </c>
      <c r="E13" s="1891"/>
      <c r="F13" s="1890" t="s">
        <v>2101</v>
      </c>
      <c r="H13" s="1901">
        <f t="shared" si="0"/>
        <v>5</v>
      </c>
      <c r="I13" s="1901">
        <f t="shared" si="1"/>
        <v>5</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t="s">
        <v>2094</v>
      </c>
      <c r="D15" s="1888" t="s">
        <v>2094</v>
      </c>
      <c r="E15" s="1891"/>
      <c r="F15" s="1890" t="s">
        <v>2102</v>
      </c>
      <c r="H15" s="1901">
        <f t="shared" si="0"/>
        <v>5</v>
      </c>
      <c r="I15" s="1901">
        <f t="shared" si="1"/>
        <v>5</v>
      </c>
      <c r="J15" s="1901">
        <f t="shared" si="2"/>
        <v>0</v>
      </c>
    </row>
    <row r="16" spans="1:10" ht="12" customHeight="1" x14ac:dyDescent="0.2">
      <c r="A16" s="1886" t="s">
        <v>1455</v>
      </c>
      <c r="B16" s="1887"/>
      <c r="C16" s="1888" t="s">
        <v>2094</v>
      </c>
      <c r="D16" s="1888" t="s">
        <v>2094</v>
      </c>
      <c r="E16" s="1891"/>
      <c r="F16" s="1890" t="s">
        <v>2103</v>
      </c>
      <c r="H16" s="1901">
        <f t="shared" si="0"/>
        <v>5</v>
      </c>
      <c r="I16" s="1901">
        <f t="shared" si="1"/>
        <v>5</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2094</v>
      </c>
      <c r="D19" s="1888" t="s">
        <v>2094</v>
      </c>
      <c r="E19" s="1891"/>
      <c r="F19" s="1890" t="s">
        <v>2104</v>
      </c>
      <c r="H19" s="1901">
        <f t="shared" si="0"/>
        <v>5</v>
      </c>
      <c r="I19" s="1901">
        <f t="shared" si="1"/>
        <v>5</v>
      </c>
      <c r="J19" s="1901">
        <f t="shared" si="2"/>
        <v>0</v>
      </c>
    </row>
    <row r="20" spans="1:12" ht="12" customHeight="1" x14ac:dyDescent="0.2">
      <c r="A20" s="1886" t="s">
        <v>1609</v>
      </c>
      <c r="B20" s="1887"/>
      <c r="C20" s="1888" t="s">
        <v>2094</v>
      </c>
      <c r="D20" s="1888" t="s">
        <v>2094</v>
      </c>
      <c r="E20" s="1891"/>
      <c r="F20" s="1890" t="s">
        <v>2105</v>
      </c>
      <c r="H20" s="1901">
        <f t="shared" si="0"/>
        <v>5</v>
      </c>
      <c r="I20" s="1901">
        <f t="shared" si="1"/>
        <v>5</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t="s">
        <v>2094</v>
      </c>
      <c r="D22" s="1888" t="s">
        <v>2094</v>
      </c>
      <c r="E22" s="1891"/>
      <c r="F22" s="1890" t="s">
        <v>2106</v>
      </c>
      <c r="H22" s="1901">
        <f t="shared" si="0"/>
        <v>5</v>
      </c>
      <c r="I22" s="1901">
        <f t="shared" si="1"/>
        <v>5</v>
      </c>
      <c r="J22" s="1901">
        <f t="shared" si="2"/>
        <v>0</v>
      </c>
    </row>
    <row r="23" spans="1:12" ht="12" customHeight="1" x14ac:dyDescent="0.2">
      <c r="A23" s="1886" t="s">
        <v>1612</v>
      </c>
      <c r="B23" s="1887"/>
      <c r="C23" s="1888" t="s">
        <v>2094</v>
      </c>
      <c r="D23" s="1888" t="s">
        <v>2094</v>
      </c>
      <c r="E23" s="1891"/>
      <c r="F23" s="1890" t="s">
        <v>2107</v>
      </c>
      <c r="H23" s="1901">
        <f t="shared" si="0"/>
        <v>5</v>
      </c>
      <c r="I23" s="1901">
        <f t="shared" si="1"/>
        <v>5</v>
      </c>
      <c r="J23" s="1901">
        <f t="shared" si="2"/>
        <v>0</v>
      </c>
    </row>
    <row r="24" spans="1:12" ht="12" customHeight="1" x14ac:dyDescent="0.2">
      <c r="A24" s="1886" t="s">
        <v>1613</v>
      </c>
      <c r="B24" s="1887"/>
      <c r="C24" s="1888" t="s">
        <v>2094</v>
      </c>
      <c r="D24" s="1888" t="s">
        <v>2094</v>
      </c>
      <c r="E24" s="1891"/>
      <c r="F24" s="1890" t="s">
        <v>2108</v>
      </c>
      <c r="H24" s="1901">
        <f t="shared" si="0"/>
        <v>5</v>
      </c>
      <c r="I24" s="1901">
        <f t="shared" si="1"/>
        <v>5</v>
      </c>
      <c r="J24" s="1901">
        <f t="shared" si="2"/>
        <v>0</v>
      </c>
    </row>
    <row r="25" spans="1:12" ht="12" customHeight="1" x14ac:dyDescent="0.2">
      <c r="A25" s="1886" t="s">
        <v>1614</v>
      </c>
      <c r="B25" s="1887"/>
      <c r="C25" s="1888" t="s">
        <v>2094</v>
      </c>
      <c r="D25" s="1888" t="s">
        <v>2094</v>
      </c>
      <c r="E25" s="1891"/>
      <c r="F25" s="1890" t="s">
        <v>2109</v>
      </c>
      <c r="H25" s="1901">
        <f t="shared" si="0"/>
        <v>5</v>
      </c>
      <c r="I25" s="1901">
        <f t="shared" si="1"/>
        <v>5</v>
      </c>
      <c r="J25" s="1901">
        <f t="shared" si="2"/>
        <v>0</v>
      </c>
    </row>
    <row r="26" spans="1:12" ht="12" customHeight="1" x14ac:dyDescent="0.2">
      <c r="A26" s="1886" t="s">
        <v>1615</v>
      </c>
      <c r="B26" s="1887"/>
      <c r="C26" s="1888" t="s">
        <v>2094</v>
      </c>
      <c r="D26" s="1888" t="s">
        <v>2094</v>
      </c>
      <c r="E26" s="1891"/>
      <c r="F26" s="1890" t="s">
        <v>2110</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t="s">
        <v>2094</v>
      </c>
      <c r="D28" s="1888" t="s">
        <v>2094</v>
      </c>
      <c r="E28" s="1891"/>
      <c r="F28" s="1890" t="s">
        <v>2111</v>
      </c>
      <c r="H28" s="1901">
        <f t="shared" si="0"/>
        <v>5</v>
      </c>
      <c r="I28" s="1901">
        <f t="shared" si="1"/>
        <v>5</v>
      </c>
      <c r="J28" s="1901">
        <f t="shared" si="2"/>
        <v>0</v>
      </c>
    </row>
    <row r="29" spans="1:12" ht="12" customHeight="1" x14ac:dyDescent="0.2">
      <c r="A29" s="1886" t="s">
        <v>1618</v>
      </c>
      <c r="B29" s="1887"/>
      <c r="C29" s="1888" t="s">
        <v>2094</v>
      </c>
      <c r="D29" s="1888" t="s">
        <v>2094</v>
      </c>
      <c r="E29" s="1891"/>
      <c r="F29" s="1890" t="s">
        <v>2112</v>
      </c>
      <c r="H29" s="1901">
        <f t="shared" si="0"/>
        <v>5</v>
      </c>
      <c r="I29" s="1901">
        <f t="shared" si="1"/>
        <v>5</v>
      </c>
      <c r="J29" s="1901">
        <f t="shared" si="2"/>
        <v>0</v>
      </c>
    </row>
    <row r="30" spans="1:12" ht="12" customHeight="1" x14ac:dyDescent="0.2">
      <c r="A30" s="1886" t="s">
        <v>1619</v>
      </c>
      <c r="B30" s="1887"/>
      <c r="C30" s="1888" t="s">
        <v>2094</v>
      </c>
      <c r="D30" s="1888" t="s">
        <v>2094</v>
      </c>
      <c r="E30" s="1891"/>
      <c r="F30" s="1890" t="s">
        <v>2113</v>
      </c>
      <c r="H30" s="1901">
        <f t="shared" si="0"/>
        <v>5</v>
      </c>
      <c r="I30" s="1901">
        <f t="shared" si="1"/>
        <v>5</v>
      </c>
      <c r="J30" s="1901">
        <f t="shared" si="2"/>
        <v>0</v>
      </c>
    </row>
    <row r="31" spans="1:12" ht="12" customHeight="1" x14ac:dyDescent="0.2">
      <c r="A31" s="1886" t="s">
        <v>1620</v>
      </c>
      <c r="B31" s="1887"/>
      <c r="C31" s="1888" t="s">
        <v>2094</v>
      </c>
      <c r="D31" s="1888" t="s">
        <v>2094</v>
      </c>
      <c r="E31" s="1891"/>
      <c r="F31" s="1890" t="s">
        <v>2114</v>
      </c>
      <c r="H31" s="1901">
        <f t="shared" si="0"/>
        <v>5</v>
      </c>
      <c r="I31" s="1901">
        <f t="shared" si="1"/>
        <v>5</v>
      </c>
      <c r="J31" s="1901">
        <f t="shared" si="2"/>
        <v>0</v>
      </c>
      <c r="L31" s="1892"/>
    </row>
    <row r="32" spans="1:12" ht="12" customHeight="1" x14ac:dyDescent="0.2">
      <c r="A32" s="1886" t="s">
        <v>1621</v>
      </c>
      <c r="B32" s="1887"/>
      <c r="C32" s="1888" t="s">
        <v>2094</v>
      </c>
      <c r="D32" s="1888" t="s">
        <v>2094</v>
      </c>
      <c r="E32" s="1891"/>
      <c r="F32" s="1890" t="s">
        <v>2109</v>
      </c>
      <c r="H32" s="1901">
        <f t="shared" si="0"/>
        <v>5</v>
      </c>
      <c r="I32" s="1901">
        <f t="shared" si="1"/>
        <v>5</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80</v>
      </c>
      <c r="I34" s="1901">
        <f>SUM(I11:I32)</f>
        <v>80</v>
      </c>
      <c r="J34" s="1901">
        <f>SUM(J11:J32)</f>
        <v>0</v>
      </c>
      <c r="K34" s="1901">
        <f>SUM(H34:J34)</f>
        <v>160</v>
      </c>
    </row>
    <row r="35" spans="1:11" ht="12" customHeight="1" x14ac:dyDescent="0.2">
      <c r="A35" s="1894" t="s">
        <v>1459</v>
      </c>
      <c r="B35" s="1895"/>
      <c r="C35" s="2324"/>
      <c r="D35" s="2324"/>
      <c r="E35" s="2324"/>
      <c r="F35" s="2325"/>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10"/>
      <c r="B38" s="2311"/>
      <c r="C38" s="2311"/>
      <c r="D38" s="2311"/>
      <c r="E38" s="2311"/>
      <c r="F38" s="2312"/>
    </row>
    <row r="39" spans="1:11" ht="4.5" hidden="1" customHeight="1" x14ac:dyDescent="0.2">
      <c r="A39" s="1896"/>
      <c r="B39" s="1896"/>
      <c r="C39" s="1896"/>
      <c r="D39" s="1896"/>
      <c r="E39" s="1896"/>
      <c r="F39" s="1896"/>
    </row>
    <row r="40" spans="1:11" s="1893" customFormat="1" ht="12" customHeight="1" x14ac:dyDescent="0.25">
      <c r="A40" s="1897" t="s">
        <v>1458</v>
      </c>
      <c r="B40" s="1898"/>
      <c r="C40" s="2313"/>
      <c r="D40" s="2313"/>
      <c r="E40" s="2313"/>
      <c r="F40" s="2314"/>
      <c r="H40" s="1902"/>
      <c r="I40" s="1902"/>
      <c r="J40" s="1902"/>
      <c r="K40" s="1902"/>
    </row>
    <row r="41" spans="1:11" s="1893" customFormat="1" ht="12" customHeight="1" x14ac:dyDescent="0.25">
      <c r="A41" s="2315"/>
      <c r="B41" s="2316"/>
      <c r="C41" s="2316"/>
      <c r="D41" s="2316"/>
      <c r="E41" s="2316"/>
      <c r="F41" s="2317"/>
      <c r="H41" s="1902"/>
      <c r="I41" s="1902"/>
      <c r="J41" s="1902"/>
      <c r="K41" s="1902"/>
    </row>
    <row r="42" spans="1:11" s="1893" customFormat="1" ht="12" customHeight="1" x14ac:dyDescent="0.25">
      <c r="A42" s="2315"/>
      <c r="B42" s="2316"/>
      <c r="C42" s="2316"/>
      <c r="D42" s="2316"/>
      <c r="E42" s="2316"/>
      <c r="F42" s="2317"/>
      <c r="H42" s="1902"/>
      <c r="I42" s="1902"/>
      <c r="J42" s="1902"/>
      <c r="K42" s="1902"/>
    </row>
    <row r="43" spans="1:11" s="1893" customFormat="1" ht="15" x14ac:dyDescent="0.25">
      <c r="A43" s="2304"/>
      <c r="B43" s="2305"/>
      <c r="C43" s="2305"/>
      <c r="D43" s="2305"/>
      <c r="E43" s="2305"/>
      <c r="F43" s="2306"/>
      <c r="H43" s="1902"/>
      <c r="I43" s="1902"/>
      <c r="J43" s="1902"/>
      <c r="K43" s="1902"/>
    </row>
    <row r="44" spans="1:11" s="1893" customFormat="1" ht="12" hidden="1" customHeight="1" x14ac:dyDescent="0.25">
      <c r="A44" s="2304"/>
      <c r="B44" s="2305"/>
      <c r="C44" s="2305"/>
      <c r="D44" s="2305"/>
      <c r="E44" s="2305"/>
      <c r="F44" s="2306"/>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1" t="str">
        <f>COVER!A17</f>
        <v>Wethersfield Community Unit School District No. 230</v>
      </c>
      <c r="J6" s="2332"/>
      <c r="Q6" s="1684"/>
    </row>
    <row r="7" spans="1:17" x14ac:dyDescent="0.2">
      <c r="A7" s="2333" t="s">
        <v>924</v>
      </c>
      <c r="B7" s="2334"/>
      <c r="C7" s="2334"/>
      <c r="D7" s="2334"/>
      <c r="E7" s="2335"/>
      <c r="F7" s="1016"/>
      <c r="G7" s="1008"/>
      <c r="H7" s="1015" t="s">
        <v>390</v>
      </c>
      <c r="I7" s="2336">
        <f>COVER!A13</f>
        <v>28037230026</v>
      </c>
      <c r="J7" s="2336"/>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7" t="s">
        <v>502</v>
      </c>
      <c r="B11" s="2338"/>
      <c r="C11" s="2339"/>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191075</v>
      </c>
      <c r="F12" s="1038"/>
      <c r="G12" s="1832">
        <f t="shared" ref="G12:G18" si="0">SUM(E12:F12)</f>
        <v>191075</v>
      </c>
      <c r="H12" s="1039">
        <v>197500</v>
      </c>
      <c r="I12" s="1038"/>
      <c r="J12" s="1832">
        <f t="shared" ref="J12:J18" si="1">SUM(H12:I12)</f>
        <v>197500</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0" t="s">
        <v>7</v>
      </c>
      <c r="C18" s="2341"/>
      <c r="D18" s="2342"/>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191075</v>
      </c>
      <c r="F19" s="1834">
        <f t="shared" si="2"/>
        <v>0</v>
      </c>
      <c r="G19" s="1834">
        <f t="shared" si="2"/>
        <v>191075</v>
      </c>
      <c r="H19" s="1834">
        <f t="shared" si="2"/>
        <v>197500</v>
      </c>
      <c r="I19" s="1834">
        <f t="shared" si="2"/>
        <v>0</v>
      </c>
      <c r="J19" s="1834">
        <f t="shared" si="2"/>
        <v>197500</v>
      </c>
    </row>
    <row r="20" spans="1:10" ht="13.5" thickTop="1" x14ac:dyDescent="0.2">
      <c r="A20" s="1034">
        <v>9</v>
      </c>
      <c r="B20" s="2343" t="s">
        <v>1703</v>
      </c>
      <c r="C20" s="2343"/>
      <c r="D20" s="2344"/>
      <c r="E20" s="1045"/>
      <c r="F20" s="1045"/>
      <c r="G20" s="1045"/>
      <c r="H20" s="1045"/>
      <c r="I20" s="1045"/>
      <c r="J20" s="1835">
        <f>IF(AND(G19&gt;0,J19&gt;0),(((J19-G19)/G19)),"Enter Budget Data")</f>
        <v>3.3625539709538139E-2</v>
      </c>
    </row>
    <row r="21" spans="1:10" ht="9.1999999999999993"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49"/>
      <c r="D26" s="2349"/>
      <c r="E26" s="1049"/>
      <c r="F26" s="2348"/>
      <c r="G26" s="2348"/>
    </row>
    <row r="27" spans="1:10" x14ac:dyDescent="0.2">
      <c r="B27" s="1046"/>
      <c r="C27" s="1050" t="s">
        <v>1093</v>
      </c>
      <c r="D27" s="1051"/>
      <c r="E27" s="1052"/>
      <c r="F27" s="2345" t="s">
        <v>1589</v>
      </c>
      <c r="G27" s="2345"/>
    </row>
    <row r="28" spans="1:10" ht="28.5" customHeight="1" x14ac:dyDescent="0.2">
      <c r="B28" s="1046"/>
      <c r="C28" s="2347"/>
      <c r="D28" s="2347"/>
      <c r="E28" s="1053"/>
      <c r="F28" s="2347"/>
      <c r="G28" s="2347"/>
    </row>
    <row r="29" spans="1:10" x14ac:dyDescent="0.2">
      <c r="B29" s="1046"/>
      <c r="C29" s="1054" t="s">
        <v>1642</v>
      </c>
      <c r="E29" s="1055"/>
      <c r="F29" s="2346" t="s">
        <v>1590</v>
      </c>
      <c r="G29" s="2346"/>
    </row>
    <row r="30" spans="1:10" ht="9.1999999999999993" customHeight="1" x14ac:dyDescent="0.2">
      <c r="B30" s="1046"/>
      <c r="C30" s="1056"/>
      <c r="E30" s="1057"/>
      <c r="F30" s="1058"/>
      <c r="G30" s="1058"/>
    </row>
    <row r="31" spans="1:10" ht="15" customHeight="1" x14ac:dyDescent="0.2">
      <c r="A31" s="1010"/>
      <c r="B31" s="1059" t="s">
        <v>1094</v>
      </c>
    </row>
    <row r="32" spans="1:10" ht="9.1999999999999993" customHeight="1" x14ac:dyDescent="0.2">
      <c r="A32" s="1010"/>
      <c r="B32" s="1047"/>
    </row>
    <row r="33" spans="1:10" ht="12.75" customHeight="1" x14ac:dyDescent="0.2">
      <c r="A33" s="1010"/>
      <c r="B33" s="1060"/>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1"/>
    </row>
    <row r="36" spans="1:10" ht="13.5" customHeight="1" x14ac:dyDescent="0.2">
      <c r="B36" s="1060"/>
      <c r="C36" s="2330" t="s">
        <v>1944</v>
      </c>
      <c r="D36" s="2329"/>
      <c r="E36" s="2329"/>
      <c r="F36" s="2329"/>
      <c r="G36" s="2329"/>
      <c r="H36" s="2329"/>
      <c r="I36" s="2329"/>
      <c r="J36" s="1062"/>
    </row>
    <row r="37" spans="1:10" ht="22.5" customHeight="1" x14ac:dyDescent="0.2">
      <c r="C37" s="2329"/>
      <c r="D37" s="2329"/>
      <c r="E37" s="2329"/>
      <c r="F37" s="2329"/>
      <c r="G37" s="2329"/>
      <c r="H37" s="2329"/>
      <c r="I37" s="2329"/>
      <c r="J37" s="1062"/>
    </row>
    <row r="38" spans="1:10" ht="7.5" customHeight="1" x14ac:dyDescent="0.2">
      <c r="C38" s="1061"/>
      <c r="D38" s="1063"/>
      <c r="E38" s="1064"/>
      <c r="F38" s="1065"/>
      <c r="G38" s="1064"/>
    </row>
    <row r="39" spans="1:10" ht="13.5" customHeight="1" x14ac:dyDescent="0.2">
      <c r="B39" s="1060"/>
      <c r="C39" s="2326" t="s">
        <v>937</v>
      </c>
      <c r="D39" s="2327"/>
      <c r="E39" s="2327"/>
      <c r="F39" s="2327"/>
      <c r="G39" s="2327"/>
      <c r="H39" s="2327"/>
      <c r="I39" s="2327"/>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6" sqref="B1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2129</v>
      </c>
    </row>
    <row r="6" spans="1:2" x14ac:dyDescent="0.2">
      <c r="A6" s="1067">
        <v>2</v>
      </c>
      <c r="B6" s="329" t="s">
        <v>2130</v>
      </c>
    </row>
    <row r="7" spans="1:2" x14ac:dyDescent="0.2">
      <c r="A7" s="1067">
        <v>3</v>
      </c>
      <c r="B7" s="329" t="s">
        <v>2131</v>
      </c>
    </row>
    <row r="8" spans="1:2" x14ac:dyDescent="0.2">
      <c r="A8" s="1067"/>
      <c r="B8" s="329" t="s">
        <v>2133</v>
      </c>
    </row>
    <row r="9" spans="1:2" x14ac:dyDescent="0.2">
      <c r="A9" s="1067"/>
      <c r="B9" s="329" t="s">
        <v>2132</v>
      </c>
    </row>
    <row r="10" spans="1:2" x14ac:dyDescent="0.2">
      <c r="A10" s="1067"/>
      <c r="B10" s="329" t="s">
        <v>2134</v>
      </c>
    </row>
    <row r="11" spans="1:2" x14ac:dyDescent="0.2">
      <c r="A11" s="1067">
        <v>4</v>
      </c>
      <c r="B11" s="329" t="s">
        <v>2135</v>
      </c>
    </row>
    <row r="12" spans="1:2" x14ac:dyDescent="0.2">
      <c r="A12" s="1067">
        <v>5</v>
      </c>
      <c r="B12" s="329" t="s">
        <v>2136</v>
      </c>
    </row>
    <row r="13" spans="1:2" x14ac:dyDescent="0.2">
      <c r="A13" s="1067">
        <v>6</v>
      </c>
      <c r="B13" s="329" t="s">
        <v>2137</v>
      </c>
    </row>
    <row r="14" spans="1:2" x14ac:dyDescent="0.2">
      <c r="A14" s="1067">
        <v>7</v>
      </c>
      <c r="B14" s="329" t="s">
        <v>2144</v>
      </c>
    </row>
    <row r="15" spans="1:2" x14ac:dyDescent="0.2">
      <c r="A15" s="1067">
        <v>8</v>
      </c>
      <c r="B15" s="329" t="s">
        <v>2138</v>
      </c>
    </row>
    <row r="16" spans="1:2" x14ac:dyDescent="0.2">
      <c r="A16" s="1067">
        <v>9</v>
      </c>
      <c r="B16" s="329" t="s">
        <v>2139</v>
      </c>
    </row>
    <row r="17" spans="1:2" x14ac:dyDescent="0.2">
      <c r="A17" s="1067">
        <v>10</v>
      </c>
      <c r="B17" s="329" t="s">
        <v>2140</v>
      </c>
    </row>
    <row r="18" spans="1:2" x14ac:dyDescent="0.2">
      <c r="A18" s="1068"/>
      <c r="B18" s="329" t="s">
        <v>2141</v>
      </c>
    </row>
    <row r="19" spans="1:2" x14ac:dyDescent="0.2">
      <c r="A19" s="1068"/>
      <c r="B19" s="329" t="s">
        <v>2142</v>
      </c>
    </row>
    <row r="20" spans="1:2" x14ac:dyDescent="0.2">
      <c r="A20" s="1068"/>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Wethersfield Community Unit School District No. 230</v>
      </c>
    </row>
    <row r="65" spans="2:2" x14ac:dyDescent="0.2">
      <c r="B65" s="1069">
        <f>COVER!A13</f>
        <v>28037230026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95" customHeight="1" thickBot="1" x14ac:dyDescent="0.25">
      <c r="A35" s="2067" t="s">
        <v>1125</v>
      </c>
      <c r="B35" s="2067"/>
      <c r="C35" s="2067"/>
      <c r="D35" s="2067"/>
      <c r="E35" s="2067"/>
    </row>
    <row r="36" spans="1:5" ht="12.75" thickTop="1" x14ac:dyDescent="0.2">
      <c r="B36" s="173"/>
      <c r="C36" s="174"/>
      <c r="D36" s="174"/>
      <c r="E36" s="175"/>
    </row>
    <row r="37" spans="1:5" ht="1.7"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715</v>
      </c>
      <c r="B40" s="2064"/>
      <c r="C40" s="2064"/>
      <c r="D40" s="2064"/>
      <c r="E40" s="2064"/>
    </row>
    <row r="41" spans="1:5" x14ac:dyDescent="0.2">
      <c r="A41" s="2065" t="s">
        <v>1706</v>
      </c>
      <c r="B41" s="2065"/>
      <c r="C41" s="2065"/>
      <c r="D41" s="2065"/>
      <c r="E41" s="2065"/>
    </row>
    <row r="42" spans="1:5" ht="12.75" customHeight="1" x14ac:dyDescent="0.2">
      <c r="A42" s="2066" t="s">
        <v>1080</v>
      </c>
      <c r="B42" s="2066"/>
      <c r="C42" s="2066"/>
      <c r="D42" s="2066"/>
      <c r="E42" s="2066"/>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1999999999999993"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2" customHeight="1" x14ac:dyDescent="0.2">
      <c r="A16" s="1072"/>
      <c r="B16" s="1072" t="s">
        <v>1783</v>
      </c>
    </row>
    <row r="17" spans="1:2" ht="6" customHeight="1" x14ac:dyDescent="0.2"/>
    <row r="18" spans="1:2" ht="24.75" customHeight="1" x14ac:dyDescent="0.2">
      <c r="A18" s="2350" t="s">
        <v>1784</v>
      </c>
      <c r="B18" s="235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5017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1790</v>
      </c>
      <c r="B1" s="2352"/>
      <c r="C1" s="2352"/>
      <c r="D1" s="2352"/>
      <c r="E1" s="2352"/>
      <c r="F1" s="2353"/>
    </row>
    <row r="2" spans="1:8" ht="45.2" customHeight="1" x14ac:dyDescent="0.2">
      <c r="A2" s="2361" t="s">
        <v>1791</v>
      </c>
      <c r="B2" s="2362"/>
      <c r="C2" s="2362"/>
      <c r="D2" s="2362"/>
      <c r="E2" s="2362"/>
      <c r="F2" s="2363"/>
      <c r="G2" s="1073"/>
      <c r="H2" s="1073"/>
    </row>
    <row r="3" spans="1:8" ht="57" customHeight="1" x14ac:dyDescent="0.2">
      <c r="A3" s="2364" t="s">
        <v>1786</v>
      </c>
      <c r="B3" s="2365"/>
      <c r="C3" s="2365"/>
      <c r="D3" s="2365"/>
      <c r="E3" s="2365"/>
      <c r="F3" s="2366"/>
      <c r="G3" s="1073"/>
      <c r="H3" s="1073"/>
    </row>
    <row r="4" spans="1:8" ht="14.25" customHeight="1" x14ac:dyDescent="0.2">
      <c r="A4" s="2370" t="s">
        <v>2056</v>
      </c>
      <c r="B4" s="2371"/>
      <c r="C4" s="2371"/>
      <c r="D4" s="2371"/>
      <c r="E4" s="2371"/>
      <c r="F4" s="2372"/>
      <c r="G4" s="1073"/>
      <c r="H4" s="1073"/>
    </row>
    <row r="5" spans="1:8" ht="14.25" customHeight="1" x14ac:dyDescent="0.2">
      <c r="A5" s="2373" t="s">
        <v>2057</v>
      </c>
      <c r="B5" s="2374"/>
      <c r="C5" s="2374"/>
      <c r="D5" s="2374"/>
      <c r="E5" s="2374"/>
      <c r="F5" s="2375"/>
      <c r="G5" s="1073"/>
      <c r="H5" s="1073"/>
    </row>
    <row r="6" spans="1:8" s="1074" customFormat="1" ht="41.45" customHeight="1" x14ac:dyDescent="0.2">
      <c r="A6" s="2367" t="s">
        <v>1792</v>
      </c>
      <c r="B6" s="2368"/>
      <c r="C6" s="2368"/>
      <c r="D6" s="2368"/>
      <c r="E6" s="2368"/>
      <c r="F6" s="2369"/>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4481300</v>
      </c>
      <c r="C8" s="1836">
        <f>'Acct Summary 7-8'!D8</f>
        <v>442489</v>
      </c>
      <c r="D8" s="1836">
        <f>'Acct Summary 7-8'!F8</f>
        <v>255006</v>
      </c>
      <c r="E8" s="1836">
        <f>'Acct Summary 7-8'!I8</f>
        <v>28072</v>
      </c>
      <c r="F8" s="1836">
        <f>SUM(B8:E8)</f>
        <v>5206867</v>
      </c>
    </row>
    <row r="9" spans="1:8" s="1078" customFormat="1" ht="14.25" customHeight="1" thickBot="1" x14ac:dyDescent="0.25">
      <c r="A9" s="1077" t="s">
        <v>1436</v>
      </c>
      <c r="B9" s="1837">
        <f>'Acct Summary 7-8'!C17</f>
        <v>4395310</v>
      </c>
      <c r="C9" s="1837">
        <f>'Acct Summary 7-8'!D17</f>
        <v>432525</v>
      </c>
      <c r="D9" s="1837">
        <f>'Acct Summary 7-8'!F17</f>
        <v>224140</v>
      </c>
      <c r="E9" s="1836"/>
      <c r="F9" s="1836">
        <f>SUM(B9:E9)</f>
        <v>5051975</v>
      </c>
    </row>
    <row r="10" spans="1:8" s="1078" customFormat="1" ht="14.25" thickTop="1" thickBot="1" x14ac:dyDescent="0.25">
      <c r="A10" s="1079" t="s">
        <v>1437</v>
      </c>
      <c r="B10" s="1838">
        <f>(B8-B9)</f>
        <v>85990</v>
      </c>
      <c r="C10" s="1838">
        <f>(C8-C9)</f>
        <v>9964</v>
      </c>
      <c r="D10" s="1838">
        <f>(D8-D9)</f>
        <v>30866</v>
      </c>
      <c r="E10" s="1837">
        <f>(E8-E9)</f>
        <v>28072</v>
      </c>
      <c r="F10" s="1839">
        <f>SUM(F8-F9)</f>
        <v>154892</v>
      </c>
    </row>
    <row r="11" spans="1:8" s="1078" customFormat="1" ht="14.25" thickTop="1" thickBot="1" x14ac:dyDescent="0.25">
      <c r="A11" s="1080" t="s">
        <v>1785</v>
      </c>
      <c r="B11" s="1840">
        <f>'Acct Summary 7-8'!C81</f>
        <v>1770603</v>
      </c>
      <c r="C11" s="1840">
        <f>'Acct Summary 7-8'!D81</f>
        <v>188466</v>
      </c>
      <c r="D11" s="1840">
        <f>'Acct Summary 7-8'!F81</f>
        <v>195570</v>
      </c>
      <c r="E11" s="1840">
        <f>'Acct Summary 7-8'!I81</f>
        <v>174694</v>
      </c>
      <c r="F11" s="1841">
        <f>SUM(B11:E11)</f>
        <v>2329333</v>
      </c>
    </row>
    <row r="12" spans="1:8" ht="16.5" customHeight="1" thickTop="1" x14ac:dyDescent="0.2">
      <c r="A12" s="1081"/>
      <c r="B12" s="1082"/>
      <c r="C12" s="2355" t="str">
        <f>IF(AND(F10&lt;0,F11&gt;=0,ABS(F10*3)&gt;ABS(F11)),A16,IF(AND(F10&lt;0,F11&gt;0,ABS(F10*3)&lt;=ABS(F11)),A17,IF(AND(F10&lt;0,F11&lt;0),A16,IF(F11=0,A19,A18))))</f>
        <v>Balanced - no deficit reduction plan is required.</v>
      </c>
      <c r="D12" s="2356"/>
      <c r="E12" s="2356"/>
      <c r="F12" s="2357"/>
    </row>
    <row r="13" spans="1:8" ht="19.7" customHeight="1" x14ac:dyDescent="0.2">
      <c r="A13" s="1083"/>
      <c r="B13" s="1084"/>
      <c r="C13" s="2355"/>
      <c r="D13" s="2356"/>
      <c r="E13" s="2356"/>
      <c r="F13" s="2357"/>
      <c r="H13" s="1073"/>
    </row>
    <row r="14" spans="1:8" ht="19.7" customHeight="1" x14ac:dyDescent="0.2">
      <c r="A14" s="1083"/>
      <c r="B14" s="1084"/>
      <c r="C14" s="2355"/>
      <c r="D14" s="2356"/>
      <c r="E14" s="2356"/>
      <c r="F14" s="2357"/>
      <c r="H14" s="1073"/>
    </row>
    <row r="15" spans="1:8" ht="17.25" customHeight="1" x14ac:dyDescent="0.2">
      <c r="A15" s="1083"/>
      <c r="B15" s="1084"/>
      <c r="C15" s="2358"/>
      <c r="D15" s="2359"/>
      <c r="E15" s="2359"/>
      <c r="F15" s="2360"/>
      <c r="H15" s="1073"/>
    </row>
    <row r="16" spans="1:8" s="310" customFormat="1" ht="51.95" hidden="1" customHeight="1" x14ac:dyDescent="0.2">
      <c r="A16" s="2354" t="s">
        <v>1787</v>
      </c>
      <c r="B16" s="2354"/>
      <c r="C16" s="2354"/>
      <c r="D16" s="2354"/>
      <c r="E16" s="2354"/>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9"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76" t="s">
        <v>686</v>
      </c>
      <c r="B3" s="2377"/>
      <c r="C3" s="2377"/>
      <c r="D3" s="2378"/>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7" t="s">
        <v>1584</v>
      </c>
      <c r="D7" s="2388"/>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79" t="s">
        <v>1065</v>
      </c>
      <c r="B15" s="2380"/>
      <c r="C15" s="2380"/>
      <c r="D15" s="2381"/>
    </row>
    <row r="16" spans="1:4" s="667" customFormat="1" ht="24" customHeight="1" x14ac:dyDescent="0.2">
      <c r="A16" s="2382" t="s">
        <v>684</v>
      </c>
      <c r="B16" s="2383"/>
      <c r="C16" s="2383"/>
      <c r="D16" s="2384"/>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1" t="s">
        <v>332</v>
      </c>
      <c r="D21" s="2392"/>
    </row>
    <row r="22" spans="1:10" ht="12.75" x14ac:dyDescent="0.2">
      <c r="A22" s="1138"/>
      <c r="B22" s="1139">
        <v>2</v>
      </c>
      <c r="C22" s="2389" t="s">
        <v>1605</v>
      </c>
      <c r="D22" s="2390"/>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75"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3" t="s">
        <v>557</v>
      </c>
      <c r="D43" s="2394"/>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5" t="s">
        <v>817</v>
      </c>
      <c r="D56" s="2386"/>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ERROR!</v>
      </c>
    </row>
    <row r="70" spans="1:4" x14ac:dyDescent="0.2">
      <c r="A70" s="1097"/>
      <c r="B70" s="1119">
        <f>B66+1</f>
        <v>9</v>
      </c>
      <c r="C70" s="2385" t="s">
        <v>1797</v>
      </c>
      <c r="D70" s="2386"/>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28037230026</v>
      </c>
    </row>
    <row r="3" spans="1:2" x14ac:dyDescent="0.2">
      <c r="A3" t="s">
        <v>1013</v>
      </c>
      <c r="B3" s="138" t="str">
        <f>COVER!A15</f>
        <v>Henry</v>
      </c>
    </row>
    <row r="4" spans="1:2" x14ac:dyDescent="0.2">
      <c r="A4" t="s">
        <v>1064</v>
      </c>
      <c r="B4" s="138" t="str">
        <f>COVER!A17</f>
        <v>Wethersfield Community Unit School District No. 230</v>
      </c>
    </row>
    <row r="5" spans="1:2" x14ac:dyDescent="0.2">
      <c r="A5" t="s">
        <v>728</v>
      </c>
      <c r="B5" s="138" t="str">
        <f>COVER!A38</f>
        <v>Shane Kazubowski</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Tim C. Custis, CPA</v>
      </c>
    </row>
    <row r="18" spans="1:2" x14ac:dyDescent="0.2">
      <c r="A18" t="s">
        <v>1212</v>
      </c>
      <c r="B18" s="138" t="str">
        <f>COVER!T17</f>
        <v>4200 N Knoxville Ave</v>
      </c>
    </row>
    <row r="19" spans="1:2" x14ac:dyDescent="0.2">
      <c r="A19" t="s">
        <v>941</v>
      </c>
      <c r="B19" s="138" t="str">
        <f>COVER!T25</f>
        <v>tcustis@gorenzcpa.com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687970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1770603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1765829</v>
      </c>
      <c r="D92" s="2" t="str">
        <f t="shared" si="0"/>
        <v>Error?</v>
      </c>
    </row>
    <row r="93" spans="1:4" x14ac:dyDescent="0.2">
      <c r="A93" s="5">
        <v>32</v>
      </c>
      <c r="B93" s="138">
        <f>'Assets-Liab 5-6'!C41</f>
        <v>1770603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12508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188466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188466</v>
      </c>
      <c r="D123" s="2" t="str">
        <f t="shared" si="0"/>
        <v>Error?</v>
      </c>
    </row>
    <row r="124" spans="1:4" x14ac:dyDescent="0.2">
      <c r="A124" s="5">
        <v>63</v>
      </c>
      <c r="B124" s="138">
        <f>'Assets-Liab 5-6'!D41</f>
        <v>188466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190220</v>
      </c>
      <c r="D129" s="2" t="str">
        <f t="shared" si="1"/>
        <v>Error?</v>
      </c>
    </row>
    <row r="130" spans="1:4" x14ac:dyDescent="0.2">
      <c r="A130" s="5">
        <v>69</v>
      </c>
      <c r="B130" s="138">
        <f>'Assets-Liab 5-6'!E12</f>
        <v>0</v>
      </c>
      <c r="D130" s="2" t="str">
        <f t="shared" si="1"/>
        <v>Error?</v>
      </c>
    </row>
    <row r="131" spans="1:4" x14ac:dyDescent="0.2">
      <c r="A131" s="5">
        <v>70</v>
      </c>
      <c r="B131" s="138">
        <f>'Assets-Liab 5-6'!E13</f>
        <v>536704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516359</v>
      </c>
      <c r="D140" s="2" t="str">
        <f t="shared" si="1"/>
        <v>Error?</v>
      </c>
    </row>
    <row r="141" spans="1:4" x14ac:dyDescent="0.2">
      <c r="A141" s="5">
        <v>80</v>
      </c>
      <c r="B141" s="138">
        <f>'Assets-Liab 5-6'!E41</f>
        <v>536704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5810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195570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195570</v>
      </c>
      <c r="D170" s="2" t="str">
        <f t="shared" si="1"/>
        <v>Error?</v>
      </c>
    </row>
    <row r="171" spans="1:4" x14ac:dyDescent="0.2">
      <c r="A171" s="5">
        <v>110</v>
      </c>
      <c r="B171" s="138">
        <f>'Assets-Liab 5-6'!F41</f>
        <v>195570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162962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89277</v>
      </c>
      <c r="D189" s="2" t="str">
        <f t="shared" si="1"/>
        <v>Error?</v>
      </c>
    </row>
    <row r="190" spans="1:4" x14ac:dyDescent="0.2">
      <c r="A190" s="5">
        <v>129</v>
      </c>
      <c r="B190" s="138">
        <f>'Assets-Liab 5-6'!G41</f>
        <v>162962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290232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290232</v>
      </c>
      <c r="D212" s="2" t="str">
        <f t="shared" si="2"/>
        <v>Error?</v>
      </c>
    </row>
    <row r="213" spans="1:4" x14ac:dyDescent="0.2">
      <c r="A213" s="12">
        <v>152</v>
      </c>
      <c r="B213" s="138">
        <f>'Assets-Liab 5-6'!H41</f>
        <v>290232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39570</v>
      </c>
      <c r="D273" s="2" t="str">
        <f t="shared" si="3"/>
        <v>Error?</v>
      </c>
    </row>
    <row r="274" spans="1:4" x14ac:dyDescent="0.2">
      <c r="A274" s="5">
        <v>213</v>
      </c>
      <c r="B274" s="138">
        <f>'Assets-Liab 5-6'!M17</f>
        <v>5911331</v>
      </c>
      <c r="D274" s="2" t="str">
        <f t="shared" si="3"/>
        <v>Error?</v>
      </c>
    </row>
    <row r="275" spans="1:4" x14ac:dyDescent="0.2">
      <c r="A275" s="5">
        <v>214</v>
      </c>
      <c r="B275" s="138">
        <f>'Assets-Liab 5-6'!M18</f>
        <v>1089969</v>
      </c>
      <c r="D275" s="2" t="str">
        <f t="shared" si="3"/>
        <v>Error?</v>
      </c>
    </row>
    <row r="276" spans="1:4" x14ac:dyDescent="0.2">
      <c r="A276" s="5">
        <v>215</v>
      </c>
      <c r="B276" s="138">
        <f>'Assets-Liab 5-6'!M19</f>
        <v>1440876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8521125</v>
      </c>
      <c r="C279" s="2" t="s">
        <v>594</v>
      </c>
      <c r="D279" s="2" t="str">
        <f t="shared" si="3"/>
        <v>Error?</v>
      </c>
    </row>
    <row r="280" spans="1:4" x14ac:dyDescent="0.2">
      <c r="A280" s="5">
        <v>219</v>
      </c>
      <c r="B280" s="138">
        <f>'Assets-Liab 5-6'!M40</f>
        <v>8521125</v>
      </c>
      <c r="D280" s="2" t="str">
        <f t="shared" si="3"/>
        <v>Error?</v>
      </c>
    </row>
    <row r="281" spans="1:4" x14ac:dyDescent="0.2">
      <c r="A281" s="5">
        <v>220</v>
      </c>
      <c r="B281" s="138">
        <f>'Assets-Liab 5-6'!M41</f>
        <v>8521125</v>
      </c>
      <c r="C281" s="2" t="s">
        <v>594</v>
      </c>
      <c r="D281" s="2" t="str">
        <f t="shared" si="3"/>
        <v>Error?</v>
      </c>
    </row>
    <row r="282" spans="1:4" x14ac:dyDescent="0.2">
      <c r="A282" s="5">
        <v>221</v>
      </c>
      <c r="B282" s="138">
        <f>'Assets-Liab 5-6'!N21</f>
        <v>536704</v>
      </c>
      <c r="D282" s="2" t="str">
        <f t="shared" si="3"/>
        <v>Error?</v>
      </c>
    </row>
    <row r="283" spans="1:4" x14ac:dyDescent="0.2">
      <c r="A283" s="5">
        <v>222</v>
      </c>
      <c r="B283" s="138">
        <f>'Assets-Liab 5-6'!N22</f>
        <v>1563980</v>
      </c>
      <c r="D283" s="2" t="str">
        <f t="shared" si="3"/>
        <v>Error?</v>
      </c>
    </row>
    <row r="284" spans="1:4" x14ac:dyDescent="0.2">
      <c r="A284" s="5">
        <v>223</v>
      </c>
      <c r="B284" s="138">
        <f>'Assets-Liab 5-6'!N23</f>
        <v>2100684</v>
      </c>
      <c r="C284" s="2" t="s">
        <v>594</v>
      </c>
      <c r="D284" s="2" t="str">
        <f t="shared" si="3"/>
        <v>Error?</v>
      </c>
    </row>
    <row r="285" spans="1:4" x14ac:dyDescent="0.2">
      <c r="A285" s="5">
        <v>224</v>
      </c>
      <c r="B285" s="138">
        <f>'Assets-Liab 5-6'!N36</f>
        <v>2100684</v>
      </c>
      <c r="D285" s="2" t="str">
        <f t="shared" si="3"/>
        <v>Error?</v>
      </c>
    </row>
    <row r="286" spans="1:4" x14ac:dyDescent="0.2">
      <c r="A286" s="10">
        <v>225</v>
      </c>
      <c r="D286" s="2" t="str">
        <f t="shared" si="3"/>
        <v>OK</v>
      </c>
    </row>
    <row r="287" spans="1:4" x14ac:dyDescent="0.2">
      <c r="A287" s="5">
        <v>226</v>
      </c>
      <c r="B287" s="138">
        <f>'Assets-Liab 5-6'!N37</f>
        <v>2100684</v>
      </c>
      <c r="C287" s="2" t="s">
        <v>594</v>
      </c>
      <c r="D287" s="2" t="str">
        <f t="shared" si="3"/>
        <v>Error?</v>
      </c>
    </row>
    <row r="288" spans="1:4" x14ac:dyDescent="0.2">
      <c r="A288" s="5">
        <v>227</v>
      </c>
      <c r="B288" s="138">
        <f>'Assets-Liab 5-6'!N41</f>
        <v>2100684</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1746010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77552</v>
      </c>
      <c r="D717" s="2" t="str">
        <f t="shared" si="10"/>
        <v>Error?</v>
      </c>
    </row>
    <row r="718" spans="1:4" x14ac:dyDescent="0.2">
      <c r="A718" s="5">
        <v>657</v>
      </c>
      <c r="B718" s="138">
        <f>'Expenditures 15-22'!C14</f>
        <v>78579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2198067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43365</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96</v>
      </c>
      <c r="D726" s="2" t="str">
        <f t="shared" si="10"/>
        <v>Error?</v>
      </c>
    </row>
    <row r="727" spans="1:4" x14ac:dyDescent="0.2">
      <c r="A727" s="5">
        <v>666</v>
      </c>
      <c r="B727" s="138">
        <f>'Expenditures 15-22'!C42</f>
        <v>43461</v>
      </c>
      <c r="C727" s="2" t="s">
        <v>594</v>
      </c>
      <c r="D727" s="2" t="str">
        <f t="shared" si="10"/>
        <v>Error?</v>
      </c>
    </row>
    <row r="728" spans="1:4" x14ac:dyDescent="0.2">
      <c r="A728" s="5">
        <v>667</v>
      </c>
      <c r="B728" s="138">
        <f>'Expenditures 15-22'!C44</f>
        <v>11212</v>
      </c>
      <c r="D728" s="2" t="str">
        <f t="shared" si="10"/>
        <v>Error?</v>
      </c>
    </row>
    <row r="729" spans="1:4" x14ac:dyDescent="0.2">
      <c r="A729" s="5">
        <v>668</v>
      </c>
      <c r="B729" s="138">
        <f>'Expenditures 15-22'!C45</f>
        <v>110647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121859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150800</v>
      </c>
      <c r="D733" s="2" t="str">
        <f t="shared" si="10"/>
        <v>Error?</v>
      </c>
    </row>
    <row r="734" spans="1:4" x14ac:dyDescent="0.2">
      <c r="A734" s="5">
        <v>673</v>
      </c>
      <c r="B734" s="138">
        <f>'Expenditures 15-22'!C53</f>
        <v>150800</v>
      </c>
      <c r="C734" s="2" t="s">
        <v>594</v>
      </c>
      <c r="D734" s="2" t="str">
        <f t="shared" si="10"/>
        <v>Error?</v>
      </c>
    </row>
    <row r="735" spans="1:4" x14ac:dyDescent="0.2">
      <c r="A735" s="5">
        <v>674</v>
      </c>
      <c r="B735" s="138">
        <f>'Expenditures 15-22'!C55</f>
        <v>196320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196320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43604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87147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130751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643191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2841258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454221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25302</v>
      </c>
      <c r="D775" s="2" t="str">
        <f t="shared" si="11"/>
        <v>Error?</v>
      </c>
    </row>
    <row r="776" spans="1:4" x14ac:dyDescent="0.2">
      <c r="A776" s="5">
        <v>715</v>
      </c>
      <c r="B776" s="138">
        <f>'Expenditures 15-22'!D14</f>
        <v>7684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567561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12276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12276</v>
      </c>
      <c r="C785" s="2" t="s">
        <v>594</v>
      </c>
      <c r="D785" s="2" t="str">
        <f t="shared" si="11"/>
        <v>Error?</v>
      </c>
    </row>
    <row r="786" spans="1:4" x14ac:dyDescent="0.2">
      <c r="A786" s="5">
        <v>725</v>
      </c>
      <c r="B786" s="138">
        <f>'Expenditures 15-22'!D44</f>
        <v>3789</v>
      </c>
      <c r="D786" s="2" t="str">
        <f t="shared" si="11"/>
        <v>Error?</v>
      </c>
    </row>
    <row r="787" spans="1:4" x14ac:dyDescent="0.2">
      <c r="A787" s="5">
        <v>726</v>
      </c>
      <c r="B787" s="138">
        <f>'Expenditures 15-22'!D45</f>
        <v>21877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25666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37266</v>
      </c>
      <c r="D791" s="2" t="str">
        <f t="shared" si="11"/>
        <v>Error?</v>
      </c>
    </row>
    <row r="792" spans="1:4" x14ac:dyDescent="0.2">
      <c r="A792" s="5">
        <v>731</v>
      </c>
      <c r="B792" s="138">
        <f>'Expenditures 15-22'!D53</f>
        <v>37266</v>
      </c>
      <c r="C792" s="2" t="s">
        <v>594</v>
      </c>
      <c r="D792" s="2" t="str">
        <f t="shared" si="11"/>
        <v>Error?</v>
      </c>
    </row>
    <row r="793" spans="1:4" x14ac:dyDescent="0.2">
      <c r="A793" s="5">
        <v>732</v>
      </c>
      <c r="B793" s="138">
        <f>'Expenditures 15-22'!D55</f>
        <v>51383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51383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7779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12873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20652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147243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714804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21173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1146</v>
      </c>
      <c r="D833" s="2" t="str">
        <f t="shared" si="12"/>
        <v>Error?</v>
      </c>
    </row>
    <row r="834" spans="1:4" x14ac:dyDescent="0.2">
      <c r="A834" s="5">
        <v>773</v>
      </c>
      <c r="B834" s="138">
        <f>'Expenditures 15-22'!E14</f>
        <v>28012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79931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225</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36832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36832</v>
      </c>
      <c r="C847" s="2" t="s">
        <v>594</v>
      </c>
      <c r="D847" s="2" t="str">
        <f t="shared" si="12"/>
        <v>Error?</v>
      </c>
    </row>
    <row r="848" spans="1:4" x14ac:dyDescent="0.2">
      <c r="A848" s="5">
        <v>787</v>
      </c>
      <c r="B848" s="138">
        <f>'Expenditures 15-22'!E49</f>
        <v>16686</v>
      </c>
      <c r="D848" s="2" t="str">
        <f t="shared" si="12"/>
        <v>Error?</v>
      </c>
    </row>
    <row r="849" spans="1:4" x14ac:dyDescent="0.2">
      <c r="A849" s="5">
        <v>788</v>
      </c>
      <c r="B849" s="138">
        <f>'Expenditures 15-22'!E50</f>
        <v>746</v>
      </c>
      <c r="D849" s="2" t="str">
        <f t="shared" si="12"/>
        <v>Error?</v>
      </c>
    </row>
    <row r="850" spans="1:4" x14ac:dyDescent="0.2">
      <c r="A850" s="5">
        <v>789</v>
      </c>
      <c r="B850" s="138">
        <f>'Expenditures 15-22'!E53</f>
        <v>17432</v>
      </c>
      <c r="C850" s="2" t="s">
        <v>594</v>
      </c>
      <c r="D850" s="2" t="str">
        <f t="shared" si="12"/>
        <v>Error?</v>
      </c>
    </row>
    <row r="851" spans="1:4" x14ac:dyDescent="0.2">
      <c r="A851" s="5">
        <v>790</v>
      </c>
      <c r="B851" s="138">
        <f>'Expenditures 15-22'!E55</f>
        <v>440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440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1745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2680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4425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59354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139285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39736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20768</v>
      </c>
      <c r="D891" s="2" t="str">
        <f t="shared" si="12"/>
        <v>Error?</v>
      </c>
    </row>
    <row r="892" spans="1:4" x14ac:dyDescent="0.2">
      <c r="A892" s="5">
        <v>831</v>
      </c>
      <c r="B892" s="138">
        <f>'Expenditures 15-22'!F14</f>
        <v>35765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105206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42333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42333</v>
      </c>
      <c r="C905" s="2" t="s">
        <v>594</v>
      </c>
      <c r="D905" s="2" t="str">
        <f t="shared" si="13"/>
        <v>Error?</v>
      </c>
    </row>
    <row r="906" spans="1:4" x14ac:dyDescent="0.2">
      <c r="A906" s="5">
        <v>845</v>
      </c>
      <c r="B906" s="138">
        <f>'Expenditures 15-22'!F49</f>
        <v>1090</v>
      </c>
      <c r="D906" s="2" t="str">
        <f t="shared" si="13"/>
        <v>Error?</v>
      </c>
    </row>
    <row r="907" spans="1:4" x14ac:dyDescent="0.2">
      <c r="A907" s="5">
        <v>846</v>
      </c>
      <c r="B907" s="138">
        <f>'Expenditures 15-22'!F50</f>
        <v>315</v>
      </c>
      <c r="D907" s="2" t="str">
        <f t="shared" si="13"/>
        <v>Error?</v>
      </c>
    </row>
    <row r="908" spans="1:4" x14ac:dyDescent="0.2">
      <c r="A908" s="5">
        <v>847</v>
      </c>
      <c r="B908" s="138">
        <f>'Expenditures 15-22'!F53</f>
        <v>1405</v>
      </c>
      <c r="C908" s="2" t="s">
        <v>594</v>
      </c>
      <c r="D908" s="2" t="str">
        <f t="shared" si="13"/>
        <v>Error?</v>
      </c>
    </row>
    <row r="909" spans="1:4" x14ac:dyDescent="0.2">
      <c r="A909" s="5">
        <v>848</v>
      </c>
      <c r="B909" s="138">
        <f>'Expenditures 15-22'!F55</f>
        <v>956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956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1910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88760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90670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135364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240570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1974</v>
      </c>
      <c r="D949" s="2" t="str">
        <f t="shared" si="13"/>
        <v>Error?</v>
      </c>
    </row>
    <row r="950" spans="1:4" x14ac:dyDescent="0.2">
      <c r="A950" s="5">
        <v>889</v>
      </c>
      <c r="B950" s="138">
        <f>'Expenditures 15-22'!G14</f>
        <v>2202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6869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26221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26221</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26221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33090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24891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11859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36750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4039</v>
      </c>
      <c r="D1022" s="2" t="str">
        <f t="shared" si="14"/>
        <v>Error?</v>
      </c>
    </row>
    <row r="1023" spans="1:4" x14ac:dyDescent="0.2">
      <c r="A1023" s="5">
        <v>962</v>
      </c>
      <c r="B1023" s="138">
        <f>'Expenditures 15-22'!H50</f>
        <v>1948</v>
      </c>
      <c r="D1023" s="2" t="str">
        <f t="shared" ref="D1023:D1086" si="15">IF(ISBLANK(B1023),"OK",IF(A1023-B1023=0,"OK","Error?"))</f>
        <v>Error?</v>
      </c>
    </row>
    <row r="1024" spans="1:4" x14ac:dyDescent="0.2">
      <c r="A1024" s="5">
        <v>963</v>
      </c>
      <c r="B1024" s="138">
        <f>'Expenditures 15-22'!H53</f>
        <v>5987</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295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295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6282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383271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426303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2286031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126742</v>
      </c>
      <c r="C1105" s="2" t="s">
        <v>594</v>
      </c>
      <c r="D1105" s="2" t="str">
        <f t="shared" si="16"/>
        <v>Error?</v>
      </c>
    </row>
    <row r="1106" spans="1:4" x14ac:dyDescent="0.2">
      <c r="A1106" s="5">
        <v>1045</v>
      </c>
      <c r="B1106" s="138">
        <f>'Expenditures 15-22'!K14</f>
        <v>164101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2994384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55641</v>
      </c>
      <c r="C1110" s="2" t="s">
        <v>594</v>
      </c>
      <c r="D1110" s="2" t="str">
        <f t="shared" si="16"/>
        <v>Error?</v>
      </c>
    </row>
    <row r="1111" spans="1:4" x14ac:dyDescent="0.2">
      <c r="A1111" s="5">
        <v>1050</v>
      </c>
      <c r="B1111" s="138">
        <f>'Expenditures 15-22'!K38</f>
        <v>225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96</v>
      </c>
      <c r="C1114" s="2" t="s">
        <v>594</v>
      </c>
      <c r="D1114" s="2" t="str">
        <f t="shared" si="16"/>
        <v>Error?</v>
      </c>
    </row>
    <row r="1115" spans="1:4" x14ac:dyDescent="0.2">
      <c r="A1115" s="5">
        <v>1054</v>
      </c>
      <c r="B1115" s="138">
        <f>'Expenditures 15-22'!K42</f>
        <v>55962</v>
      </c>
      <c r="C1115" s="2" t="s">
        <v>594</v>
      </c>
      <c r="D1115" s="2" t="str">
        <f t="shared" si="16"/>
        <v>Error?</v>
      </c>
    </row>
    <row r="1116" spans="1:4" x14ac:dyDescent="0.2">
      <c r="A1116" s="5">
        <v>1055</v>
      </c>
      <c r="B1116" s="138">
        <f>'Expenditures 15-22'!K44</f>
        <v>15001</v>
      </c>
      <c r="C1116" s="2" t="s">
        <v>594</v>
      </c>
      <c r="D1116" s="2" t="str">
        <f t="shared" si="16"/>
        <v>Error?</v>
      </c>
    </row>
    <row r="1117" spans="1:4" x14ac:dyDescent="0.2">
      <c r="A1117" s="5">
        <v>1056</v>
      </c>
      <c r="B1117" s="138">
        <f>'Expenditures 15-22'!K45</f>
        <v>237910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252911</v>
      </c>
      <c r="C1119" s="2" t="s">
        <v>594</v>
      </c>
      <c r="D1119" s="2" t="str">
        <f t="shared" si="16"/>
        <v>Error?</v>
      </c>
    </row>
    <row r="1120" spans="1:4" x14ac:dyDescent="0.2">
      <c r="A1120" s="5">
        <v>1059</v>
      </c>
      <c r="B1120" s="138">
        <f>'Expenditures 15-22'!K49</f>
        <v>21815</v>
      </c>
      <c r="C1120" s="2" t="s">
        <v>594</v>
      </c>
      <c r="D1120" s="2" t="str">
        <f t="shared" si="16"/>
        <v>Error?</v>
      </c>
    </row>
    <row r="1121" spans="1:4" x14ac:dyDescent="0.2">
      <c r="A1121" s="5">
        <v>1060</v>
      </c>
      <c r="B1121" s="138">
        <f>'Expenditures 15-22'!K50</f>
        <v>191075</v>
      </c>
      <c r="C1121" s="2" t="s">
        <v>594</v>
      </c>
      <c r="D1121" s="2" t="str">
        <f t="shared" si="16"/>
        <v>Error?</v>
      </c>
    </row>
    <row r="1122" spans="1:4" x14ac:dyDescent="0.2">
      <c r="A1122" s="5">
        <v>1061</v>
      </c>
      <c r="B1122" s="138">
        <f>'Expenditures 15-22'!K53</f>
        <v>212890</v>
      </c>
      <c r="C1122" s="2" t="s">
        <v>594</v>
      </c>
      <c r="D1122" s="2" t="str">
        <f t="shared" si="16"/>
        <v>Error?</v>
      </c>
    </row>
    <row r="1123" spans="1:4" x14ac:dyDescent="0.2">
      <c r="A1123" s="5">
        <v>1062</v>
      </c>
      <c r="B1123" s="138">
        <f>'Expenditures 15-22'!K55</f>
        <v>249099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249099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55038</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191755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246793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1017655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383271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4395310</v>
      </c>
      <c r="C1152" s="2" t="s">
        <v>594</v>
      </c>
      <c r="D1152" s="2" t="str">
        <f t="shared" si="17"/>
        <v>Error?</v>
      </c>
    </row>
    <row r="1153" spans="1:4" x14ac:dyDescent="0.2">
      <c r="A1153" s="5">
        <v>1092</v>
      </c>
      <c r="B1153" s="138">
        <f>'Expenditures 15-22'!K115</f>
        <v>85990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192723</v>
      </c>
      <c r="D1221" s="2" t="str">
        <f t="shared" si="18"/>
        <v>Error?</v>
      </c>
    </row>
    <row r="1222" spans="1:4" x14ac:dyDescent="0.2">
      <c r="A1222" s="10">
        <v>1161</v>
      </c>
      <c r="D1222" s="2" t="str">
        <f t="shared" si="18"/>
        <v>OK</v>
      </c>
    </row>
    <row r="1223" spans="1:4" x14ac:dyDescent="0.2">
      <c r="A1223" s="5">
        <v>1162</v>
      </c>
      <c r="B1223" s="138">
        <f>'Expenditures 15-22'!C127</f>
        <v>192723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192723</v>
      </c>
      <c r="C1225" s="2" t="s">
        <v>594</v>
      </c>
      <c r="D1225" s="2" t="str">
        <f t="shared" si="18"/>
        <v>Error?</v>
      </c>
    </row>
    <row r="1226" spans="1:4" x14ac:dyDescent="0.2">
      <c r="A1226" s="5">
        <v>1165</v>
      </c>
      <c r="B1226" s="138">
        <f>'Expenditures 15-22'!C151</f>
        <v>192723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36370</v>
      </c>
      <c r="D1229" s="2" t="str">
        <f t="shared" si="18"/>
        <v>Error?</v>
      </c>
    </row>
    <row r="1230" spans="1:4" x14ac:dyDescent="0.2">
      <c r="A1230" s="10">
        <v>1169</v>
      </c>
      <c r="D1230" s="2" t="str">
        <f t="shared" si="18"/>
        <v>OK</v>
      </c>
    </row>
    <row r="1231" spans="1:4" x14ac:dyDescent="0.2">
      <c r="A1231" s="5">
        <v>1170</v>
      </c>
      <c r="B1231" s="138">
        <f>'Expenditures 15-22'!D127</f>
        <v>36370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36370</v>
      </c>
      <c r="C1233" s="2" t="s">
        <v>594</v>
      </c>
      <c r="D1233" s="2" t="str">
        <f t="shared" si="18"/>
        <v>Error?</v>
      </c>
    </row>
    <row r="1234" spans="1:4" x14ac:dyDescent="0.2">
      <c r="A1234" s="5">
        <v>1173</v>
      </c>
      <c r="B1234" s="138">
        <f>'Expenditures 15-22'!D151</f>
        <v>36370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165569</v>
      </c>
      <c r="D1237" s="2" t="str">
        <f t="shared" si="18"/>
        <v>Error?</v>
      </c>
    </row>
    <row r="1238" spans="1:4" x14ac:dyDescent="0.2">
      <c r="A1238" s="10">
        <v>1177</v>
      </c>
      <c r="D1238" s="2" t="str">
        <f t="shared" si="18"/>
        <v>OK</v>
      </c>
    </row>
    <row r="1239" spans="1:4" x14ac:dyDescent="0.2">
      <c r="A1239" s="5">
        <v>1178</v>
      </c>
      <c r="B1239" s="138">
        <f>'Expenditures 15-22'!E127</f>
        <v>165569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165569</v>
      </c>
      <c r="C1241" s="2" t="s">
        <v>594</v>
      </c>
      <c r="D1241" s="2" t="str">
        <f t="shared" si="18"/>
        <v>Error?</v>
      </c>
    </row>
    <row r="1242" spans="1:4" x14ac:dyDescent="0.2">
      <c r="A1242" s="5">
        <v>1181</v>
      </c>
      <c r="B1242" s="138">
        <f>'Expenditures 15-22'!E151</f>
        <v>165569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34888</v>
      </c>
      <c r="D1245" s="2" t="str">
        <f t="shared" si="18"/>
        <v>Error?</v>
      </c>
    </row>
    <row r="1246" spans="1:4" x14ac:dyDescent="0.2">
      <c r="A1246" s="10">
        <v>1185</v>
      </c>
      <c r="D1246" s="2" t="str">
        <f t="shared" si="18"/>
        <v>OK</v>
      </c>
    </row>
    <row r="1247" spans="1:4" x14ac:dyDescent="0.2">
      <c r="A1247" s="5">
        <v>1186</v>
      </c>
      <c r="B1247" s="138">
        <f>'Expenditures 15-22'!F127</f>
        <v>34888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34888</v>
      </c>
      <c r="C1249" s="2" t="s">
        <v>594</v>
      </c>
      <c r="D1249" s="2" t="str">
        <f t="shared" si="18"/>
        <v>Error?</v>
      </c>
    </row>
    <row r="1250" spans="1:4" x14ac:dyDescent="0.2">
      <c r="A1250" s="5">
        <v>1189</v>
      </c>
      <c r="B1250" s="138">
        <f>'Expenditures 15-22'!F151</f>
        <v>34888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2975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2975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2975</v>
      </c>
      <c r="C1258" s="2" t="s">
        <v>594</v>
      </c>
      <c r="D1258" s="2" t="str">
        <f t="shared" si="18"/>
        <v>Error?</v>
      </c>
    </row>
    <row r="1259" spans="1:4" x14ac:dyDescent="0.2">
      <c r="A1259" s="5">
        <v>1198</v>
      </c>
      <c r="B1259" s="138">
        <f>'Expenditures 15-22'!G151</f>
        <v>2975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432525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432525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432525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432525</v>
      </c>
      <c r="C1288" s="2" t="s">
        <v>594</v>
      </c>
      <c r="D1288" s="2" t="str">
        <f t="shared" si="19"/>
        <v>Error?</v>
      </c>
    </row>
    <row r="1289" spans="1:4" x14ac:dyDescent="0.2">
      <c r="A1289" s="5">
        <v>1228</v>
      </c>
      <c r="B1289" s="138">
        <f>'Expenditures 15-22'!K152</f>
        <v>9964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500</v>
      </c>
      <c r="D1307" s="2" t="str">
        <f t="shared" si="19"/>
        <v>Error?</v>
      </c>
    </row>
    <row r="1308" spans="1:4" x14ac:dyDescent="0.2">
      <c r="A1308" s="5">
        <v>1247</v>
      </c>
      <c r="B1308" s="138">
        <f>'Expenditures 15-22'!E172</f>
        <v>500</v>
      </c>
      <c r="C1308" s="2" t="s">
        <v>594</v>
      </c>
      <c r="D1308" s="2" t="str">
        <f t="shared" si="19"/>
        <v>Error?</v>
      </c>
    </row>
    <row r="1309" spans="1:4" x14ac:dyDescent="0.2">
      <c r="A1309" s="5">
        <v>1248</v>
      </c>
      <c r="B1309" s="138">
        <f>'Expenditures 15-22'!E174</f>
        <v>500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43210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284737</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327947</v>
      </c>
      <c r="C1317" s="2" t="s">
        <v>594</v>
      </c>
      <c r="D1317" s="2" t="str">
        <f t="shared" si="19"/>
        <v>Error?</v>
      </c>
    </row>
    <row r="1318" spans="1:4" x14ac:dyDescent="0.2">
      <c r="A1318" s="5">
        <v>1257</v>
      </c>
      <c r="B1318" s="138">
        <f>'Expenditures 15-22'!H174</f>
        <v>327947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43210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284737</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328447</v>
      </c>
      <c r="C1331" s="2" t="s">
        <v>594</v>
      </c>
      <c r="D1331" s="2" t="str">
        <f t="shared" si="19"/>
        <v>Error?</v>
      </c>
    </row>
    <row r="1332" spans="1:4" x14ac:dyDescent="0.2">
      <c r="A1332" s="5">
        <v>1271</v>
      </c>
      <c r="B1332" s="138">
        <f>'Expenditures 15-22'!K174</f>
        <v>328447</v>
      </c>
      <c r="C1332" s="2" t="s">
        <v>594</v>
      </c>
      <c r="D1332" s="2" t="str">
        <f t="shared" si="19"/>
        <v>Error?</v>
      </c>
    </row>
    <row r="1333" spans="1:4" x14ac:dyDescent="0.2">
      <c r="A1333" s="5">
        <v>1272</v>
      </c>
      <c r="B1333" s="138">
        <f>'Expenditures 15-22'!K175</f>
        <v>39129</v>
      </c>
      <c r="C1333" s="2" t="s">
        <v>594</v>
      </c>
      <c r="D1333" s="2" t="str">
        <f t="shared" si="19"/>
        <v>Error?</v>
      </c>
    </row>
    <row r="1334" spans="1:4" x14ac:dyDescent="0.2">
      <c r="A1334" s="10">
        <v>1273</v>
      </c>
      <c r="D1334" s="2" t="str">
        <f t="shared" si="19"/>
        <v>OK</v>
      </c>
    </row>
    <row r="1335" spans="1:4" x14ac:dyDescent="0.2">
      <c r="A1335" s="5">
        <v>1274</v>
      </c>
      <c r="B1335" s="138">
        <f>'Expenditures 15-22'!C182</f>
        <v>132310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132310</v>
      </c>
      <c r="C1339" s="2" t="s">
        <v>594</v>
      </c>
      <c r="D1339" s="2" t="str">
        <f t="shared" si="19"/>
        <v>Error?</v>
      </c>
    </row>
    <row r="1340" spans="1:4" x14ac:dyDescent="0.2">
      <c r="A1340" s="5">
        <v>1279</v>
      </c>
      <c r="B1340" s="138">
        <f>'Expenditures 15-22'!C210</f>
        <v>132310</v>
      </c>
      <c r="C1340" s="2" t="s">
        <v>594</v>
      </c>
      <c r="D1340" s="2" t="str">
        <f t="shared" si="19"/>
        <v>Error?</v>
      </c>
    </row>
    <row r="1341" spans="1:4" x14ac:dyDescent="0.2">
      <c r="A1341" s="5">
        <v>1280</v>
      </c>
      <c r="B1341" s="138">
        <f>'Expenditures 15-22'!D182</f>
        <v>882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882</v>
      </c>
      <c r="C1345" s="2" t="s">
        <v>594</v>
      </c>
      <c r="D1345" s="2" t="str">
        <f t="shared" si="20"/>
        <v>Error?</v>
      </c>
    </row>
    <row r="1346" spans="1:4" x14ac:dyDescent="0.2">
      <c r="A1346" s="5">
        <v>1285</v>
      </c>
      <c r="B1346" s="138">
        <f>'Expenditures 15-22'!D210</f>
        <v>882</v>
      </c>
      <c r="C1346" s="2" t="s">
        <v>594</v>
      </c>
      <c r="D1346" s="2" t="str">
        <f t="shared" si="20"/>
        <v>Error?</v>
      </c>
    </row>
    <row r="1347" spans="1:4" x14ac:dyDescent="0.2">
      <c r="A1347" s="5">
        <v>1286</v>
      </c>
      <c r="B1347" s="138">
        <f>'Expenditures 15-22'!E182</f>
        <v>23811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23811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23811</v>
      </c>
      <c r="C1353" s="2" t="s">
        <v>594</v>
      </c>
      <c r="D1353" s="2" t="str">
        <f t="shared" si="20"/>
        <v>Error?</v>
      </c>
    </row>
    <row r="1354" spans="1:4" x14ac:dyDescent="0.2">
      <c r="A1354" s="5">
        <v>1293</v>
      </c>
      <c r="B1354" s="138">
        <f>'Expenditures 15-22'!F182</f>
        <v>27635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27635</v>
      </c>
      <c r="C1358" s="2" t="s">
        <v>594</v>
      </c>
      <c r="D1358" s="2" t="str">
        <f t="shared" si="20"/>
        <v>Error?</v>
      </c>
    </row>
    <row r="1359" spans="1:4" x14ac:dyDescent="0.2">
      <c r="A1359" s="5">
        <v>1298</v>
      </c>
      <c r="B1359" s="138">
        <f>'Expenditures 15-22'!F210</f>
        <v>27635</v>
      </c>
      <c r="C1359" s="2" t="s">
        <v>594</v>
      </c>
      <c r="D1359" s="2" t="str">
        <f t="shared" si="20"/>
        <v>Error?</v>
      </c>
    </row>
    <row r="1360" spans="1:4" x14ac:dyDescent="0.2">
      <c r="A1360" s="5">
        <v>1299</v>
      </c>
      <c r="B1360" s="138">
        <f>'Expenditures 15-22'!G182</f>
        <v>1862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1862</v>
      </c>
      <c r="C1364" s="2" t="s">
        <v>594</v>
      </c>
      <c r="D1364" s="2" t="str">
        <f t="shared" si="20"/>
        <v>Error?</v>
      </c>
    </row>
    <row r="1365" spans="1:4" x14ac:dyDescent="0.2">
      <c r="A1365" s="5">
        <v>1304</v>
      </c>
      <c r="B1365" s="138">
        <f>'Expenditures 15-22'!G210</f>
        <v>1862</v>
      </c>
      <c r="C1365" s="2" t="s">
        <v>594</v>
      </c>
      <c r="D1365" s="2" t="str">
        <f t="shared" si="20"/>
        <v>Error?</v>
      </c>
    </row>
    <row r="1366" spans="1:4" x14ac:dyDescent="0.2">
      <c r="A1366" s="5">
        <v>1305</v>
      </c>
      <c r="B1366" s="138">
        <f>'Expenditures 15-22'!H182</f>
        <v>160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160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37480</v>
      </c>
      <c r="C1375" s="2" t="s">
        <v>594</v>
      </c>
      <c r="D1375" s="2" t="str">
        <f t="shared" si="20"/>
        <v>Error?</v>
      </c>
    </row>
    <row r="1376" spans="1:4" x14ac:dyDescent="0.2">
      <c r="A1376" s="5">
        <v>1315</v>
      </c>
      <c r="B1376" s="138">
        <f>'Expenditures 15-22'!H210</f>
        <v>37640</v>
      </c>
      <c r="C1376" s="2" t="s">
        <v>594</v>
      </c>
      <c r="D1376" s="2" t="str">
        <f t="shared" si="20"/>
        <v>Error?</v>
      </c>
    </row>
    <row r="1377" spans="1:4" x14ac:dyDescent="0.2">
      <c r="A1377" s="5">
        <v>1316</v>
      </c>
      <c r="B1377" s="138">
        <f>'Expenditures 15-22'!K182</f>
        <v>186660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186660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37480</v>
      </c>
      <c r="C1387" s="2" t="s">
        <v>594</v>
      </c>
      <c r="D1387" s="2" t="str">
        <f t="shared" si="20"/>
        <v>Error?</v>
      </c>
    </row>
    <row r="1388" spans="1:4" x14ac:dyDescent="0.2">
      <c r="A1388" s="5">
        <v>1327</v>
      </c>
      <c r="B1388" s="138">
        <f>'Expenditures 15-22'!K210</f>
        <v>224140</v>
      </c>
      <c r="C1388" s="2" t="s">
        <v>594</v>
      </c>
      <c r="D1388" s="2" t="str">
        <f t="shared" si="20"/>
        <v>Error?</v>
      </c>
    </row>
    <row r="1389" spans="1:4" x14ac:dyDescent="0.2">
      <c r="A1389" s="5">
        <v>1328</v>
      </c>
      <c r="B1389" s="138">
        <f>'Expenditures 15-22'!K211</f>
        <v>30866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1113</v>
      </c>
      <c r="D1407" s="2" t="str">
        <f t="shared" ref="D1407:D1470" si="21">IF(ISBLANK(B1407),"OK",IF(A1407-B1407=0,"OK","Error?"))</f>
        <v>Error?</v>
      </c>
    </row>
    <row r="1408" spans="1:4" x14ac:dyDescent="0.2">
      <c r="A1408" s="5">
        <v>1347</v>
      </c>
      <c r="B1408" s="138">
        <f>'Expenditures 15-22'!D223</f>
        <v>1346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55930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624</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7</v>
      </c>
      <c r="D1416" s="2" t="str">
        <f t="shared" si="21"/>
        <v>Error?</v>
      </c>
    </row>
    <row r="1417" spans="1:4" x14ac:dyDescent="0.2">
      <c r="A1417" s="5">
        <v>1356</v>
      </c>
      <c r="B1417" s="138">
        <f>'Expenditures 15-22'!D238</f>
        <v>631</v>
      </c>
      <c r="C1417" s="2" t="s">
        <v>594</v>
      </c>
      <c r="D1417" s="2" t="str">
        <f t="shared" si="21"/>
        <v>Error?</v>
      </c>
    </row>
    <row r="1418" spans="1:4" x14ac:dyDescent="0.2">
      <c r="A1418" s="5">
        <v>1357</v>
      </c>
      <c r="B1418" s="138">
        <f>'Expenditures 15-22'!D240</f>
        <v>163</v>
      </c>
      <c r="D1418" s="2" t="str">
        <f t="shared" si="21"/>
        <v>Error?</v>
      </c>
    </row>
    <row r="1419" spans="1:4" x14ac:dyDescent="0.2">
      <c r="A1419" s="5">
        <v>1358</v>
      </c>
      <c r="B1419" s="138">
        <f>'Expenditures 15-22'!D241</f>
        <v>9469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9632</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7568</v>
      </c>
      <c r="D1423" s="2" t="str">
        <f t="shared" si="21"/>
        <v>Error?</v>
      </c>
    </row>
    <row r="1424" spans="1:4" x14ac:dyDescent="0.2">
      <c r="A1424" s="5">
        <v>1363</v>
      </c>
      <c r="B1424" s="138">
        <f>'Expenditures 15-22'!D257</f>
        <v>13580</v>
      </c>
      <c r="C1424" s="2" t="s">
        <v>594</v>
      </c>
      <c r="D1424" s="2" t="str">
        <f t="shared" si="21"/>
        <v>Error?</v>
      </c>
    </row>
    <row r="1425" spans="1:4" x14ac:dyDescent="0.2">
      <c r="A1425" s="5">
        <v>1364</v>
      </c>
      <c r="B1425" s="138">
        <f>'Expenditures 15-22'!D259</f>
        <v>7233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7233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6698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32140</v>
      </c>
      <c r="D1431" s="2" t="str">
        <f t="shared" si="21"/>
        <v>Error?</v>
      </c>
    </row>
    <row r="1432" spans="1:4" x14ac:dyDescent="0.2">
      <c r="A1432" s="5">
        <v>1371</v>
      </c>
      <c r="B1432" s="138">
        <f>'Expenditures 15-22'!D267</f>
        <v>16386</v>
      </c>
      <c r="D1432" s="2" t="str">
        <f t="shared" si="21"/>
        <v>Error?</v>
      </c>
    </row>
    <row r="1433" spans="1:4" x14ac:dyDescent="0.2">
      <c r="A1433" s="5">
        <v>1372</v>
      </c>
      <c r="B1433" s="138">
        <f>'Expenditures 15-22'!D268</f>
        <v>15242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70466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101542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167641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1113</v>
      </c>
      <c r="C1471" s="2" t="s">
        <v>594</v>
      </c>
      <c r="D1471" s="2" t="str">
        <f t="shared" ref="D1471:D1534" si="22">IF(ISBLANK(B1471),"OK",IF(A1471-B1471=0,"OK","Error?"))</f>
        <v>Error?</v>
      </c>
    </row>
    <row r="1472" spans="1:4" x14ac:dyDescent="0.2">
      <c r="A1472" s="5">
        <v>1411</v>
      </c>
      <c r="B1472" s="138">
        <f>'Expenditures 15-22'!K223</f>
        <v>1346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55930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624</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7</v>
      </c>
      <c r="C1480" s="2" t="s">
        <v>594</v>
      </c>
      <c r="D1480" s="2" t="str">
        <f t="shared" si="22"/>
        <v>Error?</v>
      </c>
    </row>
    <row r="1481" spans="1:4" x14ac:dyDescent="0.2">
      <c r="A1481" s="5">
        <v>1420</v>
      </c>
      <c r="B1481" s="138">
        <f>'Expenditures 15-22'!K238</f>
        <v>631</v>
      </c>
      <c r="C1481" s="2" t="s">
        <v>594</v>
      </c>
      <c r="D1481" s="2" t="str">
        <f t="shared" si="22"/>
        <v>Error?</v>
      </c>
    </row>
    <row r="1482" spans="1:4" x14ac:dyDescent="0.2">
      <c r="A1482" s="5">
        <v>1421</v>
      </c>
      <c r="B1482" s="138">
        <f>'Expenditures 15-22'!K240</f>
        <v>163</v>
      </c>
      <c r="C1482" s="2" t="s">
        <v>594</v>
      </c>
      <c r="D1482" s="2" t="str">
        <f t="shared" si="22"/>
        <v>Error?</v>
      </c>
    </row>
    <row r="1483" spans="1:4" x14ac:dyDescent="0.2">
      <c r="A1483" s="5">
        <v>1422</v>
      </c>
      <c r="B1483" s="138">
        <f>'Expenditures 15-22'!K241</f>
        <v>9469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9632</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7568</v>
      </c>
      <c r="C1487" s="2" t="s">
        <v>594</v>
      </c>
      <c r="D1487" s="2" t="str">
        <f t="shared" si="22"/>
        <v>Error?</v>
      </c>
    </row>
    <row r="1488" spans="1:4" x14ac:dyDescent="0.2">
      <c r="A1488" s="5">
        <v>1427</v>
      </c>
      <c r="B1488" s="138">
        <f>'Expenditures 15-22'!K257</f>
        <v>13580</v>
      </c>
      <c r="C1488" s="2" t="s">
        <v>594</v>
      </c>
      <c r="D1488" s="2" t="str">
        <f t="shared" si="22"/>
        <v>Error?</v>
      </c>
    </row>
    <row r="1489" spans="1:4" x14ac:dyDescent="0.2">
      <c r="A1489" s="5">
        <v>1428</v>
      </c>
      <c r="B1489" s="138">
        <f>'Expenditures 15-22'!K259</f>
        <v>7233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7233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6698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32140</v>
      </c>
      <c r="C1495" s="2" t="s">
        <v>594</v>
      </c>
      <c r="D1495" s="2" t="str">
        <f t="shared" si="22"/>
        <v>Error?</v>
      </c>
    </row>
    <row r="1496" spans="1:4" x14ac:dyDescent="0.2">
      <c r="A1496" s="5">
        <v>1435</v>
      </c>
      <c r="B1496" s="138">
        <f>'Expenditures 15-22'!K267</f>
        <v>16386</v>
      </c>
      <c r="C1496" s="2" t="s">
        <v>594</v>
      </c>
      <c r="D1496" s="2" t="str">
        <f t="shared" si="22"/>
        <v>Error?</v>
      </c>
    </row>
    <row r="1497" spans="1:4" x14ac:dyDescent="0.2">
      <c r="A1497" s="5">
        <v>1436</v>
      </c>
      <c r="B1497" s="138">
        <f>'Expenditures 15-22'!K268</f>
        <v>15242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70466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101542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167641</v>
      </c>
      <c r="C1517" s="2" t="s">
        <v>594</v>
      </c>
      <c r="D1517" s="2" t="str">
        <f t="shared" si="22"/>
        <v>Error?</v>
      </c>
    </row>
    <row r="1518" spans="1:4" x14ac:dyDescent="0.2">
      <c r="A1518" s="5">
        <v>1457</v>
      </c>
      <c r="B1518" s="138">
        <f>'Expenditures 15-22'!K296</f>
        <v>25132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10813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10813</v>
      </c>
      <c r="C1535" s="2" t="s">
        <v>594</v>
      </c>
      <c r="D1535" s="2" t="str">
        <f t="shared" ref="D1535:D1598" si="23">IF(ISBLANK(B1535),"OK",IF(A1535-B1535=0,"OK","Error?"))</f>
        <v>Error?</v>
      </c>
    </row>
    <row r="1536" spans="1:4" x14ac:dyDescent="0.2">
      <c r="A1536" s="5">
        <v>1475</v>
      </c>
      <c r="B1536" s="138">
        <f>'Expenditures 15-22'!E312</f>
        <v>10813</v>
      </c>
      <c r="C1536" s="2" t="s">
        <v>594</v>
      </c>
      <c r="D1536" s="2" t="str">
        <f t="shared" si="23"/>
        <v>Error?</v>
      </c>
    </row>
    <row r="1537" spans="1:4" x14ac:dyDescent="0.2">
      <c r="A1537" s="5">
        <v>1476</v>
      </c>
      <c r="B1537" s="138">
        <f>'Expenditures 15-22'!F301</f>
        <v>19367</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19367</v>
      </c>
      <c r="C1541" s="2" t="s">
        <v>594</v>
      </c>
      <c r="D1541" s="2" t="str">
        <f t="shared" si="23"/>
        <v>Error?</v>
      </c>
    </row>
    <row r="1542" spans="1:4" x14ac:dyDescent="0.2">
      <c r="A1542" s="5">
        <v>1481</v>
      </c>
      <c r="B1542" s="138">
        <f>'Expenditures 15-22'!F312</f>
        <v>19367</v>
      </c>
      <c r="C1542" s="2" t="s">
        <v>594</v>
      </c>
      <c r="D1542" s="2" t="str">
        <f t="shared" si="23"/>
        <v>Error?</v>
      </c>
    </row>
    <row r="1543" spans="1:4" x14ac:dyDescent="0.2">
      <c r="A1543" s="5">
        <v>1482</v>
      </c>
      <c r="B1543" s="138">
        <f>'Expenditures 15-22'!G301</f>
        <v>122359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122359</v>
      </c>
      <c r="C1547" s="2" t="s">
        <v>594</v>
      </c>
      <c r="D1547" s="2" t="str">
        <f t="shared" si="23"/>
        <v>Error?</v>
      </c>
    </row>
    <row r="1548" spans="1:4" x14ac:dyDescent="0.2">
      <c r="A1548" s="5">
        <v>1487</v>
      </c>
      <c r="B1548" s="138">
        <f>'Expenditures 15-22'!G312</f>
        <v>122359</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152539</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152539</v>
      </c>
      <c r="C1559" s="2" t="s">
        <v>594</v>
      </c>
      <c r="D1559" s="2" t="str">
        <f t="shared" si="23"/>
        <v>Error?</v>
      </c>
    </row>
    <row r="1560" spans="1:4" x14ac:dyDescent="0.2">
      <c r="A1560" s="5">
        <v>1499</v>
      </c>
      <c r="B1560" s="138">
        <f>'Expenditures 15-22'!K312</f>
        <v>152539</v>
      </c>
      <c r="C1560" s="2" t="s">
        <v>594</v>
      </c>
      <c r="D1560" s="2" t="str">
        <f t="shared" si="23"/>
        <v>Error?</v>
      </c>
    </row>
    <row r="1561" spans="1:4" x14ac:dyDescent="0.2">
      <c r="A1561" s="5">
        <v>1500</v>
      </c>
      <c r="B1561" s="138">
        <f>'Expenditures 15-22'!K313</f>
        <v>194598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1677925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1770603</v>
      </c>
      <c r="C1630" s="2" t="s">
        <v>594</v>
      </c>
      <c r="D1630" s="2" t="str">
        <f t="shared" si="24"/>
        <v>Error?</v>
      </c>
    </row>
    <row r="1631" spans="1:4" x14ac:dyDescent="0.2">
      <c r="A1631" s="5">
        <v>1570</v>
      </c>
      <c r="B1631" s="138">
        <f>'Acct Summary 7-8'!D79</f>
        <v>178502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188466</v>
      </c>
      <c r="C1644" s="2" t="s">
        <v>594</v>
      </c>
      <c r="D1644" s="2" t="str">
        <f t="shared" si="24"/>
        <v>Error?</v>
      </c>
    </row>
    <row r="1645" spans="1:4" x14ac:dyDescent="0.2">
      <c r="A1645" s="5">
        <v>1584</v>
      </c>
      <c r="B1645" s="138">
        <f>'Acct Summary 7-8'!E79</f>
        <v>476875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536704</v>
      </c>
      <c r="C1658" s="2" t="s">
        <v>594</v>
      </c>
      <c r="D1658" s="2" t="str">
        <f t="shared" si="24"/>
        <v>Error?</v>
      </c>
    </row>
    <row r="1659" spans="1:4" x14ac:dyDescent="0.2">
      <c r="A1659" s="5">
        <v>1598</v>
      </c>
      <c r="B1659" s="138">
        <f>'Acct Summary 7-8'!F79</f>
        <v>164704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195570</v>
      </c>
      <c r="C1672" s="2" t="s">
        <v>594</v>
      </c>
      <c r="D1672" s="2" t="str">
        <f t="shared" si="25"/>
        <v>Error?</v>
      </c>
    </row>
    <row r="1673" spans="1:4" x14ac:dyDescent="0.2">
      <c r="A1673" s="5">
        <v>1612</v>
      </c>
      <c r="B1673" s="138">
        <f>'Acct Summary 7-8'!G79</f>
        <v>137830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162962</v>
      </c>
      <c r="C1686" s="2" t="s">
        <v>594</v>
      </c>
      <c r="D1686" s="2" t="str">
        <f t="shared" si="25"/>
        <v>Error?</v>
      </c>
    </row>
    <row r="1687" spans="1:4" x14ac:dyDescent="0.2">
      <c r="A1687" s="5">
        <v>1626</v>
      </c>
      <c r="B1687" s="138">
        <f>'Acct Summary 7-8'!H79</f>
        <v>95634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290232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1441007</v>
      </c>
      <c r="C1744" s="2" t="s">
        <v>594</v>
      </c>
      <c r="D1744" s="2" t="str">
        <f t="shared" si="26"/>
        <v>Error?</v>
      </c>
    </row>
    <row r="1745" spans="1:5" x14ac:dyDescent="0.2">
      <c r="A1745" s="5">
        <v>1684</v>
      </c>
      <c r="B1745" s="138">
        <f>'Tax Sched 23'!B5</f>
        <v>277117</v>
      </c>
      <c r="C1745" s="2" t="s">
        <v>594</v>
      </c>
      <c r="D1745" s="2" t="str">
        <f t="shared" si="26"/>
        <v>Error?</v>
      </c>
    </row>
    <row r="1746" spans="1:5" x14ac:dyDescent="0.2">
      <c r="A1746" s="5">
        <v>1685</v>
      </c>
      <c r="B1746" s="138">
        <f>'Tax Sched 23'!B6</f>
        <v>189651</v>
      </c>
      <c r="C1746" s="2" t="s">
        <v>594</v>
      </c>
      <c r="D1746" s="2" t="str">
        <f t="shared" si="26"/>
        <v>Error?</v>
      </c>
    </row>
    <row r="1747" spans="1:5" x14ac:dyDescent="0.2">
      <c r="A1747" s="5">
        <v>1686</v>
      </c>
      <c r="B1747" s="138">
        <f>'Tax Sched 23'!B7</f>
        <v>110848</v>
      </c>
      <c r="C1747" s="2" t="s">
        <v>594</v>
      </c>
      <c r="D1747" s="2" t="str">
        <f t="shared" si="26"/>
        <v>Error?</v>
      </c>
    </row>
    <row r="1748" spans="1:5" x14ac:dyDescent="0.2">
      <c r="A1748" s="5">
        <v>1687</v>
      </c>
      <c r="B1748" s="138">
        <f>'Tax Sched 23'!B8</f>
        <v>77193</v>
      </c>
      <c r="C1748" s="2" t="s">
        <v>594</v>
      </c>
      <c r="D1748" s="2" t="str">
        <f t="shared" si="26"/>
        <v>Error?</v>
      </c>
    </row>
    <row r="1749" spans="1:5" x14ac:dyDescent="0.2">
      <c r="A1749" s="5">
        <v>1688</v>
      </c>
      <c r="B1749" s="138">
        <f>'Tax Sched 23'!B10</f>
        <v>27711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212336</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22169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2483427</v>
      </c>
      <c r="C1759" s="2" t="s">
        <v>594</v>
      </c>
      <c r="D1759" s="2" t="str">
        <f t="shared" si="26"/>
        <v>Error?</v>
      </c>
    </row>
    <row r="1760" spans="1:5" x14ac:dyDescent="0.2">
      <c r="A1760" s="5">
        <v>1699</v>
      </c>
      <c r="B1760" s="138">
        <f>'Tax Sched 23'!D4</f>
        <v>693254</v>
      </c>
      <c r="C1760" s="2" t="s">
        <v>594</v>
      </c>
      <c r="D1760" s="2" t="str">
        <f t="shared" si="26"/>
        <v>Error?</v>
      </c>
    </row>
    <row r="1761" spans="1:5" x14ac:dyDescent="0.2">
      <c r="A1761" s="5">
        <v>1700</v>
      </c>
      <c r="B1761" s="138">
        <f>'Tax Sched 23'!D5</f>
        <v>133318</v>
      </c>
      <c r="C1761" s="2" t="s">
        <v>594</v>
      </c>
      <c r="D1761" s="2" t="str">
        <f t="shared" si="26"/>
        <v>Error?</v>
      </c>
    </row>
    <row r="1762" spans="1:5" s="8" customFormat="1" x14ac:dyDescent="0.2">
      <c r="A1762" s="5">
        <v>1701</v>
      </c>
      <c r="B1762" s="138">
        <f>'Tax Sched 23'!D6</f>
        <v>92874</v>
      </c>
      <c r="C1762" s="2" t="s">
        <v>594</v>
      </c>
      <c r="D1762" s="2" t="str">
        <f t="shared" si="26"/>
        <v>Error?</v>
      </c>
      <c r="E1762" s="9"/>
    </row>
    <row r="1763" spans="1:5" x14ac:dyDescent="0.2">
      <c r="A1763" s="5">
        <v>1702</v>
      </c>
      <c r="B1763" s="138">
        <f>'Tax Sched 23'!D7</f>
        <v>53328</v>
      </c>
      <c r="C1763" s="2" t="s">
        <v>594</v>
      </c>
      <c r="D1763" s="2" t="str">
        <f t="shared" si="26"/>
        <v>Error?</v>
      </c>
    </row>
    <row r="1764" spans="1:5" x14ac:dyDescent="0.2">
      <c r="A1764" s="5">
        <v>1703</v>
      </c>
      <c r="B1764" s="138">
        <f>'Tax Sched 23'!D8</f>
        <v>34140</v>
      </c>
      <c r="C1764" s="2" t="s">
        <v>594</v>
      </c>
      <c r="D1764" s="2" t="str">
        <f t="shared" si="26"/>
        <v>Error?</v>
      </c>
    </row>
    <row r="1765" spans="1:5" x14ac:dyDescent="0.2">
      <c r="A1765" s="5">
        <v>1704</v>
      </c>
      <c r="B1765" s="138">
        <f>'Tax Sched 23'!D10</f>
        <v>13331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99885</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10665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1193666</v>
      </c>
      <c r="C1775" s="2" t="s">
        <v>594</v>
      </c>
      <c r="D1775" s="2" t="str">
        <f t="shared" si="26"/>
        <v>Error?</v>
      </c>
    </row>
    <row r="1776" spans="1:5" x14ac:dyDescent="0.2">
      <c r="A1776" s="5">
        <v>1715</v>
      </c>
      <c r="B1776" s="138">
        <f>'Tax Sched 23'!C4</f>
        <v>747753</v>
      </c>
      <c r="D1776" s="2" t="str">
        <f t="shared" si="26"/>
        <v>Error?</v>
      </c>
    </row>
    <row r="1777" spans="1:4" x14ac:dyDescent="0.2">
      <c r="A1777" s="5">
        <v>1716</v>
      </c>
      <c r="B1777" s="138">
        <f>'Tax Sched 23'!C5</f>
        <v>143799</v>
      </c>
      <c r="D1777" s="2" t="str">
        <f t="shared" si="26"/>
        <v>Error?</v>
      </c>
    </row>
    <row r="1778" spans="1:4" x14ac:dyDescent="0.2">
      <c r="A1778" s="5">
        <v>1717</v>
      </c>
      <c r="B1778" s="138">
        <f>'Tax Sched 23'!C6</f>
        <v>96777</v>
      </c>
      <c r="D1778" s="2" t="str">
        <f t="shared" si="26"/>
        <v>Error?</v>
      </c>
    </row>
    <row r="1779" spans="1:4" x14ac:dyDescent="0.2">
      <c r="A1779" s="5">
        <v>1718</v>
      </c>
      <c r="B1779" s="138">
        <f>'Tax Sched 23'!C7</f>
        <v>57520</v>
      </c>
      <c r="D1779" s="2" t="str">
        <f t="shared" si="26"/>
        <v>Error?</v>
      </c>
    </row>
    <row r="1780" spans="1:4" x14ac:dyDescent="0.2">
      <c r="A1780" s="5">
        <v>1719</v>
      </c>
      <c r="B1780" s="138">
        <f>'Tax Sched 23'!C8</f>
        <v>43053</v>
      </c>
      <c r="D1780" s="2" t="str">
        <f t="shared" si="26"/>
        <v>Error?</v>
      </c>
    </row>
    <row r="1781" spans="1:4" x14ac:dyDescent="0.2">
      <c r="A1781" s="5">
        <v>1720</v>
      </c>
      <c r="B1781" s="138">
        <f>'Tax Sched 23'!C10</f>
        <v>14380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112451</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11504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1289761</v>
      </c>
      <c r="C1791" s="2" t="s">
        <v>594</v>
      </c>
      <c r="D1791" s="2" t="str">
        <f t="shared" ref="D1791:D1854" si="27">IF(ISBLANK(B1791),"OK",IF(A1791-B1791=0,"OK","Error?"))</f>
        <v>Error?</v>
      </c>
    </row>
    <row r="1792" spans="1:4" x14ac:dyDescent="0.2">
      <c r="A1792" s="5">
        <v>1731</v>
      </c>
      <c r="B1792" s="138">
        <f>'Tax Sched 23'!F4</f>
        <v>728607</v>
      </c>
      <c r="C1792" s="2" t="s">
        <v>594</v>
      </c>
      <c r="D1792" s="2" t="str">
        <f t="shared" si="27"/>
        <v>Error?</v>
      </c>
    </row>
    <row r="1793" spans="1:4" x14ac:dyDescent="0.2">
      <c r="A1793" s="5">
        <v>1732</v>
      </c>
      <c r="B1793" s="138">
        <f>'Tax Sched 23'!F5</f>
        <v>140116</v>
      </c>
      <c r="C1793" s="2" t="s">
        <v>594</v>
      </c>
      <c r="D1793" s="2" t="str">
        <f t="shared" si="27"/>
        <v>Error?</v>
      </c>
    </row>
    <row r="1794" spans="1:4" x14ac:dyDescent="0.2">
      <c r="A1794" s="5">
        <v>1733</v>
      </c>
      <c r="B1794" s="138">
        <f>'Tax Sched 23'!F6</f>
        <v>94298</v>
      </c>
      <c r="C1794" s="2" t="s">
        <v>594</v>
      </c>
      <c r="D1794" s="2" t="str">
        <f t="shared" si="27"/>
        <v>Error?</v>
      </c>
    </row>
    <row r="1795" spans="1:4" x14ac:dyDescent="0.2">
      <c r="A1795" s="5">
        <v>1734</v>
      </c>
      <c r="B1795" s="138">
        <f>'Tax Sched 23'!F7</f>
        <v>56046</v>
      </c>
      <c r="C1795" s="2" t="s">
        <v>594</v>
      </c>
      <c r="D1795" s="2" t="str">
        <f t="shared" si="27"/>
        <v>Error?</v>
      </c>
    </row>
    <row r="1796" spans="1:4" x14ac:dyDescent="0.2">
      <c r="A1796" s="5">
        <v>1735</v>
      </c>
      <c r="B1796" s="138">
        <f>'Tax Sched 23'!F8</f>
        <v>41951</v>
      </c>
      <c r="C1796" s="2" t="s">
        <v>594</v>
      </c>
      <c r="D1796" s="2" t="str">
        <f t="shared" si="27"/>
        <v>Error?</v>
      </c>
    </row>
    <row r="1797" spans="1:4" x14ac:dyDescent="0.2">
      <c r="A1797" s="5">
        <v>1736</v>
      </c>
      <c r="B1797" s="138">
        <f>'Tax Sched 23'!F10</f>
        <v>14012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109571</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11209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1256733</v>
      </c>
      <c r="C1807" s="2" t="s">
        <v>594</v>
      </c>
      <c r="D1807" s="2" t="str">
        <f t="shared" si="27"/>
        <v>Error?</v>
      </c>
    </row>
    <row r="1808" spans="1:4" x14ac:dyDescent="0.2">
      <c r="A1808" s="5">
        <v>1747</v>
      </c>
      <c r="B1808" s="138">
        <f>'Tax Sched 23'!E4</f>
        <v>1476360</v>
      </c>
      <c r="D1808" s="2" t="str">
        <f t="shared" si="27"/>
        <v>Error?</v>
      </c>
    </row>
    <row r="1809" spans="1:4" x14ac:dyDescent="0.2">
      <c r="A1809" s="5">
        <v>1748</v>
      </c>
      <c r="B1809" s="138">
        <f>'Tax Sched 23'!E5</f>
        <v>283915</v>
      </c>
      <c r="D1809" s="2" t="str">
        <f t="shared" si="27"/>
        <v>Error?</v>
      </c>
    </row>
    <row r="1810" spans="1:4" x14ac:dyDescent="0.2">
      <c r="A1810" s="5">
        <v>1749</v>
      </c>
      <c r="B1810" s="138">
        <f>'Tax Sched 23'!E6</f>
        <v>191075</v>
      </c>
      <c r="D1810" s="2" t="str">
        <f t="shared" si="27"/>
        <v>Error?</v>
      </c>
    </row>
    <row r="1811" spans="1:4" x14ac:dyDescent="0.2">
      <c r="A1811" s="5">
        <v>1750</v>
      </c>
      <c r="B1811" s="138">
        <f>'Tax Sched 23'!E7</f>
        <v>113566</v>
      </c>
      <c r="D1811" s="2" t="str">
        <f t="shared" si="27"/>
        <v>Error?</v>
      </c>
    </row>
    <row r="1812" spans="1:4" x14ac:dyDescent="0.2">
      <c r="A1812" s="5">
        <v>1751</v>
      </c>
      <c r="B1812" s="138">
        <f>'Tax Sched 23'!E8</f>
        <v>85004</v>
      </c>
      <c r="D1812" s="2" t="str">
        <f t="shared" si="27"/>
        <v>Error?</v>
      </c>
    </row>
    <row r="1813" spans="1:4" x14ac:dyDescent="0.2">
      <c r="A1813" s="5">
        <v>1752</v>
      </c>
      <c r="B1813" s="138">
        <f>'Tax Sched 23'!E10</f>
        <v>28392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222022</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22713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2546494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2393465</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22169</v>
      </c>
      <c r="D1972" s="2" t="str">
        <f t="shared" si="29"/>
        <v>Error?</v>
      </c>
    </row>
    <row r="1973" spans="1:5" x14ac:dyDescent="0.2">
      <c r="A1973" s="5">
        <v>1912</v>
      </c>
      <c r="B1973" s="138">
        <f>'Rest Tax Levies-Tort Im 25'!H6</f>
        <v>12</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22181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22181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39570</v>
      </c>
      <c r="D2008" s="2" t="str">
        <f t="shared" si="30"/>
        <v>Error?</v>
      </c>
    </row>
    <row r="2009" spans="1:4" x14ac:dyDescent="0.2">
      <c r="A2009" s="5">
        <v>1948</v>
      </c>
      <c r="B2009" s="138">
        <f>'Cap Outlay Deprec 26'!C8</f>
        <v>5894508</v>
      </c>
      <c r="D2009" s="2" t="str">
        <f t="shared" si="30"/>
        <v>Error?</v>
      </c>
    </row>
    <row r="2010" spans="1:4" x14ac:dyDescent="0.2">
      <c r="A2010" s="5">
        <v>1949</v>
      </c>
      <c r="B2010" s="138">
        <f>'Cap Outlay Deprec 26'!C10</f>
        <v>1089969</v>
      </c>
      <c r="D2010" s="2" t="str">
        <f t="shared" si="30"/>
        <v>Error?</v>
      </c>
    </row>
    <row r="2011" spans="1:4" x14ac:dyDescent="0.2">
      <c r="A2011" s="5">
        <v>1950</v>
      </c>
      <c r="B2011" s="138">
        <f>'Cap Outlay Deprec 26'!C12</f>
        <v>769687</v>
      </c>
      <c r="D2011" s="2" t="str">
        <f t="shared" si="30"/>
        <v>Error?</v>
      </c>
    </row>
    <row r="2012" spans="1:4" x14ac:dyDescent="0.2">
      <c r="A2012" s="5">
        <v>1951</v>
      </c>
      <c r="B2012" s="138">
        <f>'Cap Outlay Deprec 26'!C13</f>
        <v>672065</v>
      </c>
      <c r="D2012" s="2" t="str">
        <f t="shared" si="30"/>
        <v>Error?</v>
      </c>
    </row>
    <row r="2013" spans="1:4" x14ac:dyDescent="0.2">
      <c r="A2013" s="5">
        <v>1952</v>
      </c>
      <c r="B2013" s="138">
        <f>'Cap Outlay Deprec 26'!C16</f>
        <v>8465799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16823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104990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161192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105866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105866</v>
      </c>
      <c r="C2025" s="2" t="s">
        <v>594</v>
      </c>
      <c r="D2025" s="2" t="str">
        <f t="shared" si="30"/>
        <v>Error?</v>
      </c>
    </row>
    <row r="2026" spans="1:4" x14ac:dyDescent="0.2">
      <c r="A2026" s="5">
        <v>1965</v>
      </c>
      <c r="B2026" s="138">
        <f>'Cap Outlay Deprec 26'!F5</f>
        <v>39570</v>
      </c>
      <c r="C2026" s="2" t="s">
        <v>594</v>
      </c>
      <c r="D2026" s="2" t="str">
        <f t="shared" si="30"/>
        <v>Error?</v>
      </c>
    </row>
    <row r="2027" spans="1:4" x14ac:dyDescent="0.2">
      <c r="A2027" s="5">
        <v>1966</v>
      </c>
      <c r="B2027" s="138">
        <f>'Cap Outlay Deprec 26'!F8</f>
        <v>5911331</v>
      </c>
      <c r="C2027" s="2" t="s">
        <v>594</v>
      </c>
      <c r="D2027" s="2" t="str">
        <f t="shared" si="30"/>
        <v>Error?</v>
      </c>
    </row>
    <row r="2028" spans="1:4" x14ac:dyDescent="0.2">
      <c r="A2028" s="5">
        <v>1967</v>
      </c>
      <c r="B2028" s="138">
        <f>'Cap Outlay Deprec 26'!F10</f>
        <v>1089969</v>
      </c>
      <c r="C2028" s="2" t="s">
        <v>594</v>
      </c>
      <c r="D2028" s="2" t="str">
        <f t="shared" si="30"/>
        <v>Error?</v>
      </c>
    </row>
    <row r="2029" spans="1:4" x14ac:dyDescent="0.2">
      <c r="A2029" s="5">
        <v>1968</v>
      </c>
      <c r="B2029" s="138">
        <f>'Cap Outlay Deprec 26'!F12</f>
        <v>768811</v>
      </c>
      <c r="C2029" s="2" t="s">
        <v>594</v>
      </c>
      <c r="D2029" s="2" t="str">
        <f t="shared" si="30"/>
        <v>Error?</v>
      </c>
    </row>
    <row r="2030" spans="1:4" x14ac:dyDescent="0.2">
      <c r="A2030" s="5">
        <v>1969</v>
      </c>
      <c r="B2030" s="138">
        <f>'Cap Outlay Deprec 26'!F13</f>
        <v>672065</v>
      </c>
      <c r="C2030" s="2" t="s">
        <v>594</v>
      </c>
      <c r="D2030" s="2" t="str">
        <f t="shared" si="30"/>
        <v>Error?</v>
      </c>
    </row>
    <row r="2031" spans="1:4" x14ac:dyDescent="0.2">
      <c r="A2031" s="5">
        <v>1970</v>
      </c>
      <c r="B2031" s="138">
        <f>'Cap Outlay Deprec 26'!F16</f>
        <v>8521125</v>
      </c>
      <c r="C2031" s="2" t="s">
        <v>594</v>
      </c>
      <c r="D2031" s="2" t="str">
        <f t="shared" si="30"/>
        <v>Error?</v>
      </c>
    </row>
    <row r="2032" spans="1:4" x14ac:dyDescent="0.2">
      <c r="A2032" s="10">
        <v>1971</v>
      </c>
      <c r="D2032" s="2" t="str">
        <f t="shared" si="30"/>
        <v>OK</v>
      </c>
    </row>
    <row r="2033" spans="1:4" x14ac:dyDescent="0.2">
      <c r="A2033" s="5">
        <v>1972</v>
      </c>
      <c r="B2033" s="138">
        <f>'Cap Outlay Deprec 26'!H8</f>
        <v>2677114</v>
      </c>
      <c r="D2033" s="2" t="str">
        <f t="shared" si="30"/>
        <v>Error?</v>
      </c>
    </row>
    <row r="2034" spans="1:4" x14ac:dyDescent="0.2">
      <c r="A2034" s="5">
        <v>1973</v>
      </c>
      <c r="B2034" s="138">
        <f>'Cap Outlay Deprec 26'!H10</f>
        <v>500756</v>
      </c>
      <c r="D2034" s="2" t="str">
        <f t="shared" si="30"/>
        <v>Error?</v>
      </c>
    </row>
    <row r="2035" spans="1:4" x14ac:dyDescent="0.2">
      <c r="A2035" s="5">
        <v>1974</v>
      </c>
      <c r="B2035" s="138">
        <f>'Cap Outlay Deprec 26'!H12</f>
        <v>416804</v>
      </c>
      <c r="D2035" s="2" t="str">
        <f t="shared" si="30"/>
        <v>Error?</v>
      </c>
    </row>
    <row r="2036" spans="1:4" x14ac:dyDescent="0.2">
      <c r="A2036" s="5">
        <v>1975</v>
      </c>
      <c r="B2036" s="138">
        <f>'Cap Outlay Deprec 26'!H13</f>
        <v>504427</v>
      </c>
      <c r="D2036" s="2" t="str">
        <f t="shared" si="30"/>
        <v>Error?</v>
      </c>
    </row>
    <row r="2037" spans="1:4" x14ac:dyDescent="0.2">
      <c r="A2037" s="5">
        <v>1976</v>
      </c>
      <c r="B2037" s="138">
        <f>'Cap Outlay Deprec 26'!H16</f>
        <v>4099101</v>
      </c>
      <c r="C2037" s="2" t="s">
        <v>594</v>
      </c>
      <c r="D2037" s="2" t="str">
        <f t="shared" si="30"/>
        <v>Error?</v>
      </c>
    </row>
    <row r="2038" spans="1:4" x14ac:dyDescent="0.2">
      <c r="A2038" s="10">
        <v>1977</v>
      </c>
      <c r="D2038" s="2" t="str">
        <f t="shared" si="30"/>
        <v>OK</v>
      </c>
    </row>
    <row r="2039" spans="1:4" x14ac:dyDescent="0.2">
      <c r="A2039" s="5">
        <v>1978</v>
      </c>
      <c r="B2039" s="138">
        <f>'Cap Outlay Deprec 26'!I8</f>
        <v>95225</v>
      </c>
      <c r="D2039" s="2" t="str">
        <f t="shared" si="30"/>
        <v>Error?</v>
      </c>
    </row>
    <row r="2040" spans="1:4" x14ac:dyDescent="0.2">
      <c r="A2040" s="5">
        <v>1979</v>
      </c>
      <c r="B2040" s="138">
        <f>'Cap Outlay Deprec 26'!I10</f>
        <v>43231</v>
      </c>
      <c r="D2040" s="2" t="str">
        <f t="shared" si="30"/>
        <v>Error?</v>
      </c>
    </row>
    <row r="2041" spans="1:4" x14ac:dyDescent="0.2">
      <c r="A2041" s="5">
        <v>1980</v>
      </c>
      <c r="B2041" s="138">
        <f>'Cap Outlay Deprec 26'!I12</f>
        <v>76879</v>
      </c>
      <c r="D2041" s="2" t="str">
        <f t="shared" si="30"/>
        <v>Error?</v>
      </c>
    </row>
    <row r="2042" spans="1:4" x14ac:dyDescent="0.2">
      <c r="A2042" s="5">
        <v>1981</v>
      </c>
      <c r="B2042" s="138">
        <f>'Cap Outlay Deprec 26'!I13</f>
        <v>50962</v>
      </c>
      <c r="D2042" s="2" t="str">
        <f t="shared" si="30"/>
        <v>Error?</v>
      </c>
    </row>
    <row r="2043" spans="1:4" x14ac:dyDescent="0.2">
      <c r="A2043" s="5">
        <v>1982</v>
      </c>
      <c r="B2043" s="138">
        <f>'Cap Outlay Deprec 26'!I16</f>
        <v>266297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105866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105866</v>
      </c>
      <c r="C2049" s="2" t="s">
        <v>594</v>
      </c>
      <c r="D2049" s="2" t="str">
        <f t="shared" si="31"/>
        <v>Error?</v>
      </c>
    </row>
    <row r="2050" spans="1:4" x14ac:dyDescent="0.2">
      <c r="A2050" s="10">
        <v>1989</v>
      </c>
      <c r="D2050" s="2" t="str">
        <f t="shared" si="31"/>
        <v>OK</v>
      </c>
    </row>
    <row r="2051" spans="1:4" x14ac:dyDescent="0.2">
      <c r="A2051" s="5">
        <v>1990</v>
      </c>
      <c r="B2051" s="138">
        <f>'Cap Outlay Deprec 26'!K8</f>
        <v>2772339</v>
      </c>
      <c r="C2051" s="2" t="s">
        <v>594</v>
      </c>
      <c r="D2051" s="2" t="str">
        <f t="shared" si="31"/>
        <v>Error?</v>
      </c>
    </row>
    <row r="2052" spans="1:4" x14ac:dyDescent="0.2">
      <c r="A2052" s="5">
        <v>1991</v>
      </c>
      <c r="B2052" s="138">
        <f>'Cap Outlay Deprec 26'!K10</f>
        <v>543987</v>
      </c>
      <c r="C2052" s="2" t="s">
        <v>594</v>
      </c>
      <c r="D2052" s="2" t="str">
        <f t="shared" si="31"/>
        <v>Error?</v>
      </c>
    </row>
    <row r="2053" spans="1:4" x14ac:dyDescent="0.2">
      <c r="A2053" s="5">
        <v>1992</v>
      </c>
      <c r="B2053" s="138">
        <f>'Cap Outlay Deprec 26'!K12</f>
        <v>387817</v>
      </c>
      <c r="C2053" s="2" t="s">
        <v>594</v>
      </c>
      <c r="D2053" s="2" t="str">
        <f t="shared" si="31"/>
        <v>Error?</v>
      </c>
    </row>
    <row r="2054" spans="1:4" x14ac:dyDescent="0.2">
      <c r="A2054" s="5">
        <v>1993</v>
      </c>
      <c r="B2054" s="138">
        <f>'Cap Outlay Deprec 26'!K13</f>
        <v>555389</v>
      </c>
      <c r="C2054" s="2" t="s">
        <v>594</v>
      </c>
      <c r="D2054" s="2" t="str">
        <f t="shared" si="31"/>
        <v>Error?</v>
      </c>
    </row>
    <row r="2055" spans="1:4" x14ac:dyDescent="0.2">
      <c r="A2055" s="5">
        <v>1994</v>
      </c>
      <c r="B2055" s="138">
        <f>'Cap Outlay Deprec 26'!K16</f>
        <v>4259532</v>
      </c>
      <c r="C2055" s="2" t="s">
        <v>594</v>
      </c>
      <c r="D2055" s="2" t="str">
        <f t="shared" si="31"/>
        <v>Error?</v>
      </c>
    </row>
    <row r="2056" spans="1:4" x14ac:dyDescent="0.2">
      <c r="A2056" s="5">
        <v>1995</v>
      </c>
      <c r="B2056" s="138">
        <f>'Cap Outlay Deprec 26'!L5</f>
        <v>39570</v>
      </c>
      <c r="C2056" s="2" t="s">
        <v>594</v>
      </c>
      <c r="D2056" s="2" t="str">
        <f t="shared" si="31"/>
        <v>Error?</v>
      </c>
    </row>
    <row r="2057" spans="1:4" x14ac:dyDescent="0.2">
      <c r="A2057" s="5">
        <v>1996</v>
      </c>
      <c r="B2057" s="138">
        <f>'Cap Outlay Deprec 26'!L8</f>
        <v>3138992</v>
      </c>
      <c r="C2057" s="2" t="s">
        <v>594</v>
      </c>
      <c r="D2057" s="2" t="str">
        <f t="shared" si="31"/>
        <v>Error?</v>
      </c>
    </row>
    <row r="2058" spans="1:4" x14ac:dyDescent="0.2">
      <c r="A2058" s="5">
        <v>1997</v>
      </c>
      <c r="B2058" s="138">
        <f>'Cap Outlay Deprec 26'!L10</f>
        <v>545982</v>
      </c>
      <c r="C2058" s="2" t="s">
        <v>594</v>
      </c>
      <c r="D2058" s="2" t="str">
        <f t="shared" si="31"/>
        <v>Error?</v>
      </c>
    </row>
    <row r="2059" spans="1:4" x14ac:dyDescent="0.2">
      <c r="A2059" s="5">
        <v>1998</v>
      </c>
      <c r="B2059" s="138">
        <f>'Cap Outlay Deprec 26'!L12</f>
        <v>380994</v>
      </c>
      <c r="C2059" s="2" t="s">
        <v>594</v>
      </c>
      <c r="D2059" s="2" t="str">
        <f t="shared" si="31"/>
        <v>Error?</v>
      </c>
    </row>
    <row r="2060" spans="1:4" x14ac:dyDescent="0.2">
      <c r="A2060" s="5">
        <v>1999</v>
      </c>
      <c r="B2060" s="138">
        <f>'Cap Outlay Deprec 26'!L13</f>
        <v>116676</v>
      </c>
      <c r="C2060" s="2" t="s">
        <v>594</v>
      </c>
      <c r="D2060" s="2" t="str">
        <f t="shared" si="31"/>
        <v>Error?</v>
      </c>
    </row>
    <row r="2061" spans="1:4" x14ac:dyDescent="0.2">
      <c r="A2061" s="5">
        <v>2000</v>
      </c>
      <c r="B2061" s="138">
        <f>'Cap Outlay Deprec 26'!L16</f>
        <v>4261593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383271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4774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73685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20345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1899101</v>
      </c>
      <c r="C2551" s="2" t="s">
        <v>594</v>
      </c>
      <c r="D2551" s="2" t="str">
        <f t="shared" si="38"/>
        <v>Error?</v>
      </c>
    </row>
    <row r="2552" spans="1:4" x14ac:dyDescent="0.2">
      <c r="A2552" s="10">
        <v>2491</v>
      </c>
      <c r="D2552" s="2" t="str">
        <f t="shared" si="38"/>
        <v>OK</v>
      </c>
    </row>
    <row r="2553" spans="1:4" x14ac:dyDescent="0.2">
      <c r="A2553" s="5">
        <v>2492</v>
      </c>
      <c r="B2553" s="138">
        <f>'Acct Summary 7-8'!C6</f>
        <v>2255929</v>
      </c>
      <c r="C2553" s="2" t="s">
        <v>594</v>
      </c>
      <c r="D2553" s="2" t="str">
        <f t="shared" si="38"/>
        <v>Error?</v>
      </c>
    </row>
    <row r="2554" spans="1:4" x14ac:dyDescent="0.2">
      <c r="A2554" s="5">
        <v>2493</v>
      </c>
      <c r="B2554" s="138">
        <f>'Acct Summary 7-8'!C7</f>
        <v>326270</v>
      </c>
      <c r="C2554" s="2" t="s">
        <v>594</v>
      </c>
      <c r="D2554" s="2" t="str">
        <f t="shared" si="38"/>
        <v>Error?</v>
      </c>
    </row>
    <row r="2555" spans="1:4" x14ac:dyDescent="0.2">
      <c r="A2555" s="5">
        <v>2494</v>
      </c>
      <c r="B2555" s="138">
        <f>'Acct Summary 7-8'!C8</f>
        <v>4481300</v>
      </c>
      <c r="C2555" s="2" t="s">
        <v>594</v>
      </c>
      <c r="D2555" s="2" t="str">
        <f t="shared" si="38"/>
        <v>Error?</v>
      </c>
    </row>
    <row r="2556" spans="1:4" x14ac:dyDescent="0.2">
      <c r="A2556" s="5">
        <v>2495</v>
      </c>
      <c r="B2556" s="138">
        <f>'Acct Summary 7-8'!C12</f>
        <v>2994384</v>
      </c>
      <c r="C2556" s="2" t="s">
        <v>594</v>
      </c>
      <c r="D2556" s="2" t="str">
        <f t="shared" si="38"/>
        <v>Error?</v>
      </c>
    </row>
    <row r="2557" spans="1:4" x14ac:dyDescent="0.2">
      <c r="A2557" s="5">
        <v>2496</v>
      </c>
      <c r="B2557" s="138">
        <f>'Acct Summary 7-8'!C13</f>
        <v>1017655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383271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4395310</v>
      </c>
      <c r="C2561" s="2" t="s">
        <v>594</v>
      </c>
      <c r="D2561" s="2" t="str">
        <f t="shared" si="39"/>
        <v>Error?</v>
      </c>
    </row>
    <row r="2562" spans="1:4" x14ac:dyDescent="0.2">
      <c r="A2562" s="5">
        <v>2501</v>
      </c>
      <c r="B2562" s="138">
        <f>'Acct Summary 7-8'!C20</f>
        <v>85990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280296</v>
      </c>
      <c r="C2564" s="2" t="s">
        <v>594</v>
      </c>
      <c r="D2564" s="2" t="str">
        <f t="shared" si="39"/>
        <v>Error?</v>
      </c>
    </row>
    <row r="2565" spans="1:4" x14ac:dyDescent="0.2">
      <c r="A2565" s="10">
        <v>2504</v>
      </c>
      <c r="D2565" s="2" t="str">
        <f t="shared" si="39"/>
        <v>OK</v>
      </c>
    </row>
    <row r="2566" spans="1:4" x14ac:dyDescent="0.2">
      <c r="A2566" s="5">
        <v>2505</v>
      </c>
      <c r="B2566" s="138">
        <f>'Acct Summary 7-8'!D6</f>
        <v>162193</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442489</v>
      </c>
      <c r="C2568" s="2" t="s">
        <v>594</v>
      </c>
      <c r="D2568" s="2" t="str">
        <f t="shared" si="39"/>
        <v>Error?</v>
      </c>
    </row>
    <row r="2569" spans="1:4" x14ac:dyDescent="0.2">
      <c r="A2569" s="5">
        <v>2508</v>
      </c>
      <c r="B2569" s="138">
        <f>'Acct Summary 7-8'!D13</f>
        <v>432525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432525</v>
      </c>
      <c r="C2573" s="2" t="s">
        <v>594</v>
      </c>
      <c r="D2573" s="2" t="str">
        <f t="shared" si="39"/>
        <v>Error?</v>
      </c>
    </row>
    <row r="2574" spans="1:4" x14ac:dyDescent="0.2">
      <c r="A2574" s="5">
        <v>2513</v>
      </c>
      <c r="B2574" s="138">
        <f>'Acct Summary 7-8'!D20</f>
        <v>9964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124122</v>
      </c>
      <c r="C2591" s="2" t="s">
        <v>594</v>
      </c>
      <c r="D2591" s="2" t="str">
        <f t="shared" si="39"/>
        <v>Error?</v>
      </c>
    </row>
    <row r="2592" spans="1:4" x14ac:dyDescent="0.2">
      <c r="A2592" s="10">
        <v>2531</v>
      </c>
      <c r="D2592" s="2" t="str">
        <f t="shared" si="39"/>
        <v>OK</v>
      </c>
    </row>
    <row r="2593" spans="1:4" x14ac:dyDescent="0.2">
      <c r="A2593" s="5">
        <v>2532</v>
      </c>
      <c r="B2593" s="138">
        <f>'Acct Summary 7-8'!F6</f>
        <v>130884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255006</v>
      </c>
      <c r="C2595" s="2" t="s">
        <v>594</v>
      </c>
      <c r="D2595" s="2" t="str">
        <f t="shared" si="39"/>
        <v>Error?</v>
      </c>
    </row>
    <row r="2596" spans="1:4" x14ac:dyDescent="0.2">
      <c r="A2596" s="5">
        <v>2535</v>
      </c>
      <c r="B2596" s="138">
        <f>'Acct Summary 7-8'!F13</f>
        <v>186660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37480</v>
      </c>
      <c r="C2599" s="2" t="s">
        <v>594</v>
      </c>
      <c r="D2599" s="2" t="str">
        <f t="shared" si="39"/>
        <v>Error?</v>
      </c>
    </row>
    <row r="2600" spans="1:4" x14ac:dyDescent="0.2">
      <c r="A2600" s="5">
        <v>2539</v>
      </c>
      <c r="B2600" s="138">
        <f>'Acct Summary 7-8'!F17</f>
        <v>224140</v>
      </c>
      <c r="C2600" s="2" t="s">
        <v>594</v>
      </c>
      <c r="D2600" s="2" t="str">
        <f t="shared" si="39"/>
        <v>Error?</v>
      </c>
    </row>
    <row r="2601" spans="1:4" x14ac:dyDescent="0.2">
      <c r="A2601" s="5">
        <v>2540</v>
      </c>
      <c r="B2601" s="138">
        <f>'Acct Summary 7-8'!F20</f>
        <v>30866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192773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192773</v>
      </c>
      <c r="C2606" s="2" t="s">
        <v>594</v>
      </c>
      <c r="D2606" s="2" t="str">
        <f t="shared" si="39"/>
        <v>Error?</v>
      </c>
    </row>
    <row r="2607" spans="1:4" x14ac:dyDescent="0.2">
      <c r="A2607" s="5">
        <v>2546</v>
      </c>
      <c r="B2607" s="138">
        <f>'Acct Summary 7-8'!G12</f>
        <v>55930</v>
      </c>
      <c r="C2607" s="2" t="s">
        <v>594</v>
      </c>
      <c r="D2607" s="2" t="str">
        <f t="shared" si="39"/>
        <v>Error?</v>
      </c>
    </row>
    <row r="2608" spans="1:4" x14ac:dyDescent="0.2">
      <c r="A2608" s="5">
        <v>2547</v>
      </c>
      <c r="B2608" s="138">
        <f>'Acct Summary 7-8'!G13</f>
        <v>101542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167641</v>
      </c>
      <c r="C2612" s="2" t="s">
        <v>594</v>
      </c>
      <c r="D2612" s="2" t="str">
        <f t="shared" si="39"/>
        <v>Error?</v>
      </c>
    </row>
    <row r="2613" spans="1:4" x14ac:dyDescent="0.2">
      <c r="A2613" s="5">
        <v>2552</v>
      </c>
      <c r="B2613" s="138">
        <f>'Acct Summary 7-8'!G20</f>
        <v>25132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367576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367576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328447</v>
      </c>
      <c r="C2634" s="2" t="s">
        <v>594</v>
      </c>
      <c r="D2634" s="2" t="str">
        <f t="shared" si="40"/>
        <v>Error?</v>
      </c>
    </row>
    <row r="2635" spans="1:4" x14ac:dyDescent="0.2">
      <c r="A2635" s="5">
        <v>2574</v>
      </c>
      <c r="B2635" s="138">
        <f>'Acct Summary 7-8'!E17</f>
        <v>328447</v>
      </c>
      <c r="C2635" s="2" t="s">
        <v>594</v>
      </c>
      <c r="D2635" s="2" t="str">
        <f t="shared" si="40"/>
        <v>Error?</v>
      </c>
    </row>
    <row r="2636" spans="1:4" x14ac:dyDescent="0.2">
      <c r="A2636" s="5">
        <v>2575</v>
      </c>
      <c r="B2636" s="138">
        <f>'Acct Summary 7-8'!E20</f>
        <v>39129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347137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347137</v>
      </c>
      <c r="C2658" s="2" t="s">
        <v>594</v>
      </c>
      <c r="D2658" s="2" t="str">
        <f t="shared" si="40"/>
        <v>Error?</v>
      </c>
    </row>
    <row r="2659" spans="1:4" x14ac:dyDescent="0.2">
      <c r="A2659" s="5">
        <v>2598</v>
      </c>
      <c r="B2659" s="138">
        <f>'Acct Summary 7-8'!H13</f>
        <v>152539</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152539</v>
      </c>
      <c r="C2661" s="2" t="s">
        <v>594</v>
      </c>
      <c r="D2661" s="2" t="str">
        <f t="shared" si="40"/>
        <v>Error?</v>
      </c>
    </row>
    <row r="2662" spans="1:4" x14ac:dyDescent="0.2">
      <c r="A2662" s="5">
        <v>2601</v>
      </c>
      <c r="B2662" s="138">
        <f>'Acct Summary 7-8'!H20</f>
        <v>194598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39379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174694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321658</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886252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174694</v>
      </c>
      <c r="D2912" s="2" t="str">
        <f t="shared" si="44"/>
        <v>Error?</v>
      </c>
    </row>
    <row r="2913" spans="1:4" x14ac:dyDescent="0.2">
      <c r="A2913" s="5">
        <v>2852</v>
      </c>
      <c r="B2913" s="138">
        <f>'Assets-Liab 5-6'!I41</f>
        <v>174694</v>
      </c>
      <c r="C2913" s="2" t="s">
        <v>594</v>
      </c>
      <c r="D2913" s="2" t="str">
        <f t="shared" si="44"/>
        <v>Error?</v>
      </c>
    </row>
    <row r="2914" spans="1:4" x14ac:dyDescent="0.2">
      <c r="A2914" s="5">
        <v>2853</v>
      </c>
      <c r="B2914" s="138">
        <f>'Assets-Liab 5-6'!L33</f>
        <v>222522</v>
      </c>
      <c r="D2914" s="2" t="str">
        <f t="shared" si="44"/>
        <v>Error?</v>
      </c>
    </row>
    <row r="2915" spans="1:4" x14ac:dyDescent="0.2">
      <c r="A2915" s="10">
        <v>2854</v>
      </c>
      <c r="D2915" s="2" t="str">
        <f t="shared" si="44"/>
        <v>OK</v>
      </c>
    </row>
    <row r="2916" spans="1:4" x14ac:dyDescent="0.2">
      <c r="A2916" s="5">
        <v>2855</v>
      </c>
      <c r="B2916" s="138">
        <f>'Assets-Liab 5-6'!L34</f>
        <v>222522</v>
      </c>
      <c r="C2916" s="2" t="s">
        <v>594</v>
      </c>
      <c r="D2916" s="2" t="str">
        <f t="shared" si="44"/>
        <v>Error?</v>
      </c>
    </row>
    <row r="2917" spans="1:4" x14ac:dyDescent="0.2">
      <c r="A2917" s="5">
        <v>2856</v>
      </c>
      <c r="B2917" s="138">
        <f>'Assets-Liab 5-6'!L41</f>
        <v>886252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71172</v>
      </c>
      <c r="D3055" s="2" t="str">
        <f t="shared" si="46"/>
        <v>Error?</v>
      </c>
    </row>
    <row r="3056" spans="1:4" x14ac:dyDescent="0.2">
      <c r="A3056" s="5">
        <v>2995</v>
      </c>
      <c r="B3056" s="138">
        <f>'Expenditures 15-22'!D10</f>
        <v>21038</v>
      </c>
      <c r="D3056" s="2" t="str">
        <f t="shared" si="46"/>
        <v>Error?</v>
      </c>
    </row>
    <row r="3057" spans="1:4" x14ac:dyDescent="0.2">
      <c r="A3057" s="5">
        <v>2996</v>
      </c>
      <c r="B3057" s="138">
        <f>'Expenditures 15-22'!E10</f>
        <v>26291</v>
      </c>
      <c r="D3057" s="2" t="str">
        <f t="shared" si="46"/>
        <v>Error?</v>
      </c>
    </row>
    <row r="3058" spans="1:4" x14ac:dyDescent="0.2">
      <c r="A3058" s="5">
        <v>2997</v>
      </c>
      <c r="B3058" s="138">
        <f>'Expenditures 15-22'!F10</f>
        <v>6604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125105</v>
      </c>
      <c r="C3062" s="2" t="s">
        <v>594</v>
      </c>
      <c r="D3062" s="2" t="str">
        <f t="shared" si="46"/>
        <v>Error?</v>
      </c>
    </row>
    <row r="3063" spans="1:4" x14ac:dyDescent="0.2">
      <c r="A3063" s="10">
        <v>3002</v>
      </c>
      <c r="D3063" s="2" t="str">
        <f t="shared" si="46"/>
        <v>OK</v>
      </c>
    </row>
    <row r="3064" spans="1:4" x14ac:dyDescent="0.2">
      <c r="A3064" s="5">
        <v>3003</v>
      </c>
      <c r="B3064" s="138">
        <f>'Expenditures 15-22'!D219</f>
        <v>12487</v>
      </c>
      <c r="D3064" s="2" t="str">
        <f t="shared" si="46"/>
        <v>Error?</v>
      </c>
    </row>
    <row r="3065" spans="1:4" x14ac:dyDescent="0.2">
      <c r="A3065" s="5">
        <v>3004</v>
      </c>
      <c r="B3065" s="138">
        <f>'Expenditures 15-22'!K219</f>
        <v>12487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663730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28072</v>
      </c>
      <c r="C3225" s="2" t="s">
        <v>594</v>
      </c>
      <c r="D3225" s="2" t="str">
        <f t="shared" si="49"/>
        <v>Error?</v>
      </c>
    </row>
    <row r="3226" spans="1:4" x14ac:dyDescent="0.2">
      <c r="A3226" s="5">
        <v>3165</v>
      </c>
      <c r="B3226" s="138">
        <f>'Acct Summary 7-8'!I8</f>
        <v>28072</v>
      </c>
      <c r="C3226" s="2" t="s">
        <v>594</v>
      </c>
      <c r="D3226" s="2" t="str">
        <f t="shared" si="49"/>
        <v>Error?</v>
      </c>
    </row>
    <row r="3227" spans="1:4" x14ac:dyDescent="0.2">
      <c r="A3227" s="5">
        <v>3166</v>
      </c>
      <c r="B3227" s="138">
        <f>'Acct Summary 7-8'!I20</f>
        <v>28072</v>
      </c>
      <c r="C3227" s="2" t="s">
        <v>594</v>
      </c>
      <c r="D3227" s="2" t="str">
        <f t="shared" si="49"/>
        <v>Error?</v>
      </c>
    </row>
    <row r="3228" spans="1:4" x14ac:dyDescent="0.2">
      <c r="A3228" s="5">
        <v>3167</v>
      </c>
      <c r="B3228" s="138">
        <f>'Acct Summary 7-8'!C43</f>
        <v>27388</v>
      </c>
      <c r="D3228" s="2" t="str">
        <f t="shared" si="49"/>
        <v>Error?</v>
      </c>
    </row>
    <row r="3229" spans="1:4" x14ac:dyDescent="0.2">
      <c r="A3229" s="5">
        <v>3168</v>
      </c>
      <c r="B3229" s="138">
        <f>'Acct Summary 7-8'!C44</f>
        <v>27388</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20700</v>
      </c>
      <c r="C3231" s="2" t="s">
        <v>594</v>
      </c>
      <c r="D3231" s="2" t="str">
        <f t="shared" si="49"/>
        <v>Error?</v>
      </c>
    </row>
    <row r="3232" spans="1:4" x14ac:dyDescent="0.2">
      <c r="A3232" s="5">
        <v>3171</v>
      </c>
      <c r="B3232" s="138">
        <f>'Acct Summary 7-8'!C77</f>
        <v>6688</v>
      </c>
      <c r="C3232" s="2" t="s">
        <v>594</v>
      </c>
      <c r="D3232" s="2" t="str">
        <f t="shared" si="49"/>
        <v>Error?</v>
      </c>
    </row>
    <row r="3233" spans="1:4" x14ac:dyDescent="0.2">
      <c r="A3233" s="5">
        <v>3172</v>
      </c>
      <c r="B3233" s="138">
        <f>'Acct Summary 7-8'!C78</f>
        <v>92678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9964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30866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25132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20700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20700</v>
      </c>
      <c r="C3277" s="2" t="s">
        <v>594</v>
      </c>
      <c r="D3277" s="2" t="str">
        <f t="shared" si="50"/>
        <v>Error?</v>
      </c>
    </row>
    <row r="3278" spans="1:4" x14ac:dyDescent="0.2">
      <c r="A3278" s="5">
        <v>3217</v>
      </c>
      <c r="B3278" s="138">
        <f>'Acct Summary 7-8'!E78</f>
        <v>59829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194598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28072</v>
      </c>
      <c r="C3320" s="2" t="s">
        <v>594</v>
      </c>
      <c r="D3320" s="2" t="str">
        <f t="shared" si="50"/>
        <v>Error?</v>
      </c>
    </row>
    <row r="3321" spans="1:4" x14ac:dyDescent="0.2">
      <c r="A3321" s="5">
        <v>3260</v>
      </c>
      <c r="B3321" s="138">
        <f>'Acct Summary 7-8'!I79</f>
        <v>146622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174694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120520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37293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157813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27286</v>
      </c>
      <c r="D3387" s="2" t="str">
        <f t="shared" si="51"/>
        <v>Error?</v>
      </c>
    </row>
    <row r="3388" spans="1:4" x14ac:dyDescent="0.2">
      <c r="A3388" s="5">
        <v>3327</v>
      </c>
      <c r="B3388" s="138">
        <f>'Expenditures 15-22'!D217</f>
        <v>6460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27286</v>
      </c>
      <c r="C3390" s="2" t="s">
        <v>594</v>
      </c>
      <c r="D3390" s="2" t="str">
        <f t="shared" si="51"/>
        <v>Error?</v>
      </c>
    </row>
    <row r="3391" spans="1:4" x14ac:dyDescent="0.2">
      <c r="A3391" s="5">
        <v>3330</v>
      </c>
      <c r="B3391" s="138">
        <f>'Expenditures 15-22'!K217</f>
        <v>6460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1082633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175958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346484</v>
      </c>
      <c r="D3417" s="2" t="str">
        <f t="shared" si="52"/>
        <v>Error?</v>
      </c>
    </row>
    <row r="3418" spans="1:4" x14ac:dyDescent="0.2">
      <c r="A3418" s="10">
        <v>3357</v>
      </c>
      <c r="D3418" s="2" t="str">
        <f t="shared" si="52"/>
        <v>OK</v>
      </c>
    </row>
    <row r="3419" spans="1:4" x14ac:dyDescent="0.2">
      <c r="A3419" s="5">
        <v>3358</v>
      </c>
      <c r="B3419" s="138">
        <f>'Assets-Liab 5-6'!F4</f>
        <v>189760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162962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290232</v>
      </c>
      <c r="D3425" s="2" t="str">
        <f t="shared" si="52"/>
        <v>Error?</v>
      </c>
    </row>
    <row r="3426" spans="1:4" x14ac:dyDescent="0.2">
      <c r="A3426" s="10">
        <v>3365</v>
      </c>
      <c r="D3426" s="2" t="str">
        <f t="shared" si="52"/>
        <v>OK</v>
      </c>
    </row>
    <row r="3427" spans="1:4" x14ac:dyDescent="0.2">
      <c r="A3427" s="5">
        <v>3366</v>
      </c>
      <c r="B3427" s="138">
        <f>'Assets-Liab 5-6'!I4</f>
        <v>174694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564594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104185</v>
      </c>
      <c r="C3446" s="2" t="s">
        <v>594</v>
      </c>
      <c r="D3446" s="2" t="str">
        <f t="shared" si="52"/>
        <v>Error?</v>
      </c>
    </row>
    <row r="3447" spans="1:4" x14ac:dyDescent="0.2">
      <c r="A3447" s="5">
        <v>3386</v>
      </c>
      <c r="B3447" s="138">
        <f>'Tax Sched 23'!D16</f>
        <v>56041</v>
      </c>
      <c r="C3447" s="2" t="s">
        <v>594</v>
      </c>
      <c r="D3447" s="2" t="str">
        <f t="shared" si="52"/>
        <v>Error?</v>
      </c>
    </row>
    <row r="3448" spans="1:4" x14ac:dyDescent="0.2">
      <c r="A3448" s="5">
        <v>3387</v>
      </c>
      <c r="B3448" s="138">
        <f>'Tax Sched 23'!C16</f>
        <v>48144</v>
      </c>
      <c r="D3448" s="2" t="str">
        <f t="shared" si="52"/>
        <v>Error?</v>
      </c>
    </row>
    <row r="3449" spans="1:4" x14ac:dyDescent="0.2">
      <c r="A3449" s="5">
        <v>3388</v>
      </c>
      <c r="B3449" s="138">
        <f>'Tax Sched 23'!F16</f>
        <v>46911</v>
      </c>
      <c r="C3449" s="2" t="s">
        <v>594</v>
      </c>
      <c r="D3449" s="2" t="str">
        <f t="shared" si="52"/>
        <v>Error?</v>
      </c>
    </row>
    <row r="3450" spans="1:4" x14ac:dyDescent="0.2">
      <c r="A3450" s="5">
        <v>3389</v>
      </c>
      <c r="B3450" s="138">
        <f>'Tax Sched 23'!E16</f>
        <v>95055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39379</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39379</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39379</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38061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38061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38061</v>
      </c>
      <c r="D3567" s="2" t="str">
        <f t="shared" si="54"/>
        <v>Error?</v>
      </c>
    </row>
    <row r="3568" spans="1:4" x14ac:dyDescent="0.2">
      <c r="A3568" s="5">
        <v>3507</v>
      </c>
      <c r="B3568" s="138">
        <f>'Assets-Liab 5-6'!K41</f>
        <v>38061</v>
      </c>
      <c r="C3568" s="2" t="s">
        <v>594</v>
      </c>
      <c r="D3568" s="2" t="str">
        <f t="shared" si="54"/>
        <v>Error?</v>
      </c>
    </row>
    <row r="3569" spans="1:4" x14ac:dyDescent="0.2">
      <c r="A3569" s="5">
        <v>3508</v>
      </c>
      <c r="B3569" s="138">
        <f>'Acct Summary 7-8'!K4</f>
        <v>83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83</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83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83</v>
      </c>
      <c r="C3588" s="2" t="s">
        <v>594</v>
      </c>
      <c r="D3588" s="2" t="str">
        <f t="shared" si="55"/>
        <v>Error?</v>
      </c>
    </row>
    <row r="3589" spans="1:4" x14ac:dyDescent="0.2">
      <c r="A3589" s="5">
        <v>3528</v>
      </c>
      <c r="B3589" s="138">
        <f>'Acct Summary 7-8'!K79</f>
        <v>37978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38061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10169</v>
      </c>
      <c r="D3721" s="2" t="str">
        <f t="shared" si="57"/>
        <v>Error?</v>
      </c>
    </row>
    <row r="3722" spans="1:4" x14ac:dyDescent="0.2">
      <c r="A3722" s="5">
        <v>3661</v>
      </c>
      <c r="B3722" s="138">
        <f>'Expenditures 15-22'!D285</f>
        <v>10169</v>
      </c>
      <c r="C3722" s="2" t="s">
        <v>594</v>
      </c>
      <c r="D3722" s="2" t="str">
        <f t="shared" si="57"/>
        <v>Error?</v>
      </c>
    </row>
    <row r="3723" spans="1:4" x14ac:dyDescent="0.2">
      <c r="A3723" s="5">
        <v>3662</v>
      </c>
      <c r="B3723" s="138">
        <f>'Expenditures 15-22'!K283</f>
        <v>10169</v>
      </c>
      <c r="C3723" s="2" t="s">
        <v>594</v>
      </c>
      <c r="D3723" s="2" t="str">
        <f t="shared" si="57"/>
        <v>Error?</v>
      </c>
    </row>
    <row r="3724" spans="1:4" x14ac:dyDescent="0.2">
      <c r="A3724" s="5">
        <v>3663</v>
      </c>
      <c r="B3724" s="138">
        <f>'Expenditures 15-22'!K285</f>
        <v>10169</v>
      </c>
      <c r="C3724" s="2" t="s">
        <v>594</v>
      </c>
      <c r="D3724" s="2" t="str">
        <f t="shared" si="57"/>
        <v>Error?</v>
      </c>
    </row>
    <row r="3725" spans="1:4" x14ac:dyDescent="0.2">
      <c r="A3725" s="5">
        <v>3664</v>
      </c>
      <c r="B3725" s="138">
        <f>'Tax Sched 23'!B13</f>
        <v>21210</v>
      </c>
      <c r="C3725" s="2" t="s">
        <v>594</v>
      </c>
      <c r="D3725" s="2" t="str">
        <f t="shared" si="57"/>
        <v>Error?</v>
      </c>
    </row>
    <row r="3726" spans="1:4" x14ac:dyDescent="0.2">
      <c r="A3726" s="5">
        <v>3665</v>
      </c>
      <c r="B3726" s="138">
        <f>'Tax Sched 23'!D13</f>
        <v>6830</v>
      </c>
      <c r="C3726" s="2" t="s">
        <v>594</v>
      </c>
      <c r="D3726" s="2" t="str">
        <f t="shared" si="57"/>
        <v>Error?</v>
      </c>
    </row>
    <row r="3727" spans="1:4" x14ac:dyDescent="0.2">
      <c r="A3727" s="5">
        <v>3666</v>
      </c>
      <c r="B3727" s="138">
        <f>'Tax Sched 23'!C13</f>
        <v>14380</v>
      </c>
      <c r="D3727" s="2" t="str">
        <f t="shared" si="57"/>
        <v>Error?</v>
      </c>
    </row>
    <row r="3728" spans="1:4" x14ac:dyDescent="0.2">
      <c r="A3728" s="5">
        <v>3667</v>
      </c>
      <c r="B3728" s="138">
        <f>'Tax Sched 23'!F13</f>
        <v>14012</v>
      </c>
      <c r="C3728" s="2" t="s">
        <v>594</v>
      </c>
      <c r="D3728" s="2" t="str">
        <f t="shared" si="57"/>
        <v>Error?</v>
      </c>
    </row>
    <row r="3729" spans="1:4" x14ac:dyDescent="0.2">
      <c r="A3729" s="5">
        <v>3668</v>
      </c>
      <c r="B3729" s="138">
        <f>'Tax Sched 23'!E13</f>
        <v>28392</v>
      </c>
      <c r="D3729" s="2" t="str">
        <f t="shared" si="57"/>
        <v>Error?</v>
      </c>
    </row>
    <row r="3730" spans="1:4" x14ac:dyDescent="0.2">
      <c r="A3730" s="5">
        <v>3669</v>
      </c>
      <c r="B3730" s="138">
        <f>'ICR Computation 30'!E10</f>
        <v>72133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2030557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6511857</v>
      </c>
      <c r="C4122" s="2" t="s">
        <v>594</v>
      </c>
      <c r="D4122" s="2" t="str">
        <f t="shared" si="63"/>
        <v>Error?</v>
      </c>
    </row>
    <row r="4123" spans="1:4" x14ac:dyDescent="0.2">
      <c r="A4123" s="5">
        <v>4062</v>
      </c>
      <c r="B4123" s="138">
        <f>'Acct Summary 7-8'!D10</f>
        <v>442489</v>
      </c>
      <c r="C4123" s="2" t="s">
        <v>594</v>
      </c>
      <c r="D4123" s="2" t="str">
        <f t="shared" si="63"/>
        <v>Error?</v>
      </c>
    </row>
    <row r="4124" spans="1:4" x14ac:dyDescent="0.2">
      <c r="A4124" s="5">
        <v>4063</v>
      </c>
      <c r="B4124" s="138">
        <f>'Acct Summary 7-8'!E10</f>
        <v>367576</v>
      </c>
      <c r="C4124" s="2" t="s">
        <v>594</v>
      </c>
      <c r="D4124" s="2" t="str">
        <f t="shared" si="63"/>
        <v>Error?</v>
      </c>
    </row>
    <row r="4125" spans="1:4" x14ac:dyDescent="0.2">
      <c r="A4125" s="5">
        <v>4064</v>
      </c>
      <c r="B4125" s="138">
        <f>'Acct Summary 7-8'!F10</f>
        <v>255006</v>
      </c>
      <c r="C4125" s="2" t="s">
        <v>594</v>
      </c>
      <c r="D4125" s="2" t="str">
        <f t="shared" si="63"/>
        <v>Error?</v>
      </c>
    </row>
    <row r="4126" spans="1:4" x14ac:dyDescent="0.2">
      <c r="A4126" s="5">
        <v>4065</v>
      </c>
      <c r="B4126" s="138">
        <f>'Acct Summary 7-8'!G10</f>
        <v>192773</v>
      </c>
      <c r="C4126" s="2" t="s">
        <v>594</v>
      </c>
      <c r="D4126" s="2" t="str">
        <f t="shared" si="63"/>
        <v>Error?</v>
      </c>
    </row>
    <row r="4127" spans="1:4" x14ac:dyDescent="0.2">
      <c r="A4127" s="5">
        <v>4066</v>
      </c>
      <c r="B4127" s="138">
        <f>'Acct Summary 7-8'!H10</f>
        <v>347137</v>
      </c>
      <c r="C4127" s="2" t="s">
        <v>594</v>
      </c>
      <c r="D4127" s="2" t="str">
        <f t="shared" si="63"/>
        <v>Error?</v>
      </c>
    </row>
    <row r="4128" spans="1:4" x14ac:dyDescent="0.2">
      <c r="A4128" s="5">
        <v>4067</v>
      </c>
      <c r="B4128" s="138">
        <f>'Acct Summary 7-8'!I10</f>
        <v>28072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83</v>
      </c>
      <c r="C4130" s="2" t="s">
        <v>594</v>
      </c>
      <c r="D4130" s="2" t="str">
        <f t="shared" si="63"/>
        <v>Error?</v>
      </c>
    </row>
    <row r="4131" spans="1:4" x14ac:dyDescent="0.2">
      <c r="A4131" s="5">
        <v>4070</v>
      </c>
      <c r="B4131" s="138">
        <f>'Acct Summary 7-8'!C18</f>
        <v>2030557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6425867</v>
      </c>
      <c r="C4136" s="2" t="s">
        <v>594</v>
      </c>
      <c r="D4136" s="2" t="str">
        <f t="shared" si="63"/>
        <v>Error?</v>
      </c>
    </row>
    <row r="4137" spans="1:4" x14ac:dyDescent="0.2">
      <c r="A4137" s="5">
        <v>4076</v>
      </c>
      <c r="B4137" s="138">
        <f>'Acct Summary 7-8'!D19</f>
        <v>432525</v>
      </c>
      <c r="C4137" s="2" t="s">
        <v>594</v>
      </c>
      <c r="D4137" s="2" t="str">
        <f t="shared" si="63"/>
        <v>Error?</v>
      </c>
    </row>
    <row r="4138" spans="1:4" x14ac:dyDescent="0.2">
      <c r="A4138" s="5">
        <v>4077</v>
      </c>
      <c r="B4138" s="138">
        <f>'Acct Summary 7-8'!E19</f>
        <v>328447</v>
      </c>
      <c r="C4138" s="2" t="s">
        <v>594</v>
      </c>
      <c r="D4138" s="2" t="str">
        <f t="shared" si="63"/>
        <v>Error?</v>
      </c>
    </row>
    <row r="4139" spans="1:4" x14ac:dyDescent="0.2">
      <c r="A4139" s="5">
        <v>4078</v>
      </c>
      <c r="B4139" s="138">
        <f>'Acct Summary 7-8'!F19</f>
        <v>224140</v>
      </c>
      <c r="C4139" s="2" t="s">
        <v>594</v>
      </c>
      <c r="D4139" s="2" t="str">
        <f t="shared" si="63"/>
        <v>Error?</v>
      </c>
    </row>
    <row r="4140" spans="1:4" x14ac:dyDescent="0.2">
      <c r="A4140" s="5">
        <v>4079</v>
      </c>
      <c r="B4140" s="138">
        <f>'Acct Summary 7-8'!G19</f>
        <v>167641</v>
      </c>
      <c r="C4140" s="2" t="s">
        <v>594</v>
      </c>
      <c r="D4140" s="2" t="str">
        <f t="shared" si="63"/>
        <v>Error?</v>
      </c>
    </row>
    <row r="4141" spans="1:4" x14ac:dyDescent="0.2">
      <c r="A4141" s="5">
        <v>4080</v>
      </c>
      <c r="B4141" s="138">
        <f>'Acct Summary 7-8'!H19</f>
        <v>152539</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2100684</v>
      </c>
      <c r="C4171" s="2" t="s">
        <v>594</v>
      </c>
      <c r="D4171" s="2" t="str">
        <f t="shared" si="64"/>
        <v>Error?</v>
      </c>
    </row>
    <row r="4172" spans="1:4" x14ac:dyDescent="0.2">
      <c r="A4172" s="5">
        <v>4111</v>
      </c>
      <c r="B4172" s="138">
        <f>'Short-Term Long-Term Debt 24'!J49</f>
        <v>1563980</v>
      </c>
      <c r="C4172" s="2" t="s">
        <v>594</v>
      </c>
      <c r="D4172" s="2" t="str">
        <f t="shared" si="64"/>
        <v>Error?</v>
      </c>
    </row>
    <row r="4173" spans="1:4" x14ac:dyDescent="0.2">
      <c r="A4173" s="5">
        <v>4112</v>
      </c>
      <c r="B4173" s="138">
        <f>'Short-Term Long-Term Debt 24'!H49</f>
        <v>320169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27388</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35432</v>
      </c>
      <c r="D4210" s="2" t="str">
        <f t="shared" si="64"/>
        <v>Error?</v>
      </c>
    </row>
    <row r="4211" spans="1:4" x14ac:dyDescent="0.2">
      <c r="A4211" s="5">
        <v>4150</v>
      </c>
      <c r="B4211" s="138">
        <f>'Expenditures 15-22'!K206</f>
        <v>35432</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3300</v>
      </c>
      <c r="C4268" s="2" t="s">
        <v>594</v>
      </c>
      <c r="D4268" s="2" t="str">
        <f t="shared" si="65"/>
        <v>Error?</v>
      </c>
    </row>
    <row r="4269" spans="1:5" x14ac:dyDescent="0.2">
      <c r="A4269" s="12">
        <v>4208</v>
      </c>
      <c r="B4269" s="138">
        <f>'FP Info 3'!J16</f>
        <v>2329333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3341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11628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24388</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24388</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16024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13655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4000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56783077</v>
      </c>
      <c r="D4995" s="2" t="str">
        <f t="shared" si="77"/>
        <v>Error?</v>
      </c>
    </row>
    <row r="4996" spans="1:4" x14ac:dyDescent="0.2">
      <c r="A4996" s="12">
        <v>4935</v>
      </c>
      <c r="B4996" s="138">
        <f>'FP Info 3'!H31</f>
        <v>7836064.6260000011</v>
      </c>
      <c r="D4996" s="2" t="str">
        <f t="shared" si="77"/>
        <v>Error?</v>
      </c>
    </row>
    <row r="4997" spans="1:4" x14ac:dyDescent="0.2">
      <c r="A4997" s="12">
        <v>4936</v>
      </c>
      <c r="B4997" s="138">
        <f>'FP Info 3'!H37</f>
        <v>2100684</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21210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1441007</v>
      </c>
      <c r="D5061" s="2" t="str">
        <f t="shared" si="78"/>
        <v>Error?</v>
      </c>
    </row>
    <row r="5062" spans="1:4" x14ac:dyDescent="0.2">
      <c r="A5062" s="10">
        <v>5001</v>
      </c>
      <c r="D5062" s="2" t="str">
        <f t="shared" si="78"/>
        <v>OK</v>
      </c>
    </row>
    <row r="5063" spans="1:4" x14ac:dyDescent="0.2">
      <c r="A5063" s="5">
        <v>5002</v>
      </c>
      <c r="B5063" s="138">
        <f>'Revenues 9-14'!C7</f>
        <v>22169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1484386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495</v>
      </c>
      <c r="D5068" s="2" t="str">
        <f t="shared" si="78"/>
        <v>Error?</v>
      </c>
    </row>
    <row r="5069" spans="1:4" x14ac:dyDescent="0.2">
      <c r="A5069" s="5">
        <v>5008</v>
      </c>
      <c r="B5069" s="138">
        <f>'Revenues 9-14'!C16</f>
        <v>139189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139684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7376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7376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2458</v>
      </c>
      <c r="D5094" s="2" t="str">
        <f t="shared" si="78"/>
        <v>Error?</v>
      </c>
    </row>
    <row r="5095" spans="1:4" x14ac:dyDescent="0.2">
      <c r="A5095" s="5">
        <v>5034</v>
      </c>
      <c r="B5095" s="138">
        <f>'Revenues 9-14'!C74</f>
        <v>744</v>
      </c>
      <c r="D5095" s="2" t="str">
        <f t="shared" si="78"/>
        <v>Error?</v>
      </c>
    </row>
    <row r="5096" spans="1:4" x14ac:dyDescent="0.2">
      <c r="A5096" s="5">
        <v>5035</v>
      </c>
      <c r="B5096" s="138">
        <f>'Revenues 9-14'!C75</f>
        <v>70701</v>
      </c>
      <c r="C5096" s="2" t="s">
        <v>594</v>
      </c>
      <c r="D5096" s="2" t="str">
        <f t="shared" si="78"/>
        <v>Error?</v>
      </c>
    </row>
    <row r="5097" spans="1:4" x14ac:dyDescent="0.2">
      <c r="A5097" s="5">
        <v>5036</v>
      </c>
      <c r="B5097" s="138">
        <f>'Revenues 9-14'!C77</f>
        <v>18734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2129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20863</v>
      </c>
      <c r="C5102" s="2" t="s">
        <v>594</v>
      </c>
      <c r="D5102" s="2" t="str">
        <f t="shared" si="78"/>
        <v>Error?</v>
      </c>
    </row>
    <row r="5103" spans="1:4" x14ac:dyDescent="0.2">
      <c r="A5103" s="5">
        <v>5042</v>
      </c>
      <c r="B5103" s="138">
        <f>'Revenues 9-14'!C84</f>
        <v>29279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14659</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43938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19000</v>
      </c>
      <c r="D5114" s="2" t="str">
        <f t="shared" si="78"/>
        <v>Error?</v>
      </c>
    </row>
    <row r="5115" spans="1:4" x14ac:dyDescent="0.2">
      <c r="A5115" s="5">
        <v>5054</v>
      </c>
      <c r="B5115" s="138">
        <f>'Revenues 9-14'!C98</f>
        <v>8283</v>
      </c>
      <c r="D5115" s="2" t="str">
        <f t="shared" si="78"/>
        <v>Error?</v>
      </c>
    </row>
    <row r="5116" spans="1:4" x14ac:dyDescent="0.2">
      <c r="A5116" s="5">
        <v>5055</v>
      </c>
      <c r="B5116" s="138">
        <f>'Revenues 9-14'!C99</f>
        <v>60547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15008</v>
      </c>
      <c r="D5119" s="2" t="str">
        <f t="shared" ref="D5119:D5182" si="79">IF(ISBLANK(B5119),"OK",IF(A5119-B5119=0,"OK","Error?"))</f>
        <v>Error?</v>
      </c>
    </row>
    <row r="5120" spans="1:4" x14ac:dyDescent="0.2">
      <c r="A5120" s="5">
        <v>5059</v>
      </c>
      <c r="B5120" s="138">
        <f>'Revenues 9-14'!C108</f>
        <v>132153</v>
      </c>
      <c r="C5120" s="2" t="s">
        <v>594</v>
      </c>
      <c r="D5120" s="2" t="str">
        <f t="shared" si="79"/>
        <v>Error?</v>
      </c>
    </row>
    <row r="5121" spans="1:4" x14ac:dyDescent="0.2">
      <c r="A5121" s="5">
        <v>5060</v>
      </c>
      <c r="B5121" s="138">
        <f>'Revenues 9-14'!C109</f>
        <v>1899101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1978541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1978541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37524</v>
      </c>
      <c r="D5134" s="2" t="str">
        <f t="shared" si="79"/>
        <v>Error?</v>
      </c>
    </row>
    <row r="5135" spans="1:4" x14ac:dyDescent="0.2">
      <c r="A5135" s="5">
        <v>5074</v>
      </c>
      <c r="B5135" s="138">
        <f>'Revenues 9-14'!C126</f>
        <v>11654</v>
      </c>
      <c r="D5135" s="2" t="str">
        <f t="shared" si="79"/>
        <v>Error?</v>
      </c>
    </row>
    <row r="5136" spans="1:4" x14ac:dyDescent="0.2">
      <c r="A5136" s="10">
        <v>5075</v>
      </c>
      <c r="D5136" s="2" t="str">
        <f t="shared" si="79"/>
        <v>OK</v>
      </c>
    </row>
    <row r="5137" spans="1:4" x14ac:dyDescent="0.2">
      <c r="A5137" s="5">
        <v>5076</v>
      </c>
      <c r="B5137" s="138">
        <f>'Revenues 9-14'!C127</f>
        <v>22225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71403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22049</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30015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1880</v>
      </c>
      <c r="D5167" s="2" t="str">
        <f t="shared" si="79"/>
        <v>Error?</v>
      </c>
    </row>
    <row r="5168" spans="1:4" x14ac:dyDescent="0.2">
      <c r="A5168" s="5">
        <v>5107</v>
      </c>
      <c r="B5168" s="138">
        <f>'Revenues 9-14'!C147</f>
        <v>5902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164188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277388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2255929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106259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19253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125512</v>
      </c>
      <c r="C5246" s="2" t="s">
        <v>594</v>
      </c>
      <c r="D5246" s="2" t="str">
        <f t="shared" si="80"/>
        <v>Error?</v>
      </c>
    </row>
    <row r="5247" spans="1:4" x14ac:dyDescent="0.2">
      <c r="A5247" s="5">
        <v>5186</v>
      </c>
      <c r="B5247" s="138">
        <f>'Revenues 9-14'!C203</f>
        <v>131356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131356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13923</v>
      </c>
      <c r="D5278" s="2" t="str">
        <f t="shared" si="81"/>
        <v>Error?</v>
      </c>
    </row>
    <row r="5279" spans="1:4" x14ac:dyDescent="0.2">
      <c r="A5279" s="5">
        <v>5218</v>
      </c>
      <c r="B5279" s="138">
        <f>'Revenues 9-14'!C221</f>
        <v>98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14021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326270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326270</v>
      </c>
      <c r="C5326" s="2" t="s">
        <v>594</v>
      </c>
      <c r="D5326" s="2" t="str">
        <f t="shared" si="82"/>
        <v>Error?</v>
      </c>
    </row>
    <row r="5327" spans="1:4" x14ac:dyDescent="0.2">
      <c r="A5327" s="5">
        <v>5266</v>
      </c>
      <c r="B5327" s="138">
        <f>'Revenues 9-14'!C275</f>
        <v>4481300</v>
      </c>
      <c r="C5327" s="2" t="s">
        <v>594</v>
      </c>
      <c r="D5327" s="2" t="str">
        <f t="shared" si="82"/>
        <v>Error?</v>
      </c>
    </row>
    <row r="5328" spans="1:4" x14ac:dyDescent="0.2">
      <c r="A5328" s="5">
        <v>5267</v>
      </c>
      <c r="B5328" s="138">
        <f>'Revenues 9-14'!D5</f>
        <v>277117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277117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93</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93</v>
      </c>
      <c r="C5339" s="2" t="s">
        <v>594</v>
      </c>
      <c r="D5339" s="2" t="str">
        <f t="shared" si="82"/>
        <v>Error?</v>
      </c>
    </row>
    <row r="5340" spans="1:4" x14ac:dyDescent="0.2">
      <c r="A5340" s="5">
        <v>5279</v>
      </c>
      <c r="B5340" s="138">
        <f>'Revenues 9-14'!D65</f>
        <v>3016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3016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70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70</v>
      </c>
      <c r="C5355" s="2" t="s">
        <v>594</v>
      </c>
      <c r="D5355" s="2" t="str">
        <f t="shared" si="82"/>
        <v>Error?</v>
      </c>
    </row>
    <row r="5356" spans="1:4" x14ac:dyDescent="0.2">
      <c r="A5356" s="5">
        <v>5295</v>
      </c>
      <c r="B5356" s="138">
        <f>'Revenues 9-14'!D109</f>
        <v>280296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162193</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162193</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162193</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442489</v>
      </c>
      <c r="C5508" s="2" t="s">
        <v>594</v>
      </c>
      <c r="D5508" s="2" t="str">
        <f t="shared" si="85"/>
        <v>Error?</v>
      </c>
    </row>
    <row r="5509" spans="1:4" x14ac:dyDescent="0.2">
      <c r="A5509" s="5">
        <v>5448</v>
      </c>
      <c r="B5509" s="138">
        <f>'Revenues 9-14'!E5</f>
        <v>189651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189651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65</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65</v>
      </c>
      <c r="C5518" s="2" t="s">
        <v>594</v>
      </c>
      <c r="D5518" s="2" t="str">
        <f t="shared" si="85"/>
        <v>Error?</v>
      </c>
    </row>
    <row r="5519" spans="1:4" x14ac:dyDescent="0.2">
      <c r="A5519" s="5">
        <v>5458</v>
      </c>
      <c r="B5519" s="138">
        <f>'Revenues 9-14'!E65</f>
        <v>7795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7795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170065</v>
      </c>
      <c r="C5526" s="2" t="s">
        <v>594</v>
      </c>
      <c r="D5526" s="2" t="str">
        <f t="shared" si="85"/>
        <v>Error?</v>
      </c>
    </row>
    <row r="5527" spans="1:4" x14ac:dyDescent="0.2">
      <c r="A5527" s="5">
        <v>5466</v>
      </c>
      <c r="B5527" s="138">
        <f>'Revenues 9-14'!E109</f>
        <v>367576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367576</v>
      </c>
      <c r="C5552" s="2" t="s">
        <v>594</v>
      </c>
      <c r="D5552" s="2" t="str">
        <f t="shared" si="85"/>
        <v>Error?</v>
      </c>
    </row>
    <row r="5553" spans="1:4" x14ac:dyDescent="0.2">
      <c r="A5553" s="5">
        <v>5492</v>
      </c>
      <c r="B5553" s="138">
        <f>'Revenues 9-14'!F5</f>
        <v>110848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110848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37</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37</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324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324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12913</v>
      </c>
      <c r="D5586" s="2" t="str">
        <f t="shared" si="86"/>
        <v>Error?</v>
      </c>
    </row>
    <row r="5587" spans="1:4" x14ac:dyDescent="0.2">
      <c r="A5587" s="5">
        <v>5526</v>
      </c>
      <c r="B5587" s="138">
        <f>'Revenues 9-14'!F108</f>
        <v>12913</v>
      </c>
      <c r="C5587" s="2" t="s">
        <v>594</v>
      </c>
      <c r="D5587" s="2" t="str">
        <f t="shared" si="86"/>
        <v>Error?</v>
      </c>
    </row>
    <row r="5588" spans="1:4" x14ac:dyDescent="0.2">
      <c r="A5588" s="5">
        <v>5527</v>
      </c>
      <c r="B5588" s="138">
        <f>'Revenues 9-14'!F109</f>
        <v>124122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52230</v>
      </c>
      <c r="D5615" s="2" t="str">
        <f t="shared" si="86"/>
        <v>Error?</v>
      </c>
    </row>
    <row r="5616" spans="1:4" x14ac:dyDescent="0.2">
      <c r="A5616" s="10">
        <v>5555</v>
      </c>
      <c r="D5616" s="2" t="str">
        <f t="shared" si="86"/>
        <v>OK</v>
      </c>
    </row>
    <row r="5617" spans="1:4" x14ac:dyDescent="0.2">
      <c r="A5617" s="5">
        <v>5556</v>
      </c>
      <c r="B5617" s="138">
        <f>'Revenues 9-14'!F152</f>
        <v>78654</v>
      </c>
      <c r="D5617" s="2" t="str">
        <f t="shared" si="86"/>
        <v>Error?</v>
      </c>
    </row>
    <row r="5618" spans="1:4" x14ac:dyDescent="0.2">
      <c r="A5618" s="5">
        <v>5557</v>
      </c>
      <c r="B5618" s="138">
        <f>'Revenues 9-14'!F154</f>
        <v>130884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130884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130884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255006</v>
      </c>
      <c r="C5720" s="2" t="s">
        <v>594</v>
      </c>
      <c r="D5720" s="2" t="str">
        <f t="shared" si="88"/>
        <v>Error?</v>
      </c>
    </row>
    <row r="5721" spans="1:4" x14ac:dyDescent="0.2">
      <c r="A5721" s="5">
        <v>5660</v>
      </c>
      <c r="B5721" s="138">
        <f>'Revenues 9-14'!G5</f>
        <v>77193</v>
      </c>
      <c r="D5721" s="2" t="str">
        <f t="shared" si="88"/>
        <v>Error?</v>
      </c>
    </row>
    <row r="5722" spans="1:4" x14ac:dyDescent="0.2">
      <c r="A5722" s="5">
        <v>5661</v>
      </c>
      <c r="B5722" s="138">
        <f>'Revenues 9-14'!G7</f>
        <v>0</v>
      </c>
      <c r="D5722" s="2" t="str">
        <f t="shared" si="88"/>
        <v>Error?</v>
      </c>
    </row>
    <row r="5723" spans="1:4" x14ac:dyDescent="0.2">
      <c r="A5723" s="5">
        <v>5662</v>
      </c>
      <c r="B5723" s="138">
        <f>'Revenues 9-14'!G8</f>
        <v>104185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181378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63</v>
      </c>
      <c r="D5727" s="2" t="str">
        <f t="shared" si="88"/>
        <v>Error?</v>
      </c>
    </row>
    <row r="5728" spans="1:4" x14ac:dyDescent="0.2">
      <c r="A5728" s="5">
        <v>5667</v>
      </c>
      <c r="B5728" s="138">
        <f>'Revenues 9-14'!G16</f>
        <v>11000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11063</v>
      </c>
      <c r="C5730" s="2" t="s">
        <v>594</v>
      </c>
      <c r="D5730" s="2" t="str">
        <f t="shared" si="88"/>
        <v>Error?</v>
      </c>
    </row>
    <row r="5731" spans="1:4" x14ac:dyDescent="0.2">
      <c r="A5731" s="5">
        <v>5670</v>
      </c>
      <c r="B5731" s="138">
        <f>'Revenues 9-14'!G65</f>
        <v>332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332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192773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319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319</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150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287314</v>
      </c>
      <c r="D5885" s="2" t="str">
        <f t="shared" si="90"/>
        <v>Error?</v>
      </c>
    </row>
    <row r="5886" spans="1:4" x14ac:dyDescent="0.2">
      <c r="A5886" s="5">
        <v>5825</v>
      </c>
      <c r="B5886" s="138">
        <f>'Revenues 9-14'!H108</f>
        <v>346818</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347137</v>
      </c>
      <c r="C5915" s="2" t="s">
        <v>594</v>
      </c>
      <c r="D5915" s="2" t="str">
        <f t="shared" si="91"/>
        <v>Error?</v>
      </c>
    </row>
    <row r="5916" spans="1:4" x14ac:dyDescent="0.2">
      <c r="A5916" s="5">
        <v>5855</v>
      </c>
      <c r="B5916" s="138">
        <f>'Revenues 9-14'!I5</f>
        <v>27711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27711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9</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9</v>
      </c>
      <c r="C5923" s="2" t="s">
        <v>594</v>
      </c>
      <c r="D5923" s="2" t="str">
        <f t="shared" si="91"/>
        <v>Error?</v>
      </c>
    </row>
    <row r="5924" spans="1:4" x14ac:dyDescent="0.2">
      <c r="A5924" s="5">
        <v>5863</v>
      </c>
      <c r="B5924" s="138">
        <f>'Revenues 9-14'!I65</f>
        <v>352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352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28072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83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83</v>
      </c>
      <c r="C6023" s="2" t="s">
        <v>594</v>
      </c>
      <c r="D6023" s="2" t="str">
        <f t="shared" si="93"/>
        <v>Error?</v>
      </c>
    </row>
    <row r="6024" spans="1:5" x14ac:dyDescent="0.2">
      <c r="A6024" s="5">
        <v>5963</v>
      </c>
      <c r="B6024" s="138">
        <f>'Revenues 9-14'!G109</f>
        <v>192773</v>
      </c>
      <c r="C6024" s="2" t="s">
        <v>594</v>
      </c>
      <c r="D6024" s="2" t="str">
        <f t="shared" si="93"/>
        <v>Error?</v>
      </c>
    </row>
    <row r="6025" spans="1:5" x14ac:dyDescent="0.2">
      <c r="A6025" s="5">
        <v>5964</v>
      </c>
      <c r="B6025" s="138">
        <f>'Revenues 9-14'!H109</f>
        <v>347137</v>
      </c>
      <c r="C6025" s="2" t="s">
        <v>594</v>
      </c>
      <c r="D6025" s="2" t="str">
        <f t="shared" si="93"/>
        <v>Error?</v>
      </c>
    </row>
    <row r="6026" spans="1:5" x14ac:dyDescent="0.2">
      <c r="A6026" s="5">
        <v>5965</v>
      </c>
      <c r="B6026" s="138">
        <f>'Revenues 9-14'!I109</f>
        <v>28072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67499</v>
      </c>
      <c r="D6031" s="2" t="str">
        <f t="shared" si="93"/>
        <v>Error?</v>
      </c>
    </row>
    <row r="6032" spans="1:5" x14ac:dyDescent="0.2">
      <c r="A6032" s="5">
        <v>5971</v>
      </c>
      <c r="B6032" s="138">
        <f>'Acct Summary 7-8'!G15</f>
        <v>10169</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21055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501.08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16996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16996</v>
      </c>
      <c r="D6215" s="2" t="str">
        <f t="shared" si="96"/>
        <v>Error?</v>
      </c>
      <c r="E6215" s="2" t="s">
        <v>199</v>
      </c>
    </row>
    <row r="6216" spans="1:5" x14ac:dyDescent="0.2">
      <c r="A6216">
        <v>6155</v>
      </c>
      <c r="B6216" s="138">
        <f>'Assets-Liab 5-6'!J41</f>
        <v>16996</v>
      </c>
      <c r="D6216" s="2" t="str">
        <f t="shared" si="96"/>
        <v>Error?</v>
      </c>
      <c r="E6216" s="2" t="s">
        <v>199</v>
      </c>
    </row>
    <row r="6217" spans="1:5" x14ac:dyDescent="0.2">
      <c r="A6217">
        <v>6156</v>
      </c>
      <c r="B6217" s="138">
        <f>'Assets-Liab 5-6'!J4</f>
        <v>16996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212559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212559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212559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217949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217949</v>
      </c>
      <c r="D6229" s="2" t="str">
        <f t="shared" si="96"/>
        <v>Error?</v>
      </c>
      <c r="E6229" s="2" t="s">
        <v>199</v>
      </c>
    </row>
    <row r="6230" spans="1:5" x14ac:dyDescent="0.2">
      <c r="A6230">
        <v>6169</v>
      </c>
      <c r="B6230" s="138">
        <f>'Acct Summary 7-8'!J20</f>
        <v>-5390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19737</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963</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-5390</v>
      </c>
      <c r="D6263" s="2" t="str">
        <f t="shared" si="96"/>
        <v>Error?</v>
      </c>
      <c r="E6263" s="2" t="s">
        <v>199</v>
      </c>
    </row>
    <row r="6264" spans="1:5" x14ac:dyDescent="0.2">
      <c r="A6264">
        <v>6203</v>
      </c>
      <c r="B6264" s="138">
        <f>'Acct Summary 7-8'!J79</f>
        <v>22386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16996</v>
      </c>
      <c r="D6266" s="2" t="str">
        <f t="shared" si="96"/>
        <v>Error?</v>
      </c>
      <c r="E6266" s="2" t="s">
        <v>199</v>
      </c>
    </row>
    <row r="6267" spans="1:5" x14ac:dyDescent="0.2">
      <c r="A6267">
        <v>6206</v>
      </c>
      <c r="B6267" s="138">
        <f>'Acct Summary 7-8'!C82</f>
        <v>92678</v>
      </c>
      <c r="D6267" s="2" t="str">
        <f t="shared" si="96"/>
        <v>Error?</v>
      </c>
      <c r="E6267" s="2" t="s">
        <v>199</v>
      </c>
    </row>
    <row r="6268" spans="1:5" x14ac:dyDescent="0.2">
      <c r="A6268">
        <v>6207</v>
      </c>
      <c r="B6268" s="138">
        <f>'Acct Summary 7-8'!D82</f>
        <v>9964</v>
      </c>
      <c r="D6268" s="2" t="str">
        <f t="shared" si="96"/>
        <v>Error?</v>
      </c>
      <c r="E6268" s="2" t="s">
        <v>199</v>
      </c>
    </row>
    <row r="6269" spans="1:5" x14ac:dyDescent="0.2">
      <c r="A6269">
        <v>6208</v>
      </c>
      <c r="B6269" s="138">
        <f>'Acct Summary 7-8'!E82</f>
        <v>59829</v>
      </c>
      <c r="D6269" s="2" t="str">
        <f t="shared" si="96"/>
        <v>Error?</v>
      </c>
      <c r="E6269" s="2" t="s">
        <v>199</v>
      </c>
    </row>
    <row r="6270" spans="1:5" x14ac:dyDescent="0.2">
      <c r="A6270">
        <v>6209</v>
      </c>
      <c r="B6270" s="138">
        <f>'Acct Summary 7-8'!F82</f>
        <v>30866</v>
      </c>
      <c r="D6270" s="2" t="str">
        <f t="shared" si="96"/>
        <v>Error?</v>
      </c>
      <c r="E6270" s="2" t="s">
        <v>199</v>
      </c>
    </row>
    <row r="6271" spans="1:5" x14ac:dyDescent="0.2">
      <c r="A6271">
        <v>6210</v>
      </c>
      <c r="B6271" s="138">
        <f>'Acct Summary 7-8'!G82</f>
        <v>25132</v>
      </c>
      <c r="D6271" s="2" t="str">
        <f t="shared" ref="D6271:D6334" si="97">IF(ISBLANK(B6271),"OK",IF(A6271-B6271=0,"OK","Error?"))</f>
        <v>Error?</v>
      </c>
      <c r="E6271" s="2" t="s">
        <v>199</v>
      </c>
    </row>
    <row r="6272" spans="1:5" x14ac:dyDescent="0.2">
      <c r="A6272">
        <v>6211</v>
      </c>
      <c r="B6272" s="138">
        <f>'Acct Summary 7-8'!H82</f>
        <v>194598</v>
      </c>
      <c r="D6272" s="2" t="str">
        <f t="shared" si="97"/>
        <v>Error?</v>
      </c>
      <c r="E6272" s="2" t="s">
        <v>199</v>
      </c>
    </row>
    <row r="6273" spans="1:5" x14ac:dyDescent="0.2">
      <c r="A6273">
        <v>6212</v>
      </c>
      <c r="B6273" s="138">
        <f>'Acct Summary 7-8'!I82</f>
        <v>28072</v>
      </c>
      <c r="D6273" s="2" t="str">
        <f t="shared" si="97"/>
        <v>Error?</v>
      </c>
      <c r="E6273" s="2" t="s">
        <v>199</v>
      </c>
    </row>
    <row r="6274" spans="1:5" x14ac:dyDescent="0.2">
      <c r="A6274">
        <v>6213</v>
      </c>
      <c r="B6274" s="138">
        <f>'Acct Summary 7-8'!J82</f>
        <v>-5390</v>
      </c>
      <c r="D6274" s="2" t="str">
        <f t="shared" si="97"/>
        <v>Error?</v>
      </c>
      <c r="E6274" s="2" t="s">
        <v>199</v>
      </c>
    </row>
    <row r="6275" spans="1:5" x14ac:dyDescent="0.2">
      <c r="A6275">
        <v>6214</v>
      </c>
      <c r="B6275" s="138">
        <f>'Acct Summary 7-8'!K82</f>
        <v>83</v>
      </c>
      <c r="D6275" s="2" t="str">
        <f t="shared" si="97"/>
        <v>Error?</v>
      </c>
      <c r="E6275" s="2" t="s">
        <v>199</v>
      </c>
    </row>
    <row r="6276" spans="1:5" x14ac:dyDescent="0.2">
      <c r="A6276">
        <v>6215</v>
      </c>
      <c r="B6276" s="138">
        <f>'Acct Summary 7-8'!C83</f>
        <v>5.2342620000079068E-2</v>
      </c>
      <c r="D6276" s="2" t="str">
        <f t="shared" si="97"/>
        <v>Error?</v>
      </c>
      <c r="E6276" s="2" t="s">
        <v>199</v>
      </c>
    </row>
    <row r="6277" spans="1:5" x14ac:dyDescent="0.2">
      <c r="A6277">
        <v>6216</v>
      </c>
      <c r="B6277" s="138">
        <f>'Acct Summary 7-8'!D83</f>
        <v>5.2868952490104315E-2</v>
      </c>
      <c r="D6277" s="2" t="str">
        <f t="shared" si="97"/>
        <v>Error?</v>
      </c>
      <c r="E6277" s="2" t="s">
        <v>199</v>
      </c>
    </row>
    <row r="6278" spans="1:5" x14ac:dyDescent="0.2">
      <c r="A6278">
        <v>6217</v>
      </c>
      <c r="B6278" s="138">
        <f>'Acct Summary 7-8'!E83</f>
        <v>0.11147485392320534</v>
      </c>
      <c r="D6278" s="2" t="str">
        <f t="shared" si="97"/>
        <v>Error?</v>
      </c>
      <c r="E6278" s="2" t="s">
        <v>199</v>
      </c>
    </row>
    <row r="6279" spans="1:5" x14ac:dyDescent="0.2">
      <c r="A6279">
        <v>6218</v>
      </c>
      <c r="B6279" s="138">
        <f>'Acct Summary 7-8'!F83</f>
        <v>0.15782584240936748</v>
      </c>
      <c r="D6279" s="2" t="str">
        <f t="shared" si="97"/>
        <v>Error?</v>
      </c>
      <c r="E6279" s="2" t="s">
        <v>199</v>
      </c>
    </row>
    <row r="6280" spans="1:5" x14ac:dyDescent="0.2">
      <c r="A6280">
        <v>6219</v>
      </c>
      <c r="B6280" s="138">
        <f>'Acct Summary 7-8'!G83</f>
        <v>0.15422000220910395</v>
      </c>
      <c r="D6280" s="2" t="str">
        <f t="shared" si="97"/>
        <v>Error?</v>
      </c>
      <c r="E6280" s="2" t="s">
        <v>199</v>
      </c>
    </row>
    <row r="6281" spans="1:5" x14ac:dyDescent="0.2">
      <c r="A6281">
        <v>6220</v>
      </c>
      <c r="B6281" s="138">
        <f>'Acct Summary 7-8'!H83</f>
        <v>0.67049119325229467</v>
      </c>
      <c r="D6281" s="2" t="str">
        <f t="shared" si="97"/>
        <v>Error?</v>
      </c>
      <c r="E6281" s="2" t="s">
        <v>199</v>
      </c>
    </row>
    <row r="6282" spans="1:5" x14ac:dyDescent="0.2">
      <c r="A6282">
        <v>6221</v>
      </c>
      <c r="B6282" s="138">
        <f>'Acct Summary 7-8'!I83</f>
        <v>0.16069241072961865</v>
      </c>
      <c r="D6282" s="2" t="str">
        <f t="shared" si="97"/>
        <v>Error?</v>
      </c>
      <c r="E6282" s="2" t="s">
        <v>199</v>
      </c>
    </row>
    <row r="6283" spans="1:5" x14ac:dyDescent="0.2">
      <c r="A6283">
        <v>6222</v>
      </c>
      <c r="B6283" s="138">
        <f>'Acct Summary 7-8'!J83</f>
        <v>-0.31713344316309722</v>
      </c>
      <c r="D6283" s="2" t="str">
        <f t="shared" si="97"/>
        <v>Error?</v>
      </c>
      <c r="E6283" s="2" t="s">
        <v>199</v>
      </c>
    </row>
    <row r="6284" spans="1:5" x14ac:dyDescent="0.2">
      <c r="A6284">
        <v>6223</v>
      </c>
      <c r="B6284" s="138">
        <f>'Acct Summary 7-8'!K83</f>
        <v>2.1807099130343394E-3</v>
      </c>
      <c r="D6284" s="2" t="str">
        <f t="shared" si="97"/>
        <v>Error?</v>
      </c>
      <c r="E6284" s="2" t="s">
        <v>199</v>
      </c>
    </row>
    <row r="6285" spans="1:5" x14ac:dyDescent="0.2">
      <c r="A6285">
        <v>6224</v>
      </c>
      <c r="B6285" s="138">
        <f>'Acct Summary 7-8'!E37</f>
        <v>19737</v>
      </c>
      <c r="D6285" s="2" t="str">
        <f t="shared" si="97"/>
        <v>Error?</v>
      </c>
      <c r="E6285" s="2" t="s">
        <v>199</v>
      </c>
    </row>
    <row r="6286" spans="1:5" x14ac:dyDescent="0.2">
      <c r="A6286">
        <v>6225</v>
      </c>
      <c r="B6286" s="138">
        <f>'Acct Summary 7-8'!E38</f>
        <v>963</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212336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212336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70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70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153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153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12000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3660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212559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7966</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74689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101636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32956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34297</v>
      </c>
      <c r="D6981" s="2" t="str">
        <f t="shared" si="108"/>
        <v>Error?</v>
      </c>
    </row>
    <row r="6982" spans="1:4" x14ac:dyDescent="0.2">
      <c r="A6982">
        <v>6921</v>
      </c>
      <c r="B6982" s="138">
        <f>'Expenditures 15-22'!K85</f>
        <v>34297</v>
      </c>
      <c r="D6982" s="2" t="str">
        <f t="shared" si="108"/>
        <v>Error?</v>
      </c>
    </row>
    <row r="6983" spans="1:4" x14ac:dyDescent="0.2">
      <c r="A6983">
        <v>6922</v>
      </c>
      <c r="B6983" s="138">
        <f>'Expenditures 15-22'!H86</f>
        <v>348974</v>
      </c>
      <c r="D6983" s="2" t="str">
        <f t="shared" si="108"/>
        <v>Error?</v>
      </c>
    </row>
    <row r="6984" spans="1:4" x14ac:dyDescent="0.2">
      <c r="A6984">
        <v>6923</v>
      </c>
      <c r="B6984" s="138">
        <f>'Expenditures 15-22'!K86</f>
        <v>348974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383271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217949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212559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2048</v>
      </c>
      <c r="D7067" s="2" t="str">
        <f t="shared" si="109"/>
        <v>Error?</v>
      </c>
    </row>
    <row r="7068" spans="1:4" x14ac:dyDescent="0.2">
      <c r="A7068">
        <v>7007</v>
      </c>
      <c r="B7068" s="138">
        <f>'Expenditures 15-22'!K205</f>
        <v>2048</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6810</v>
      </c>
      <c r="D7073" s="2" t="str">
        <f t="shared" si="109"/>
        <v>Error?</v>
      </c>
    </row>
    <row r="7074" spans="1:4" x14ac:dyDescent="0.2">
      <c r="A7074">
        <v>7013</v>
      </c>
      <c r="B7074" s="138">
        <f>'Expenditures 15-22'!K216</f>
        <v>6810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428</v>
      </c>
      <c r="D7079" s="2" t="str">
        <f t="shared" si="109"/>
        <v>Error?</v>
      </c>
    </row>
    <row r="7080" spans="1:4" x14ac:dyDescent="0.2">
      <c r="A7080">
        <v>7019</v>
      </c>
      <c r="B7080" s="138">
        <f>'Expenditures 15-22'!K226</f>
        <v>428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6012</v>
      </c>
      <c r="D7093" s="2" t="str">
        <f t="shared" si="109"/>
        <v>Error?</v>
      </c>
    </row>
    <row r="7094" spans="1:4" x14ac:dyDescent="0.2">
      <c r="A7094">
        <v>7033</v>
      </c>
      <c r="B7094" s="138">
        <f>'Expenditures 15-22'!K254</f>
        <v>6012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140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140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46929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46929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32500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32500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114197</v>
      </c>
      <c r="D7172" s="2" t="str">
        <f t="shared" si="111"/>
        <v>Error?</v>
      </c>
    </row>
    <row r="7173" spans="1:4" x14ac:dyDescent="0.2">
      <c r="A7173">
        <v>7112</v>
      </c>
      <c r="B7173" s="138">
        <f>'Expenditures 15-22'!D325</f>
        <v>4217</v>
      </c>
      <c r="D7173" s="2" t="str">
        <f t="shared" si="111"/>
        <v>Error?</v>
      </c>
    </row>
    <row r="7174" spans="1:4" x14ac:dyDescent="0.2">
      <c r="A7174">
        <v>7113</v>
      </c>
      <c r="B7174" s="138">
        <f>'Expenditures 15-22'!E325</f>
        <v>13479</v>
      </c>
      <c r="D7174" s="2" t="str">
        <f t="shared" si="111"/>
        <v>Error?</v>
      </c>
    </row>
    <row r="7175" spans="1:4" x14ac:dyDescent="0.2">
      <c r="A7175">
        <v>7114</v>
      </c>
      <c r="B7175" s="138">
        <f>'Expenditures 15-22'!F325</f>
        <v>1010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132903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4571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906</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5477</v>
      </c>
      <c r="D7198" s="2" t="str">
        <f t="shared" si="111"/>
        <v>Error?</v>
      </c>
    </row>
    <row r="7199" spans="1:4" x14ac:dyDescent="0.2">
      <c r="A7199">
        <v>7138</v>
      </c>
      <c r="B7199" s="138">
        <f>'Expenditures 15-22'!C330</f>
        <v>114197</v>
      </c>
      <c r="D7199" s="2" t="str">
        <f t="shared" si="111"/>
        <v>Error?</v>
      </c>
    </row>
    <row r="7200" spans="1:4" x14ac:dyDescent="0.2">
      <c r="A7200">
        <v>7139</v>
      </c>
      <c r="B7200" s="138">
        <f>'Expenditures 15-22'!D330</f>
        <v>4217</v>
      </c>
      <c r="D7200" s="2" t="str">
        <f t="shared" si="111"/>
        <v>Error?</v>
      </c>
    </row>
    <row r="7201" spans="1:4" x14ac:dyDescent="0.2">
      <c r="A7201">
        <v>7140</v>
      </c>
      <c r="B7201" s="138">
        <f>'Expenditures 15-22'!E330</f>
        <v>97619</v>
      </c>
      <c r="D7201" s="2" t="str">
        <f t="shared" si="111"/>
        <v>Error?</v>
      </c>
    </row>
    <row r="7202" spans="1:4" x14ac:dyDescent="0.2">
      <c r="A7202">
        <v>7141</v>
      </c>
      <c r="B7202" s="138">
        <f>'Expenditures 15-22'!F330</f>
        <v>1010</v>
      </c>
      <c r="D7202" s="2" t="str">
        <f t="shared" si="111"/>
        <v>Error?</v>
      </c>
    </row>
    <row r="7203" spans="1:4" x14ac:dyDescent="0.2">
      <c r="A7203">
        <v>7142</v>
      </c>
      <c r="B7203" s="138">
        <f>'Expenditures 15-22'!G330</f>
        <v>906</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217949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114197</v>
      </c>
      <c r="D7216" s="2" t="str">
        <f t="shared" si="111"/>
        <v>Error?</v>
      </c>
    </row>
    <row r="7217" spans="1:4" x14ac:dyDescent="0.2">
      <c r="A7217">
        <v>7156</v>
      </c>
      <c r="B7217" s="138">
        <f>'Expenditures 15-22'!D342</f>
        <v>4217</v>
      </c>
      <c r="D7217" s="2" t="str">
        <f t="shared" si="111"/>
        <v>Error?</v>
      </c>
    </row>
    <row r="7218" spans="1:4" x14ac:dyDescent="0.2">
      <c r="A7218">
        <v>7157</v>
      </c>
      <c r="B7218" s="138">
        <f>'Expenditures 15-22'!E342</f>
        <v>97619</v>
      </c>
      <c r="D7218" s="2" t="str">
        <f t="shared" si="111"/>
        <v>Error?</v>
      </c>
    </row>
    <row r="7219" spans="1:4" x14ac:dyDescent="0.2">
      <c r="A7219">
        <v>7158</v>
      </c>
      <c r="B7219" s="138">
        <f>'Expenditures 15-22'!F342</f>
        <v>1010</v>
      </c>
      <c r="D7219" s="2" t="str">
        <f t="shared" si="111"/>
        <v>Error?</v>
      </c>
    </row>
    <row r="7220" spans="1:4" x14ac:dyDescent="0.2">
      <c r="A7220">
        <v>7159</v>
      </c>
      <c r="B7220" s="138">
        <f>'Expenditures 15-22'!G342</f>
        <v>906</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217949</v>
      </c>
      <c r="D7224" s="2" t="str">
        <f t="shared" si="111"/>
        <v>Error?</v>
      </c>
    </row>
    <row r="7225" spans="1:4" x14ac:dyDescent="0.2">
      <c r="A7225">
        <v>7164</v>
      </c>
      <c r="B7225" s="138">
        <f>'Expenditures 15-22'!K343</f>
        <v>-5390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18612</v>
      </c>
      <c r="D7246" s="2" t="str">
        <f t="shared" si="112"/>
        <v>Error?</v>
      </c>
    </row>
    <row r="7247" spans="1:4" x14ac:dyDescent="0.2">
      <c r="A7247">
        <f t="shared" si="113"/>
        <v>7186</v>
      </c>
      <c r="B7247" s="138">
        <f>'Expenditures 15-22'!E7</f>
        <v>3309</v>
      </c>
      <c r="D7247" s="2" t="str">
        <f t="shared" si="112"/>
        <v>Error?</v>
      </c>
    </row>
    <row r="7248" spans="1:4" x14ac:dyDescent="0.2">
      <c r="A7248">
        <f t="shared" si="113"/>
        <v>7187</v>
      </c>
      <c r="B7248" s="138">
        <f>'Expenditures 15-22'!F7</f>
        <v>2333</v>
      </c>
      <c r="D7248" s="2" t="str">
        <f t="shared" si="112"/>
        <v>Error?</v>
      </c>
    </row>
    <row r="7249" spans="1:4" x14ac:dyDescent="0.2">
      <c r="A7249">
        <f t="shared" si="113"/>
        <v>7188</v>
      </c>
      <c r="B7249" s="138">
        <f>'Expenditures 15-22'!G7</f>
        <v>2693</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29545</v>
      </c>
      <c r="D7263" s="2" t="str">
        <f t="shared" si="112"/>
        <v>Error?</v>
      </c>
    </row>
    <row r="7264" spans="1:4" x14ac:dyDescent="0.2">
      <c r="A7264">
        <f t="shared" si="113"/>
        <v>7203</v>
      </c>
      <c r="B7264" s="138">
        <f>'Expenditures 15-22'!D17</f>
        <v>3411</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266297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2</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3660</v>
      </c>
      <c r="D7712" s="2" t="str">
        <f t="shared" si="126"/>
        <v>Error?</v>
      </c>
      <c r="E7712" s="2" t="s">
        <v>881</v>
      </c>
    </row>
    <row r="7713" spans="1:6" x14ac:dyDescent="0.2">
      <c r="A7713">
        <v>7652</v>
      </c>
      <c r="B7713" s="138">
        <f>'Rest Tax Levies-Tort Im 25'!J8</f>
        <v>229419</v>
      </c>
      <c r="D7713" s="2" t="str">
        <f t="shared" si="126"/>
        <v>Error?</v>
      </c>
      <c r="E7713" s="2" t="s">
        <v>881</v>
      </c>
    </row>
    <row r="7714" spans="1:6" x14ac:dyDescent="0.2">
      <c r="A7714">
        <v>7653</v>
      </c>
      <c r="B7714" s="138">
        <f>'Rest Tax Levies-Tort Im 25'!K9</f>
        <v>5902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229421</v>
      </c>
      <c r="D7718" s="2" t="str">
        <f t="shared" si="126"/>
        <v>Error?</v>
      </c>
      <c r="E7718" s="2" t="s">
        <v>881</v>
      </c>
    </row>
    <row r="7719" spans="1:6" x14ac:dyDescent="0.2">
      <c r="A7719">
        <v>7658</v>
      </c>
      <c r="B7719" s="138">
        <f>'Rest Tax Levies-Tort Im 25'!K12</f>
        <v>9562</v>
      </c>
      <c r="D7719" s="2" t="str">
        <f t="shared" si="126"/>
        <v>Error?</v>
      </c>
      <c r="E7719" s="2" t="s">
        <v>881</v>
      </c>
    </row>
    <row r="7720" spans="1:6" x14ac:dyDescent="0.2">
      <c r="A7720">
        <v>7659</v>
      </c>
      <c r="B7720" s="138">
        <f>'Rest Tax Levies-Tort Im 25'!H14</f>
        <v>22181</v>
      </c>
      <c r="D7720" s="2" t="str">
        <f t="shared" si="126"/>
        <v>Error?</v>
      </c>
      <c r="E7720" s="2" t="s">
        <v>881</v>
      </c>
    </row>
    <row r="7721" spans="1:6" x14ac:dyDescent="0.2">
      <c r="A7721">
        <v>7660</v>
      </c>
      <c r="B7721" s="138">
        <f>'Rest Tax Levies-Tort Im 25'!K14</f>
        <v>9562</v>
      </c>
      <c r="D7721" s="2" t="str">
        <f t="shared" si="126"/>
        <v>Error?</v>
      </c>
      <c r="E7721" s="2" t="s">
        <v>881</v>
      </c>
    </row>
    <row r="7722" spans="1:6" x14ac:dyDescent="0.2">
      <c r="A7722">
        <v>7661</v>
      </c>
      <c r="B7722" s="138">
        <f>'Rest Tax Levies-Tort Im 25'!J15</f>
        <v>59354</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149722</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149722</v>
      </c>
      <c r="D7727" s="2" t="str">
        <f t="shared" si="126"/>
        <v>Error?</v>
      </c>
      <c r="E7727" s="2" t="s">
        <v>881</v>
      </c>
    </row>
    <row r="7728" spans="1:6" x14ac:dyDescent="0.2">
      <c r="A7728">
        <v>7667</v>
      </c>
      <c r="B7728" s="138">
        <f>'Revenues 9-14'!E103</f>
        <v>170065</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209076</v>
      </c>
      <c r="D7730" s="2" t="str">
        <f t="shared" si="126"/>
        <v>Error?</v>
      </c>
      <c r="E7730" s="2" t="s">
        <v>881</v>
      </c>
    </row>
    <row r="7731" spans="1:6" x14ac:dyDescent="0.2">
      <c r="A7731">
        <v>7670</v>
      </c>
      <c r="B7731" s="138">
        <f>'Revenues 9-14'!H103</f>
        <v>59354</v>
      </c>
      <c r="D7731" s="2" t="str">
        <f t="shared" si="126"/>
        <v>Error?</v>
      </c>
      <c r="E7731" s="2" t="s">
        <v>881</v>
      </c>
    </row>
    <row r="7732" spans="1:6" x14ac:dyDescent="0.2">
      <c r="A7732">
        <v>7671</v>
      </c>
      <c r="B7732" s="138">
        <f>'Rest Tax Levies-Tort Im 25'!J24</f>
        <v>20345</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20345</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8" t="s">
        <v>1253</v>
      </c>
      <c r="B2" s="2418"/>
      <c r="C2" s="2418"/>
      <c r="D2" s="2418"/>
      <c r="E2" s="2418"/>
      <c r="F2" s="2418"/>
      <c r="G2" s="2418"/>
      <c r="H2" s="2418"/>
      <c r="I2" s="2418"/>
      <c r="J2" s="2418"/>
      <c r="K2" s="2418"/>
      <c r="L2" s="2418"/>
    </row>
    <row r="3" spans="1:29" ht="13.5" customHeight="1" x14ac:dyDescent="0.2">
      <c r="A3" s="2404" t="s">
        <v>1252</v>
      </c>
      <c r="B3" s="2404"/>
      <c r="C3" s="2404"/>
      <c r="D3" s="2404"/>
      <c r="E3" s="2404"/>
      <c r="F3" s="2404"/>
      <c r="G3" s="2404"/>
      <c r="H3" s="2404"/>
      <c r="I3" s="2404"/>
      <c r="J3" s="2404"/>
      <c r="K3" s="2404"/>
      <c r="L3" s="2404"/>
    </row>
    <row r="4" spans="1:29" ht="13.5" customHeight="1" x14ac:dyDescent="0.2">
      <c r="A4" s="2418" t="s">
        <v>1799</v>
      </c>
      <c r="B4" s="2435"/>
      <c r="C4" s="2435"/>
      <c r="D4" s="2435"/>
      <c r="E4" s="2435"/>
      <c r="F4" s="2435"/>
      <c r="G4" s="2435"/>
      <c r="H4" s="2435"/>
      <c r="I4" s="2435"/>
      <c r="J4" s="2435"/>
      <c r="K4" s="2435"/>
      <c r="L4" s="2435"/>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398" t="str">
        <f>COVER!A17</f>
        <v>Wethersfield Community Unit School District No. 230</v>
      </c>
      <c r="B7" s="2399"/>
      <c r="C7" s="2399"/>
      <c r="D7" s="2436"/>
      <c r="E7" s="2437">
        <f>COVER!A13</f>
        <v>28037230026</v>
      </c>
      <c r="F7" s="2438"/>
      <c r="G7" s="2405" t="str">
        <f>COVER!T23</f>
        <v>066-005027</v>
      </c>
      <c r="H7" s="2406"/>
      <c r="I7" s="2406"/>
      <c r="J7" s="2406"/>
      <c r="K7" s="2406"/>
      <c r="L7" s="2407"/>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08"/>
      <c r="B9" s="2409"/>
      <c r="C9" s="2409"/>
      <c r="D9" s="2409"/>
      <c r="E9" s="2409"/>
      <c r="F9" s="2410"/>
      <c r="G9" s="2411" t="str">
        <f>COVER!T13</f>
        <v>Gorenz and Associates, Ltd.</v>
      </c>
      <c r="H9" s="2412"/>
      <c r="I9" s="2412"/>
      <c r="J9" s="2412"/>
      <c r="K9" s="2412"/>
      <c r="L9" s="2413"/>
    </row>
    <row r="10" spans="1:29" ht="13.5" customHeight="1" x14ac:dyDescent="0.2">
      <c r="A10" s="2395" t="str">
        <f>COVER!A38</f>
        <v>Shane Kazubowski</v>
      </c>
      <c r="B10" s="2396"/>
      <c r="C10" s="2396"/>
      <c r="D10" s="2396"/>
      <c r="E10" s="2396"/>
      <c r="F10" s="2397"/>
      <c r="G10" s="2411" t="str">
        <f>COVER!T17</f>
        <v>4200 N Knoxville Ave</v>
      </c>
      <c r="H10" s="2424"/>
      <c r="I10" s="2424"/>
      <c r="J10" s="2424"/>
      <c r="K10" s="2424"/>
      <c r="L10" s="2425"/>
    </row>
    <row r="11" spans="1:29" ht="13.5" customHeight="1" x14ac:dyDescent="0.2">
      <c r="A11" s="1183" t="s">
        <v>1599</v>
      </c>
      <c r="B11" s="1184"/>
      <c r="C11" s="1185"/>
      <c r="D11" s="1190"/>
      <c r="E11" s="1185"/>
      <c r="F11" s="1189"/>
      <c r="G11" s="2411" t="str">
        <f>COVER!T19</f>
        <v>Peoria</v>
      </c>
      <c r="H11" s="2424"/>
      <c r="I11" s="2424"/>
      <c r="J11" s="2424"/>
      <c r="K11" s="2424"/>
      <c r="L11" s="2425"/>
    </row>
    <row r="12" spans="1:29" ht="13.5" customHeight="1" x14ac:dyDescent="0.2">
      <c r="A12" s="2429" t="s">
        <v>1598</v>
      </c>
      <c r="B12" s="2430"/>
      <c r="C12" s="2430"/>
      <c r="D12" s="2430"/>
      <c r="E12" s="2430"/>
      <c r="F12" s="2431"/>
      <c r="G12" s="2426"/>
      <c r="H12" s="2427"/>
      <c r="I12" s="2427"/>
      <c r="J12" s="2427"/>
      <c r="K12" s="2427"/>
      <c r="L12" s="2428"/>
    </row>
    <row r="13" spans="1:29" ht="13.5" customHeight="1" x14ac:dyDescent="0.2">
      <c r="A13" s="2411"/>
      <c r="B13" s="2424"/>
      <c r="C13" s="2424"/>
      <c r="D13" s="2424"/>
      <c r="E13" s="2424"/>
      <c r="F13" s="2425"/>
      <c r="G13" s="2419" t="s">
        <v>1600</v>
      </c>
      <c r="H13" s="2420"/>
      <c r="I13" s="2432" t="str">
        <f>COVER!T25</f>
        <v>tcustis@gorenzcpa.com</v>
      </c>
      <c r="J13" s="2433"/>
      <c r="K13" s="2433"/>
      <c r="L13" s="2434"/>
    </row>
    <row r="14" spans="1:29" ht="13.5" customHeight="1" x14ac:dyDescent="0.2">
      <c r="A14" s="2411" t="str">
        <f>COVER!A19</f>
        <v>439 Willard</v>
      </c>
      <c r="B14" s="2424"/>
      <c r="C14" s="2424"/>
      <c r="D14" s="2424"/>
      <c r="E14" s="2424"/>
      <c r="F14" s="2425"/>
      <c r="G14" s="1194" t="s">
        <v>1247</v>
      </c>
      <c r="H14" s="1192"/>
      <c r="I14" s="1192"/>
      <c r="J14" s="1192"/>
      <c r="K14" s="1192"/>
      <c r="L14" s="1193"/>
    </row>
    <row r="15" spans="1:29" ht="13.5" customHeight="1" x14ac:dyDescent="0.2">
      <c r="A15" s="2411" t="str">
        <f>COVER!A21</f>
        <v>Kewanee</v>
      </c>
      <c r="B15" s="2424"/>
      <c r="C15" s="2424"/>
      <c r="D15" s="2424"/>
      <c r="E15" s="2424"/>
      <c r="F15" s="2425"/>
      <c r="G15" s="2421" t="str">
        <f>COVER!T15</f>
        <v>Tim C. Custis, CPA</v>
      </c>
      <c r="H15" s="2422"/>
      <c r="I15" s="2422"/>
      <c r="J15" s="2422"/>
      <c r="K15" s="2422"/>
      <c r="L15" s="2423"/>
    </row>
    <row r="16" spans="1:29" ht="12.2" customHeight="1" x14ac:dyDescent="0.2">
      <c r="A16" s="2401">
        <f>COVER!A25</f>
        <v>0</v>
      </c>
      <c r="B16" s="2402"/>
      <c r="C16" s="2402"/>
      <c r="D16" s="2402"/>
      <c r="E16" s="2402"/>
      <c r="F16" s="2403"/>
      <c r="G16" s="2414"/>
      <c r="H16" s="2415"/>
      <c r="I16" s="2415"/>
      <c r="J16" s="2415"/>
      <c r="K16" s="2415"/>
      <c r="L16" s="2416"/>
    </row>
    <row r="17" spans="1:13" ht="12.2" customHeight="1" x14ac:dyDescent="0.2">
      <c r="A17" s="2417"/>
      <c r="B17" s="2402"/>
      <c r="C17" s="2402"/>
      <c r="D17" s="2402"/>
      <c r="E17" s="2402"/>
      <c r="F17" s="2403"/>
      <c r="G17" s="1194" t="s">
        <v>1246</v>
      </c>
      <c r="H17" s="1192"/>
      <c r="I17" s="1192"/>
      <c r="J17" s="1192"/>
      <c r="K17" s="1196" t="s">
        <v>1245</v>
      </c>
      <c r="L17" s="1189"/>
      <c r="M17" s="1182"/>
    </row>
    <row r="18" spans="1:13" ht="12.2" customHeight="1" x14ac:dyDescent="0.2">
      <c r="A18" s="2395"/>
      <c r="B18" s="2396"/>
      <c r="C18" s="2396"/>
      <c r="D18" s="2396"/>
      <c r="E18" s="2396"/>
      <c r="F18" s="2397"/>
      <c r="G18" s="2398" t="str">
        <f>COVER!T21</f>
        <v>309-685-7621</v>
      </c>
      <c r="H18" s="2399"/>
      <c r="I18" s="2399"/>
      <c r="J18" s="2399"/>
      <c r="K18" s="2398" t="str">
        <f>COVER!X21</f>
        <v>309-685-4758</v>
      </c>
      <c r="L18" s="2400"/>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1999999999999993" customHeight="1" x14ac:dyDescent="0.2">
      <c r="B25" s="1202" t="s">
        <v>1231</v>
      </c>
      <c r="C25" s="1203"/>
    </row>
    <row r="26" spans="1:13" s="1197" customFormat="1" ht="12.2" customHeight="1" x14ac:dyDescent="0.2">
      <c r="B26" s="1200"/>
      <c r="C26" s="1201" t="s">
        <v>1801</v>
      </c>
    </row>
    <row r="27" spans="1:13" s="1197" customFormat="1" ht="9.1999999999999993" customHeight="1" x14ac:dyDescent="0.2">
      <c r="B27" s="1202"/>
      <c r="C27" s="1201"/>
    </row>
    <row r="28" spans="1:13" s="1197" customFormat="1" ht="12.2" customHeight="1" x14ac:dyDescent="0.2">
      <c r="A28" s="1204"/>
      <c r="B28" s="1200"/>
      <c r="C28" s="1201" t="s">
        <v>1802</v>
      </c>
    </row>
    <row r="29" spans="1:13" s="1197" customFormat="1" ht="9.1999999999999993" customHeight="1" x14ac:dyDescent="0.2">
      <c r="A29" s="1204"/>
      <c r="B29" s="1202"/>
      <c r="C29" s="1201"/>
    </row>
    <row r="30" spans="1:13" s="1197" customFormat="1" ht="12.2" customHeight="1" x14ac:dyDescent="0.2">
      <c r="B30" s="1200"/>
      <c r="C30" s="1201" t="s">
        <v>1643</v>
      </c>
      <c r="D30" s="1195"/>
      <c r="E30" s="1195"/>
    </row>
    <row r="31" spans="1:13" s="1197" customFormat="1" ht="9.1999999999999993" customHeight="1" x14ac:dyDescent="0.2">
      <c r="B31" s="1202"/>
      <c r="C31" s="1201"/>
      <c r="D31" s="1195"/>
      <c r="E31" s="1195"/>
    </row>
    <row r="32" spans="1:13" s="1197" customFormat="1" ht="12.2" customHeight="1" x14ac:dyDescent="0.2">
      <c r="B32" s="1200"/>
      <c r="C32" s="1201" t="s">
        <v>1644</v>
      </c>
      <c r="D32" s="1195"/>
      <c r="E32" s="1195"/>
    </row>
    <row r="33" spans="1:8" s="1197" customFormat="1" ht="11.1" customHeight="1" x14ac:dyDescent="0.2">
      <c r="B33" s="1202"/>
      <c r="C33" s="1205" t="s">
        <v>1803</v>
      </c>
      <c r="D33" s="1195"/>
      <c r="E33" s="1195"/>
    </row>
    <row r="34" spans="1:8" ht="9.1999999999999993" customHeight="1" x14ac:dyDescent="0.2">
      <c r="B34" s="1202"/>
      <c r="C34" s="1205"/>
    </row>
    <row r="35" spans="1:8" s="1197" customFormat="1" ht="13.5" customHeight="1" x14ac:dyDescent="0.2">
      <c r="B35" s="1200"/>
      <c r="C35" s="1201" t="s">
        <v>1645</v>
      </c>
    </row>
    <row r="36" spans="1:8" s="1197" customFormat="1" ht="11.1" customHeight="1" x14ac:dyDescent="0.2">
      <c r="B36" s="1202"/>
      <c r="C36" s="1205" t="s">
        <v>1646</v>
      </c>
    </row>
    <row r="37" spans="1:8" ht="9.1999999999999993" customHeight="1" x14ac:dyDescent="0.2">
      <c r="B37" s="1202"/>
      <c r="C37" s="1205"/>
    </row>
    <row r="38" spans="1:8" s="1197" customFormat="1" ht="12.2" customHeight="1" x14ac:dyDescent="0.2">
      <c r="B38" s="1200"/>
      <c r="C38" s="1201" t="s">
        <v>1647</v>
      </c>
    </row>
    <row r="39" spans="1:8" ht="9.1999999999999993" customHeight="1" x14ac:dyDescent="0.2">
      <c r="B39" s="1202"/>
      <c r="C39" s="1205"/>
    </row>
    <row r="40" spans="1:8" s="1197" customFormat="1" ht="13.5" customHeight="1" x14ac:dyDescent="0.2">
      <c r="B40" s="1200"/>
      <c r="C40" s="1201" t="s">
        <v>1648</v>
      </c>
    </row>
    <row r="41" spans="1:8" ht="9.1999999999999993"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1999999999999993" customHeight="1" x14ac:dyDescent="0.2"/>
    <row r="48" spans="1:8" ht="12.2" customHeight="1" x14ac:dyDescent="0.2">
      <c r="B48" s="1209"/>
      <c r="C48" s="1210" t="s">
        <v>1650</v>
      </c>
    </row>
    <row r="49" spans="1:12" ht="9.1999999999999993"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39" t="str">
        <f>'Single Audit Cover'!A7</f>
        <v>Wethersfield Community Unit School District No. 230</v>
      </c>
      <c r="B1" s="2435"/>
      <c r="C1" s="2435"/>
      <c r="D1" s="2435"/>
    </row>
    <row r="2" spans="1:11" s="1213" customFormat="1" ht="12.75" x14ac:dyDescent="0.2">
      <c r="A2" s="2440">
        <f>'Single Audit Cover'!E7</f>
        <v>28037230026</v>
      </c>
      <c r="B2" s="2441"/>
      <c r="C2" s="2441"/>
      <c r="D2" s="2441"/>
    </row>
    <row r="3" spans="1:11" s="1213" customFormat="1" ht="12.75" x14ac:dyDescent="0.2">
      <c r="A3" s="2439" t="s">
        <v>1593</v>
      </c>
      <c r="B3" s="2435"/>
      <c r="C3" s="2435"/>
      <c r="D3" s="2435"/>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3" t="str">
        <f>'Single Audit Cover'!A7</f>
        <v>Wethersfield Community Unit School District No. 230</v>
      </c>
      <c r="B1" s="2443"/>
      <c r="C1" s="2443"/>
      <c r="D1" s="2443"/>
      <c r="E1" s="2443"/>
    </row>
    <row r="2" spans="1:5" x14ac:dyDescent="0.2">
      <c r="A2" s="2444">
        <f>'Single Audit Cover'!E7</f>
        <v>28037230026</v>
      </c>
      <c r="B2" s="2444"/>
      <c r="C2" s="2444"/>
      <c r="D2" s="2444"/>
      <c r="E2" s="2444"/>
    </row>
    <row r="3" spans="1:5" ht="4.5" customHeight="1" x14ac:dyDescent="0.2"/>
    <row r="4" spans="1:5" x14ac:dyDescent="0.2">
      <c r="A4" s="2443" t="s">
        <v>1307</v>
      </c>
      <c r="B4" s="2443"/>
      <c r="C4" s="2443"/>
      <c r="D4" s="2443"/>
      <c r="E4" s="2443"/>
    </row>
    <row r="5" spans="1:5" x14ac:dyDescent="0.2">
      <c r="A5" s="2446" t="str">
        <f>'Single Audit Cover'!A4</f>
        <v>Year Ending June 30, 2018</v>
      </c>
      <c r="B5" s="2446"/>
      <c r="C5" s="2446"/>
      <c r="D5" s="2446"/>
      <c r="E5" s="2446"/>
    </row>
    <row r="6" spans="1:5" x14ac:dyDescent="0.2">
      <c r="A6" s="2443" t="s">
        <v>1306</v>
      </c>
      <c r="B6" s="2443"/>
      <c r="C6" s="2443"/>
      <c r="D6" s="2443"/>
      <c r="E6" s="2443"/>
    </row>
    <row r="8" spans="1:5" x14ac:dyDescent="0.2">
      <c r="A8" s="1258" t="s">
        <v>1305</v>
      </c>
    </row>
    <row r="10" spans="1:5" x14ac:dyDescent="0.2">
      <c r="A10" s="1259" t="s">
        <v>1304</v>
      </c>
      <c r="B10" s="1260" t="s">
        <v>1303</v>
      </c>
      <c r="C10" s="1260"/>
      <c r="D10" s="1261">
        <f>SUM('Acct Summary 7-8'!C7:K7)</f>
        <v>326270</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21055</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-11628</v>
      </c>
    </row>
    <row r="19" spans="1:4" ht="13.5" thickBot="1" x14ac:dyDescent="0.25">
      <c r="A19" s="1263" t="s">
        <v>1297</v>
      </c>
      <c r="D19" s="1264">
        <f>SUM(D10:D17)</f>
        <v>335697</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5"/>
      <c r="B24" s="2445"/>
      <c r="D24" s="1266"/>
    </row>
    <row r="25" spans="1:4" x14ac:dyDescent="0.2">
      <c r="A25" s="2442"/>
      <c r="B25" s="2442"/>
      <c r="D25" s="1266"/>
    </row>
    <row r="26" spans="1:4" x14ac:dyDescent="0.2">
      <c r="A26" s="2442"/>
      <c r="B26" s="2442"/>
      <c r="D26" s="1266"/>
    </row>
    <row r="27" spans="1:4" x14ac:dyDescent="0.2">
      <c r="A27" s="2442"/>
      <c r="B27" s="2442"/>
      <c r="D27" s="1266"/>
    </row>
    <row r="28" spans="1:4" x14ac:dyDescent="0.2">
      <c r="A28" s="2442"/>
      <c r="B28" s="2442"/>
      <c r="D28" s="1266"/>
    </row>
    <row r="29" spans="1:4" x14ac:dyDescent="0.2">
      <c r="A29" s="2442"/>
      <c r="B29" s="2442"/>
      <c r="D29" s="1266"/>
    </row>
    <row r="30" spans="1:4" x14ac:dyDescent="0.2">
      <c r="A30" s="2442"/>
      <c r="B30" s="2442"/>
      <c r="D30" s="1266"/>
    </row>
    <row r="32" spans="1:4" x14ac:dyDescent="0.2">
      <c r="A32" s="1258" t="s">
        <v>1295</v>
      </c>
      <c r="D32" s="1261">
        <f>SUM(D19:D30)</f>
        <v>335697</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2"/>
      <c r="B40" s="2442"/>
      <c r="D40" s="1266"/>
    </row>
    <row r="41" spans="1:4" x14ac:dyDescent="0.2">
      <c r="A41" s="2442"/>
      <c r="B41" s="2442"/>
      <c r="D41" s="1269"/>
    </row>
    <row r="42" spans="1:4" x14ac:dyDescent="0.2">
      <c r="A42" s="2442"/>
      <c r="B42" s="2442"/>
      <c r="D42" s="1269"/>
    </row>
    <row r="43" spans="1:4" x14ac:dyDescent="0.2">
      <c r="A43" s="2442"/>
      <c r="B43" s="2442"/>
      <c r="D43" s="1269"/>
    </row>
    <row r="44" spans="1:4" x14ac:dyDescent="0.2">
      <c r="A44" s="2442"/>
      <c r="B44" s="2442"/>
      <c r="D44" s="1269"/>
    </row>
    <row r="45" spans="1:4" x14ac:dyDescent="0.2">
      <c r="A45" s="2442"/>
      <c r="B45" s="2442"/>
      <c r="D45" s="1269"/>
    </row>
    <row r="47" spans="1:4" x14ac:dyDescent="0.2">
      <c r="B47" s="1270" t="s">
        <v>1289</v>
      </c>
      <c r="C47" s="1270"/>
      <c r="D47" s="1271">
        <f>SUM(D35:D45)</f>
        <v>0</v>
      </c>
    </row>
    <row r="49" spans="2:4" x14ac:dyDescent="0.2">
      <c r="B49" s="1270" t="s">
        <v>1288</v>
      </c>
      <c r="C49" s="1270"/>
      <c r="D49" s="1271">
        <f>D32-D47</f>
        <v>335697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Wethersfield Community Unit School District No. 230</v>
      </c>
      <c r="B1" s="2448"/>
      <c r="C1" s="2448"/>
      <c r="D1" s="2448"/>
      <c r="E1" s="2448"/>
      <c r="F1" s="2448"/>
    </row>
    <row r="2" spans="1:7" ht="13.5" customHeight="1" x14ac:dyDescent="0.2">
      <c r="A2" s="2449">
        <f>'Single Audit Cover'!E7</f>
        <v>28037230026</v>
      </c>
      <c r="B2" s="2449"/>
      <c r="C2" s="2449"/>
      <c r="D2" s="2449"/>
      <c r="E2" s="2449"/>
      <c r="F2" s="2449"/>
      <c r="G2" s="1273"/>
    </row>
    <row r="3" spans="1:7" ht="15.95" customHeight="1" x14ac:dyDescent="0.2">
      <c r="A3" s="2450" t="s">
        <v>1333</v>
      </c>
      <c r="B3" s="2450"/>
      <c r="C3" s="2450"/>
      <c r="D3" s="2450"/>
      <c r="E3" s="2450"/>
      <c r="F3" s="2450"/>
    </row>
    <row r="4" spans="1:7" ht="13.5" customHeight="1" x14ac:dyDescent="0.2">
      <c r="A4" s="2451" t="str">
        <f>'Single Audit Cover'!A4</f>
        <v>Year Ending June 30, 2018</v>
      </c>
      <c r="B4" s="2451"/>
      <c r="C4" s="2451"/>
      <c r="D4" s="2451"/>
      <c r="E4" s="2451"/>
      <c r="F4" s="2451"/>
    </row>
    <row r="5" spans="1:7" ht="8.25" customHeight="1" x14ac:dyDescent="0.2">
      <c r="C5" s="317"/>
      <c r="D5" s="317"/>
    </row>
    <row r="6" spans="1:7" ht="13.5" customHeight="1" x14ac:dyDescent="0.2">
      <c r="A6" s="1274" t="s">
        <v>1831</v>
      </c>
      <c r="C6" s="317"/>
      <c r="D6" s="317"/>
    </row>
    <row r="7" spans="1:7" ht="60.95" customHeight="1" x14ac:dyDescent="0.2">
      <c r="A7" s="2447" t="s">
        <v>1832</v>
      </c>
      <c r="B7" s="2447"/>
      <c r="C7" s="2447"/>
      <c r="D7" s="2447"/>
      <c r="E7" s="2447"/>
      <c r="F7" s="2447"/>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47" t="s">
        <v>1834</v>
      </c>
      <c r="B13" s="2447"/>
      <c r="C13" s="2447"/>
      <c r="D13" s="2447"/>
      <c r="E13" s="2447"/>
      <c r="F13" s="2447"/>
    </row>
    <row r="14" spans="1:7" ht="9.75" customHeight="1" x14ac:dyDescent="0.2">
      <c r="C14" s="1258"/>
      <c r="D14" s="1258"/>
    </row>
    <row r="15" spans="1:7" ht="13.5" customHeight="1" x14ac:dyDescent="0.2">
      <c r="C15" s="1869" t="s">
        <v>1332</v>
      </c>
      <c r="D15" s="2453" t="s">
        <v>1331</v>
      </c>
      <c r="E15" s="2453"/>
      <c r="F15" s="2453"/>
    </row>
    <row r="16" spans="1:7" ht="13.5" customHeight="1" x14ac:dyDescent="0.2">
      <c r="A16" s="1280"/>
      <c r="B16" s="1274" t="s">
        <v>1330</v>
      </c>
      <c r="C16" s="1869" t="s">
        <v>1329</v>
      </c>
      <c r="D16" s="2454" t="s">
        <v>1670</v>
      </c>
      <c r="E16" s="2454"/>
      <c r="F16" s="2454"/>
    </row>
    <row r="17" spans="1:6" ht="20.45" customHeight="1" x14ac:dyDescent="0.2">
      <c r="A17" s="1281"/>
      <c r="B17" s="1282"/>
      <c r="C17" s="1283"/>
      <c r="D17" s="2452"/>
      <c r="E17" s="2452"/>
      <c r="F17" s="2452"/>
    </row>
    <row r="18" spans="1:6" ht="20.65" customHeight="1" x14ac:dyDescent="0.2">
      <c r="A18" s="1281"/>
      <c r="B18" s="1282"/>
      <c r="C18" s="1283"/>
      <c r="D18" s="2452"/>
      <c r="E18" s="2452"/>
      <c r="F18" s="2452"/>
    </row>
    <row r="19" spans="1:6" ht="20.65" customHeight="1" x14ac:dyDescent="0.2">
      <c r="A19" s="1281"/>
      <c r="B19" s="1282"/>
      <c r="C19" s="1283"/>
      <c r="D19" s="2452"/>
      <c r="E19" s="2452"/>
      <c r="F19" s="2452"/>
    </row>
    <row r="20" spans="1:6" ht="20.65" customHeight="1" x14ac:dyDescent="0.2">
      <c r="A20" s="1281"/>
      <c r="B20" s="1282"/>
      <c r="C20" s="1283"/>
      <c r="D20" s="2452"/>
      <c r="E20" s="2452"/>
      <c r="F20" s="2452"/>
    </row>
    <row r="21" spans="1:6" ht="20.65" customHeight="1" x14ac:dyDescent="0.2">
      <c r="A21" s="1281"/>
      <c r="B21" s="1282"/>
      <c r="C21" s="1283"/>
      <c r="D21" s="2452"/>
      <c r="E21" s="2452"/>
      <c r="F21" s="2452"/>
    </row>
    <row r="22" spans="1:6" ht="20.65" customHeight="1" x14ac:dyDescent="0.2">
      <c r="A22" s="1281"/>
      <c r="B22" s="1282"/>
      <c r="C22" s="1283"/>
      <c r="D22" s="2452"/>
      <c r="E22" s="2452"/>
      <c r="F22" s="2452"/>
    </row>
    <row r="23" spans="1:6" ht="20.65" customHeight="1" x14ac:dyDescent="0.2">
      <c r="A23" s="1281"/>
      <c r="B23" s="1282"/>
      <c r="C23" s="1283"/>
      <c r="D23" s="2452"/>
      <c r="E23" s="2452"/>
      <c r="F23" s="2452"/>
    </row>
    <row r="24" spans="1:6" ht="20.65" customHeight="1" x14ac:dyDescent="0.2">
      <c r="A24" s="1281"/>
      <c r="B24" s="1282"/>
      <c r="C24" s="1283"/>
      <c r="D24" s="2452"/>
      <c r="E24" s="2452"/>
      <c r="F24" s="2452"/>
    </row>
    <row r="25" spans="1:6" ht="20.65" customHeight="1" x14ac:dyDescent="0.2">
      <c r="A25" s="1281"/>
      <c r="B25" s="1282"/>
      <c r="C25" s="1283"/>
      <c r="D25" s="2452"/>
      <c r="E25" s="2452"/>
      <c r="F25" s="2452"/>
    </row>
    <row r="26" spans="1:6" ht="20.65" customHeight="1" x14ac:dyDescent="0.2">
      <c r="A26" s="1281"/>
      <c r="B26" s="1282"/>
      <c r="C26" s="1283"/>
      <c r="D26" s="2452"/>
      <c r="E26" s="2452"/>
      <c r="F26" s="2452"/>
    </row>
    <row r="27" spans="1:6" ht="20.65" customHeight="1" x14ac:dyDescent="0.2">
      <c r="A27" s="1281"/>
      <c r="B27" s="1282"/>
      <c r="C27" s="1283"/>
      <c r="D27" s="2452"/>
      <c r="E27" s="2452"/>
      <c r="F27" s="2452"/>
    </row>
    <row r="28" spans="1:6" ht="20.65" customHeight="1" x14ac:dyDescent="0.2">
      <c r="A28" s="1281"/>
      <c r="B28" s="1282"/>
      <c r="C28" s="1283"/>
      <c r="D28" s="2452"/>
      <c r="E28" s="2452"/>
      <c r="F28" s="2452"/>
    </row>
    <row r="29" spans="1:6" ht="20.65" customHeight="1" x14ac:dyDescent="0.2">
      <c r="A29" s="1281"/>
      <c r="B29" s="1282"/>
      <c r="C29" s="1283"/>
      <c r="D29" s="2452"/>
      <c r="E29" s="2452"/>
      <c r="F29" s="2452"/>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6" t="s">
        <v>1835</v>
      </c>
      <c r="B32" s="2456"/>
      <c r="C32" s="2456"/>
      <c r="D32" s="2456"/>
      <c r="E32" s="2456"/>
      <c r="F32" s="2456"/>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57">
        <f>+C33+C34</f>
        <v>0</v>
      </c>
      <c r="F34" s="2458"/>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45" customHeight="1" x14ac:dyDescent="0.2">
      <c r="A49" s="1297">
        <v>5</v>
      </c>
      <c r="B49" s="2459" t="s">
        <v>1672</v>
      </c>
      <c r="C49" s="2459"/>
      <c r="D49" s="2459"/>
      <c r="E49" s="1397"/>
    </row>
    <row r="50" spans="1:5" s="1298" customFormat="1" ht="3.75" customHeight="1" x14ac:dyDescent="0.2">
      <c r="A50" s="1297"/>
      <c r="B50" s="1868"/>
      <c r="C50" s="1868"/>
      <c r="D50" s="1868"/>
      <c r="E50" s="1397"/>
    </row>
    <row r="51" spans="1:5" s="1298" customFormat="1" ht="20.25" customHeight="1" x14ac:dyDescent="0.2">
      <c r="A51" s="1299">
        <v>6</v>
      </c>
      <c r="B51" s="2455" t="s">
        <v>1632</v>
      </c>
      <c r="C51" s="2455"/>
      <c r="D51" s="2455"/>
    </row>
    <row r="52" spans="1:5" ht="14.25" customHeight="1" x14ac:dyDescent="0.2">
      <c r="A52" s="1299"/>
      <c r="B52" s="2455"/>
      <c r="C52" s="2455"/>
      <c r="D52" s="245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4" t="str">
        <f>'Single Audit Cover'!A7</f>
        <v>Wethersfield Community Unit School District No. 230</v>
      </c>
      <c r="C1" s="2460"/>
      <c r="D1" s="2460"/>
      <c r="E1" s="2460"/>
      <c r="F1" s="2460"/>
      <c r="G1" s="2460"/>
      <c r="H1" s="2460"/>
      <c r="I1" s="2460"/>
      <c r="J1" s="2460"/>
      <c r="K1" s="2460"/>
      <c r="L1" s="2460"/>
      <c r="M1" s="2460"/>
    </row>
    <row r="2" spans="2:14" ht="15" x14ac:dyDescent="0.2">
      <c r="B2" s="2449">
        <f>'Single Audit Cover'!E7</f>
        <v>28037230026</v>
      </c>
      <c r="C2" s="2449"/>
      <c r="D2" s="2449"/>
      <c r="E2" s="2449"/>
      <c r="F2" s="2449"/>
      <c r="G2" s="2449"/>
      <c r="H2" s="2449"/>
      <c r="I2" s="2449"/>
      <c r="J2" s="2449"/>
      <c r="K2" s="2449"/>
      <c r="L2" s="2449"/>
      <c r="M2" s="2449"/>
      <c r="N2" s="1300"/>
    </row>
    <row r="3" spans="2:14" ht="15" x14ac:dyDescent="0.2">
      <c r="B3" s="2461" t="s">
        <v>1281</v>
      </c>
      <c r="C3" s="2461"/>
      <c r="D3" s="2461"/>
      <c r="E3" s="2461"/>
      <c r="F3" s="2461"/>
      <c r="G3" s="2461"/>
      <c r="H3" s="2461"/>
      <c r="I3" s="2461"/>
      <c r="J3" s="2461"/>
      <c r="K3" s="2461"/>
      <c r="L3" s="2461"/>
      <c r="M3" s="2461"/>
      <c r="N3" s="1300"/>
    </row>
    <row r="4" spans="2:14" ht="15" x14ac:dyDescent="0.2">
      <c r="B4" s="2462" t="str">
        <f>'Single Audit Cover'!A4</f>
        <v>Year Ending June 30, 2018</v>
      </c>
      <c r="C4" s="2462"/>
      <c r="D4" s="2462"/>
      <c r="E4" s="2462"/>
      <c r="F4" s="2462"/>
      <c r="G4" s="2462"/>
      <c r="H4" s="2462"/>
      <c r="I4" s="2462"/>
      <c r="J4" s="2462"/>
      <c r="K4" s="2462"/>
      <c r="L4" s="2462"/>
      <c r="M4" s="2462"/>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t="s">
        <v>1231</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5"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1230</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2" t="s">
        <v>1731</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2" t="s">
        <v>331</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9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t="s">
        <v>2125</v>
      </c>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1999999999999993" customHeight="1" x14ac:dyDescent="0.2">
      <c r="A67" s="254"/>
      <c r="B67" s="2095"/>
      <c r="C67" s="2096"/>
      <c r="D67" s="2096"/>
      <c r="E67" s="2096"/>
      <c r="F67" s="2096"/>
      <c r="G67" s="2096"/>
      <c r="H67" s="2096"/>
      <c r="I67" s="2096"/>
      <c r="J67" s="2097"/>
    </row>
    <row r="68" spans="1:10" s="181" customFormat="1" ht="9.1999999999999993"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1390</v>
      </c>
      <c r="B70" s="2085"/>
      <c r="C70" s="2085"/>
      <c r="D70" s="2085"/>
      <c r="E70" s="2086"/>
      <c r="F70" s="2086"/>
      <c r="G70" s="2086"/>
      <c r="H70" s="2086"/>
      <c r="I70" s="2086"/>
    </row>
    <row r="71" spans="1:10" s="181" customFormat="1" x14ac:dyDescent="0.2">
      <c r="A71" s="219"/>
      <c r="C71" s="257"/>
      <c r="D71" s="258" t="s">
        <v>1389</v>
      </c>
      <c r="E71" s="256"/>
      <c r="F71" s="256"/>
      <c r="G71" s="256"/>
      <c r="H71" s="256"/>
    </row>
    <row r="72" spans="1:10" s="181" customFormat="1" ht="5.4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1387</v>
      </c>
      <c r="B83" s="2087"/>
      <c r="C83" s="2087"/>
      <c r="D83" s="208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9" t="s">
        <v>2126</v>
      </c>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2084</v>
      </c>
      <c r="D114" s="207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1397</v>
      </c>
      <c r="D117" s="2080"/>
      <c r="E117" s="2081"/>
      <c r="F117" s="2081"/>
      <c r="G117" s="2081"/>
      <c r="H117" s="2081"/>
      <c r="I117" s="304"/>
    </row>
    <row r="118" spans="1:9" s="181" customFormat="1" ht="24" customHeight="1" x14ac:dyDescent="0.2">
      <c r="A118" s="316"/>
      <c r="B118" s="316"/>
      <c r="C118" s="316"/>
      <c r="D118" s="323" t="s">
        <v>2146</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4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Wethersfield Community Unit School District No. 230</v>
      </c>
      <c r="C1" s="2468"/>
      <c r="D1" s="2468"/>
      <c r="E1" s="2468"/>
      <c r="F1" s="2468"/>
      <c r="G1" s="2468"/>
      <c r="H1" s="2468"/>
      <c r="I1" s="2468"/>
      <c r="J1" s="1420"/>
    </row>
    <row r="2" spans="2:10" s="317" customFormat="1" ht="12.75" customHeight="1" x14ac:dyDescent="0.2">
      <c r="B2" s="2469">
        <f>'Single Audit Cover'!E7</f>
        <v>28037230026</v>
      </c>
      <c r="C2" s="2470"/>
      <c r="D2" s="2470"/>
      <c r="E2" s="2470"/>
      <c r="F2" s="2470"/>
      <c r="G2" s="2470"/>
      <c r="H2" s="2470"/>
      <c r="I2" s="2470"/>
      <c r="J2" s="1420"/>
    </row>
    <row r="3" spans="2:10" s="317" customFormat="1" ht="12.75" customHeight="1" x14ac:dyDescent="0.2">
      <c r="B3" s="2471" t="s">
        <v>1347</v>
      </c>
      <c r="C3" s="2472"/>
      <c r="D3" s="2472"/>
      <c r="E3" s="2472"/>
      <c r="F3" s="2472"/>
      <c r="G3" s="2472"/>
      <c r="H3" s="2472"/>
      <c r="I3" s="2472"/>
      <c r="J3" s="1421"/>
    </row>
    <row r="4" spans="2:10" s="317" customFormat="1" ht="12.75" customHeight="1" x14ac:dyDescent="0.2">
      <c r="B4" s="2471" t="str">
        <f>'Single Audit Cover'!A4</f>
        <v>Year Ending June 30, 2018</v>
      </c>
      <c r="C4" s="2472"/>
      <c r="D4" s="2472"/>
      <c r="E4" s="2472"/>
      <c r="F4" s="2472"/>
      <c r="G4" s="2472"/>
      <c r="H4" s="2472"/>
      <c r="I4" s="2472"/>
    </row>
    <row r="5" spans="2:10" s="317" customFormat="1" ht="6.4" customHeight="1" x14ac:dyDescent="0.2">
      <c r="B5" s="1422" t="s">
        <v>1231</v>
      </c>
      <c r="C5" s="1292"/>
      <c r="D5" s="1292"/>
      <c r="E5" s="1381"/>
      <c r="F5" s="322"/>
      <c r="G5" s="322"/>
      <c r="H5" s="322"/>
      <c r="I5" s="322"/>
    </row>
    <row r="6" spans="2:10" s="317" customFormat="1" ht="6.4" customHeight="1" x14ac:dyDescent="0.2">
      <c r="B6" s="1423"/>
      <c r="C6" s="1377"/>
      <c r="D6" s="1377"/>
      <c r="E6" s="1378"/>
      <c r="F6" s="1377"/>
      <c r="G6" s="1377"/>
      <c r="H6" s="1377"/>
      <c r="I6" s="1377"/>
    </row>
    <row r="7" spans="2:10" s="317" customFormat="1" ht="13.5" customHeight="1" x14ac:dyDescent="0.2">
      <c r="B7" s="2471" t="s">
        <v>1346</v>
      </c>
      <c r="C7" s="2472"/>
      <c r="D7" s="2472"/>
      <c r="E7" s="2472"/>
      <c r="F7" s="2472"/>
      <c r="G7" s="2472"/>
      <c r="H7" s="2472"/>
      <c r="I7" s="2472"/>
    </row>
    <row r="8" spans="2:10" s="317" customFormat="1" ht="6.4" customHeight="1" x14ac:dyDescent="0.2">
      <c r="B8" s="1424" t="s">
        <v>1231</v>
      </c>
      <c r="C8" s="1425"/>
      <c r="D8" s="1425"/>
      <c r="E8" s="1426"/>
      <c r="F8" s="1425"/>
      <c r="G8" s="1425"/>
      <c r="H8" s="1425"/>
      <c r="I8" s="1425"/>
    </row>
    <row r="9" spans="2:10" s="317" customFormat="1" ht="9.1999999999999993"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3"/>
      <c r="D11" s="2473"/>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4"/>
      <c r="E29" s="2474"/>
      <c r="F29" s="2474"/>
      <c r="G29" s="2474"/>
      <c r="H29" s="2474"/>
      <c r="I29" s="2474"/>
    </row>
    <row r="30" spans="2:9" s="317" customFormat="1" x14ac:dyDescent="0.2">
      <c r="B30" s="1366"/>
      <c r="C30" s="322"/>
      <c r="D30" s="1431" t="s">
        <v>1851</v>
      </c>
      <c r="E30" s="1432"/>
      <c r="F30" s="1432"/>
      <c r="G30" s="1432"/>
      <c r="H30" s="1432"/>
      <c r="I30" s="1432"/>
    </row>
    <row r="31" spans="2:9" s="317" customFormat="1" ht="10.15"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75" t="s">
        <v>1854</v>
      </c>
      <c r="D37" s="2476"/>
      <c r="E37" s="2476"/>
      <c r="F37" s="2477"/>
      <c r="G37" s="2475" t="s">
        <v>1674</v>
      </c>
      <c r="H37" s="2476"/>
      <c r="I37" s="2477"/>
    </row>
    <row r="38" spans="2:9" ht="16.5" customHeight="1" x14ac:dyDescent="0.2">
      <c r="B38" s="1442"/>
      <c r="C38" s="2463"/>
      <c r="D38" s="2464"/>
      <c r="E38" s="2464"/>
      <c r="F38" s="2465"/>
      <c r="G38" s="2478"/>
      <c r="H38" s="2479"/>
      <c r="I38" s="2480"/>
    </row>
    <row r="39" spans="2:9" ht="16.5" customHeight="1" x14ac:dyDescent="0.2">
      <c r="B39" s="1442"/>
      <c r="C39" s="2463"/>
      <c r="D39" s="2464"/>
      <c r="E39" s="2464"/>
      <c r="F39" s="2465"/>
      <c r="G39" s="2466"/>
      <c r="H39" s="2466"/>
      <c r="I39" s="2466"/>
    </row>
    <row r="40" spans="2:9" ht="16.5" customHeight="1" x14ac:dyDescent="0.2">
      <c r="B40" s="1442"/>
      <c r="C40" s="2463"/>
      <c r="D40" s="2464"/>
      <c r="E40" s="2464"/>
      <c r="F40" s="2465"/>
      <c r="G40" s="2466"/>
      <c r="H40" s="2466"/>
      <c r="I40" s="2466"/>
    </row>
    <row r="41" spans="2:9" ht="16.5" customHeight="1" x14ac:dyDescent="0.2">
      <c r="B41" s="1442"/>
      <c r="C41" s="2463"/>
      <c r="D41" s="2464"/>
      <c r="E41" s="2464"/>
      <c r="F41" s="2465"/>
      <c r="G41" s="2466"/>
      <c r="H41" s="2466"/>
      <c r="I41" s="2466"/>
    </row>
    <row r="42" spans="2:9" ht="16.5" customHeight="1" x14ac:dyDescent="0.2">
      <c r="B42" s="1442"/>
      <c r="C42" s="2463"/>
      <c r="D42" s="2464"/>
      <c r="E42" s="2464"/>
      <c r="F42" s="2465"/>
      <c r="G42" s="2466"/>
      <c r="H42" s="2466"/>
      <c r="I42" s="2466"/>
    </row>
    <row r="43" spans="2:9" ht="16.5" customHeight="1" x14ac:dyDescent="0.2">
      <c r="B43" s="1442"/>
      <c r="C43" s="2481" t="s">
        <v>1675</v>
      </c>
      <c r="D43" s="2482"/>
      <c r="E43" s="2482"/>
      <c r="F43" s="2483"/>
      <c r="G43" s="2484">
        <f>SUM(G38:I42)</f>
        <v>0</v>
      </c>
      <c r="H43" s="2484"/>
      <c r="I43" s="2484"/>
    </row>
    <row r="44" spans="2:9" ht="12.75" customHeight="1" x14ac:dyDescent="0.2"/>
    <row r="45" spans="2:9" ht="12.75" customHeight="1" x14ac:dyDescent="0.2">
      <c r="B45" s="1433" t="s">
        <v>1952</v>
      </c>
      <c r="D45" s="2485">
        <v>0</v>
      </c>
      <c r="E45" s="2486"/>
    </row>
    <row r="46" spans="2:9" ht="5.45" customHeight="1" x14ac:dyDescent="0.2">
      <c r="B46" s="1443"/>
      <c r="D46" s="1444"/>
      <c r="E46" s="1445"/>
    </row>
    <row r="47" spans="2:9" ht="12.75" customHeight="1" x14ac:dyDescent="0.2">
      <c r="B47" s="1298" t="s">
        <v>1676</v>
      </c>
      <c r="C47" s="1298"/>
      <c r="D47" s="1446" t="e">
        <f>+G43/D45</f>
        <v>#DIV/0!</v>
      </c>
      <c r="E47" s="1447"/>
      <c r="F47" s="1448"/>
      <c r="I47" s="1449"/>
    </row>
    <row r="48" spans="2:9" ht="10.15" customHeight="1" x14ac:dyDescent="0.2"/>
    <row r="49" spans="1:9" x14ac:dyDescent="0.2">
      <c r="B49" s="1366" t="s">
        <v>1335</v>
      </c>
      <c r="C49" s="1280"/>
      <c r="D49" s="1280"/>
      <c r="E49" s="2487"/>
      <c r="F49" s="2487"/>
      <c r="G49" s="2487"/>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Wethersfield Community Unit School District No. 230</v>
      </c>
      <c r="C1" s="2467"/>
      <c r="D1" s="2467"/>
      <c r="E1" s="2467"/>
      <c r="F1" s="2467"/>
      <c r="G1" s="2467"/>
      <c r="H1" s="2467"/>
      <c r="I1" s="2467"/>
      <c r="J1" s="2467"/>
      <c r="K1" s="2467"/>
      <c r="L1" s="1372"/>
      <c r="M1" s="1372"/>
    </row>
    <row r="2" spans="1:13" ht="12" customHeight="1" x14ac:dyDescent="0.2">
      <c r="B2" s="2469">
        <f>'Single Audit Cover'!E7</f>
        <v>28037230026</v>
      </c>
      <c r="C2" s="2469"/>
      <c r="D2" s="2469"/>
      <c r="E2" s="2469"/>
      <c r="F2" s="2469"/>
      <c r="G2" s="2469"/>
      <c r="H2" s="2469"/>
      <c r="I2" s="2469"/>
      <c r="J2" s="2469"/>
      <c r="K2" s="2469"/>
      <c r="L2" s="1373"/>
      <c r="M2" s="1374"/>
    </row>
    <row r="3" spans="1:13" ht="10.35" customHeight="1" x14ac:dyDescent="0.2">
      <c r="B3" s="2490" t="s">
        <v>1347</v>
      </c>
      <c r="C3" s="2490"/>
      <c r="D3" s="2490"/>
      <c r="E3" s="2490"/>
      <c r="F3" s="2490"/>
      <c r="G3" s="2490"/>
      <c r="H3" s="2490"/>
      <c r="I3" s="2490"/>
      <c r="J3" s="2490"/>
      <c r="K3" s="2490"/>
      <c r="L3" s="1375"/>
      <c r="M3" s="1375"/>
    </row>
    <row r="4" spans="1:13" ht="14.25" customHeight="1" x14ac:dyDescent="0.2">
      <c r="B4" s="2491" t="str">
        <f>'Single Audit Cover'!A4</f>
        <v>Year Ending June 30, 2018</v>
      </c>
      <c r="C4" s="2491"/>
      <c r="D4" s="2491"/>
      <c r="E4" s="2491"/>
      <c r="F4" s="2491"/>
      <c r="G4" s="2491"/>
      <c r="H4" s="2491"/>
      <c r="I4" s="2491"/>
      <c r="J4" s="2491"/>
      <c r="K4" s="2491"/>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1" t="s">
        <v>1363</v>
      </c>
      <c r="C7" s="2491"/>
      <c r="D7" s="2492"/>
      <c r="E7" s="2492"/>
      <c r="F7" s="2492"/>
      <c r="G7" s="2492"/>
      <c r="H7" s="2492"/>
      <c r="I7" s="2492"/>
      <c r="J7" s="2492"/>
      <c r="K7" s="2492"/>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c r="H10" s="1387" t="s">
        <v>1361</v>
      </c>
      <c r="I10" s="1386" t="s">
        <v>2094</v>
      </c>
      <c r="J10" s="1388" t="s">
        <v>1360</v>
      </c>
      <c r="K10" s="322"/>
      <c r="L10" s="1379"/>
    </row>
    <row r="11" spans="1:13" ht="13.5" customHeight="1" x14ac:dyDescent="0.2">
      <c r="B11" s="322"/>
      <c r="C11" s="322"/>
      <c r="D11" s="322"/>
      <c r="E11" s="322"/>
      <c r="F11" s="322"/>
      <c r="G11" s="1381"/>
      <c r="H11" s="322"/>
      <c r="I11" s="1389" t="s">
        <v>1359</v>
      </c>
      <c r="J11" s="322"/>
      <c r="K11" s="1390">
        <v>2007</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89" t="s">
        <v>2117</v>
      </c>
      <c r="C14" s="2489"/>
      <c r="D14" s="2489"/>
      <c r="E14" s="2489"/>
      <c r="F14" s="2489"/>
      <c r="G14" s="2489"/>
      <c r="H14" s="2489"/>
      <c r="I14" s="2489"/>
      <c r="J14" s="2489"/>
      <c r="K14" s="2489"/>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89" t="s">
        <v>2118</v>
      </c>
      <c r="C17" s="2489"/>
      <c r="D17" s="2489"/>
      <c r="E17" s="2489"/>
      <c r="F17" s="2489"/>
      <c r="G17" s="2489"/>
      <c r="H17" s="2489"/>
      <c r="I17" s="2489"/>
      <c r="J17" s="2489"/>
      <c r="K17" s="2489"/>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3" t="s">
        <v>2119</v>
      </c>
      <c r="C20" s="2493"/>
      <c r="D20" s="2489"/>
      <c r="E20" s="2489"/>
      <c r="F20" s="2489"/>
      <c r="G20" s="2489"/>
      <c r="H20" s="2489"/>
      <c r="I20" s="2489"/>
      <c r="J20" s="2489"/>
      <c r="K20" s="2489"/>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2" customHeight="1" x14ac:dyDescent="0.2">
      <c r="B23" s="2489" t="s">
        <v>2120</v>
      </c>
      <c r="C23" s="2489"/>
      <c r="D23" s="2489"/>
      <c r="E23" s="2489"/>
      <c r="F23" s="2489"/>
      <c r="G23" s="2489"/>
      <c r="H23" s="2489"/>
      <c r="I23" s="2489"/>
      <c r="J23" s="2489"/>
      <c r="K23" s="2489"/>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89" t="s">
        <v>2121</v>
      </c>
      <c r="C26" s="2489"/>
      <c r="D26" s="2489"/>
      <c r="E26" s="2489"/>
      <c r="F26" s="2489"/>
      <c r="G26" s="2489"/>
      <c r="H26" s="2489"/>
      <c r="I26" s="2489"/>
      <c r="J26" s="2489"/>
      <c r="K26" s="2489"/>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88" t="s">
        <v>2122</v>
      </c>
      <c r="C29" s="2488"/>
      <c r="D29" s="2489"/>
      <c r="E29" s="2489"/>
      <c r="F29" s="2489"/>
      <c r="G29" s="2489"/>
      <c r="H29" s="2489"/>
      <c r="I29" s="2489"/>
      <c r="J29" s="2489"/>
      <c r="K29" s="2489"/>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88" t="s">
        <v>2123</v>
      </c>
      <c r="C32" s="2488"/>
      <c r="D32" s="2489"/>
      <c r="E32" s="2489"/>
      <c r="F32" s="2489"/>
      <c r="G32" s="2489"/>
      <c r="H32" s="2489"/>
      <c r="I32" s="2489"/>
      <c r="J32" s="2489"/>
      <c r="K32" s="2489"/>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75"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4" t="str">
        <f>'Single Audit Cover'!A7</f>
        <v>Wethersfield Community Unit School District No. 230</v>
      </c>
      <c r="C1" s="2494"/>
      <c r="D1" s="2494"/>
      <c r="E1" s="2494"/>
      <c r="F1" s="2494"/>
      <c r="G1" s="2494"/>
      <c r="H1" s="2494"/>
      <c r="I1" s="2494"/>
      <c r="J1" s="2494"/>
      <c r="K1" s="2494"/>
      <c r="L1" s="1463"/>
    </row>
    <row r="2" spans="1:12" ht="12.75" customHeight="1" x14ac:dyDescent="0.2">
      <c r="B2" s="2495">
        <f>'Single Audit Cover'!E7</f>
        <v>28037230026</v>
      </c>
      <c r="C2" s="2495"/>
      <c r="D2" s="2495"/>
      <c r="E2" s="2495"/>
      <c r="F2" s="2495"/>
      <c r="G2" s="2495"/>
      <c r="H2" s="2495"/>
      <c r="I2" s="2495"/>
      <c r="J2" s="2495"/>
      <c r="K2" s="2495"/>
      <c r="L2" s="1464"/>
    </row>
    <row r="3" spans="1:12" ht="12.75" customHeight="1" x14ac:dyDescent="0.2">
      <c r="B3" s="2490" t="s">
        <v>1347</v>
      </c>
      <c r="C3" s="2490"/>
      <c r="D3" s="2490"/>
      <c r="E3" s="2490"/>
      <c r="F3" s="2490"/>
      <c r="G3" s="2490"/>
      <c r="H3" s="2490"/>
      <c r="I3" s="2490"/>
      <c r="J3" s="2490"/>
      <c r="K3" s="2490"/>
      <c r="L3" s="1375"/>
    </row>
    <row r="4" spans="1:12" ht="12.75" customHeight="1" x14ac:dyDescent="0.2">
      <c r="B4" s="2490" t="str">
        <f>'Single Audit Cover'!A4</f>
        <v>Year Ending June 30, 2018</v>
      </c>
      <c r="C4" s="2490"/>
      <c r="D4" s="2490"/>
      <c r="E4" s="2490"/>
      <c r="F4" s="2490"/>
      <c r="G4" s="2490"/>
      <c r="H4" s="2490"/>
      <c r="I4" s="2490"/>
      <c r="J4" s="2490"/>
      <c r="K4" s="2490"/>
      <c r="L4" s="1375"/>
    </row>
    <row r="5" spans="1:12" ht="5.45" customHeight="1" x14ac:dyDescent="0.2">
      <c r="B5" s="1258" t="s">
        <v>1231</v>
      </c>
      <c r="C5" s="1258"/>
      <c r="L5" s="322"/>
    </row>
    <row r="6" spans="1:12" ht="30.75" customHeight="1" x14ac:dyDescent="0.2">
      <c r="A6" s="322"/>
      <c r="B6" s="2496" t="s">
        <v>1375</v>
      </c>
      <c r="C6" s="2496"/>
      <c r="D6" s="2496"/>
      <c r="E6" s="2496"/>
      <c r="F6" s="2496"/>
      <c r="G6" s="2496"/>
      <c r="H6" s="2496"/>
      <c r="I6" s="2496"/>
      <c r="J6" s="2496"/>
      <c r="K6" s="2496"/>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4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74"/>
      <c r="G12" s="2474"/>
      <c r="H12" s="2474"/>
      <c r="I12" s="2474"/>
      <c r="J12" s="2474"/>
      <c r="K12" s="2474"/>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7"/>
      <c r="E14" s="2497"/>
      <c r="F14" s="2497"/>
      <c r="H14" s="1473" t="s">
        <v>1370</v>
      </c>
      <c r="I14" s="2498"/>
      <c r="J14" s="2498"/>
      <c r="K14" s="2498"/>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8"/>
      <c r="E16" s="2498"/>
      <c r="F16" s="2498"/>
      <c r="G16" s="2498"/>
      <c r="H16" s="2498"/>
      <c r="I16" s="2498"/>
      <c r="J16" s="2498"/>
      <c r="K16" s="2498"/>
      <c r="L16" s="322"/>
    </row>
    <row r="17" spans="2:12" ht="13.5" customHeight="1" x14ac:dyDescent="0.2">
      <c r="B17" s="1385" t="s">
        <v>1368</v>
      </c>
      <c r="C17" s="1385"/>
      <c r="D17" s="2499"/>
      <c r="E17" s="2499"/>
      <c r="F17" s="2499"/>
      <c r="G17" s="2499"/>
      <c r="H17" s="2499"/>
      <c r="I17" s="2499"/>
      <c r="J17" s="2499"/>
      <c r="K17" s="2499"/>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89"/>
      <c r="C20" s="2489"/>
      <c r="D20" s="2489"/>
      <c r="E20" s="2489"/>
      <c r="F20" s="2489"/>
      <c r="G20" s="2489"/>
      <c r="H20" s="2489"/>
      <c r="I20" s="2489"/>
      <c r="J20" s="2489"/>
      <c r="K20" s="2489"/>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700000000000003" customHeight="1" x14ac:dyDescent="0.2">
      <c r="B23" s="2489"/>
      <c r="C23" s="2489"/>
      <c r="D23" s="2489"/>
      <c r="E23" s="2489"/>
      <c r="F23" s="2489"/>
      <c r="G23" s="2489"/>
      <c r="H23" s="2489"/>
      <c r="I23" s="2489"/>
      <c r="J23" s="2489"/>
      <c r="K23" s="2489"/>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700000000000003" customHeight="1" x14ac:dyDescent="0.2">
      <c r="B26" s="2489"/>
      <c r="C26" s="2489"/>
      <c r="D26" s="2489"/>
      <c r="E26" s="2489"/>
      <c r="F26" s="2489"/>
      <c r="G26" s="2489"/>
      <c r="H26" s="2489"/>
      <c r="I26" s="2489"/>
      <c r="J26" s="2489"/>
      <c r="K26" s="2489"/>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700000000000003" customHeight="1" x14ac:dyDescent="0.2">
      <c r="B29" s="2489"/>
      <c r="C29" s="2489"/>
      <c r="D29" s="2489"/>
      <c r="E29" s="2489"/>
      <c r="F29" s="2489"/>
      <c r="G29" s="2489"/>
      <c r="H29" s="2489"/>
      <c r="I29" s="2489"/>
      <c r="J29" s="2489"/>
      <c r="K29" s="2489"/>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700000000000003" customHeight="1" x14ac:dyDescent="0.2">
      <c r="B32" s="2489"/>
      <c r="C32" s="2489"/>
      <c r="D32" s="2489"/>
      <c r="E32" s="2489"/>
      <c r="F32" s="2489"/>
      <c r="G32" s="2489"/>
      <c r="H32" s="2489"/>
      <c r="I32" s="2489"/>
      <c r="J32" s="2489"/>
      <c r="K32" s="2489"/>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700000000000003" customHeight="1" x14ac:dyDescent="0.2">
      <c r="B35" s="2489"/>
      <c r="C35" s="2489"/>
      <c r="D35" s="2489"/>
      <c r="E35" s="2489"/>
      <c r="F35" s="2489"/>
      <c r="G35" s="2489"/>
      <c r="H35" s="2489"/>
      <c r="I35" s="2489"/>
      <c r="J35" s="2489"/>
      <c r="K35" s="2489"/>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950000000000003" customHeight="1" x14ac:dyDescent="0.2">
      <c r="B41" s="2489"/>
      <c r="C41" s="2489"/>
      <c r="D41" s="2489"/>
      <c r="E41" s="2489"/>
      <c r="F41" s="2489"/>
      <c r="G41" s="2489"/>
      <c r="H41" s="2489"/>
      <c r="I41" s="2489"/>
      <c r="J41" s="2489"/>
      <c r="K41" s="2489"/>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67" t="str">
        <f>'Single Audit Cover'!A7</f>
        <v>Wethersfield Community Unit School District No. 230</v>
      </c>
      <c r="C1" s="2467"/>
      <c r="D1" s="2467"/>
      <c r="E1" s="1489"/>
    </row>
    <row r="2" spans="2:5" s="1280" customFormat="1" ht="12.75" customHeight="1" x14ac:dyDescent="0.2">
      <c r="B2" s="2469">
        <f>'Single Audit Cover'!E7</f>
        <v>28037230026</v>
      </c>
      <c r="C2" s="2469"/>
      <c r="D2" s="2469"/>
      <c r="E2" s="1490"/>
    </row>
    <row r="3" spans="2:5" ht="12.75" customHeight="1" x14ac:dyDescent="0.2">
      <c r="B3" s="2490" t="s">
        <v>1869</v>
      </c>
      <c r="C3" s="2490"/>
      <c r="D3" s="2490"/>
      <c r="E3" s="1272"/>
    </row>
    <row r="4" spans="2:5" s="1280" customFormat="1" ht="12.75" customHeight="1" x14ac:dyDescent="0.2">
      <c r="B4" s="2500" t="str">
        <f>'Single Audit Cover'!A4</f>
        <v>Year Ending June 30, 2018</v>
      </c>
      <c r="C4" s="2500"/>
      <c r="D4" s="2500"/>
      <c r="E4" s="1491"/>
    </row>
    <row r="5" spans="2:5" s="1280" customFormat="1" ht="40.3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2115</v>
      </c>
      <c r="C7" s="324" t="s">
        <v>2116</v>
      </c>
      <c r="D7" s="324" t="s">
        <v>2124</v>
      </c>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404</v>
      </c>
      <c r="B1" s="2098"/>
      <c r="C1" s="2098"/>
      <c r="D1" s="2098"/>
      <c r="E1" s="2098"/>
      <c r="F1" s="2098"/>
      <c r="G1" s="2098"/>
      <c r="H1" s="2098"/>
      <c r="I1" s="2098"/>
      <c r="J1" s="2098"/>
      <c r="K1" s="2098"/>
      <c r="L1" s="2098"/>
      <c r="M1" s="2098"/>
      <c r="N1" s="346"/>
    </row>
    <row r="2" spans="1:14" ht="11.1"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56783077</v>
      </c>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2.5999999999999999E-2</v>
      </c>
      <c r="E10" s="356" t="s">
        <v>1062</v>
      </c>
      <c r="F10" s="355">
        <v>5.0000000000000001E-3</v>
      </c>
      <c r="G10" s="356" t="s">
        <v>1062</v>
      </c>
      <c r="H10" s="355">
        <v>2E-3</v>
      </c>
      <c r="I10" s="356" t="s">
        <v>1063</v>
      </c>
      <c r="J10" s="1752">
        <f>ROUND(D10+F10+H10,5)</f>
        <v>3.3000000000000002E-2</v>
      </c>
      <c r="K10" s="222"/>
      <c r="L10" s="355">
        <v>5.0000000000000001E-4</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5206867</v>
      </c>
      <c r="E16" s="356"/>
      <c r="F16" s="1753">
        <f>SUM('Acct Summary 7-8'!C17,'Acct Summary 7-8'!D17,'Acct Summary 7-8'!F17)</f>
        <v>5051975</v>
      </c>
      <c r="G16" s="356"/>
      <c r="H16" s="1753">
        <f>SUM(D16-F16)</f>
        <v>154892</v>
      </c>
      <c r="I16" s="222"/>
      <c r="J16" s="1753">
        <f>SUM('Acct Summary 7-8'!C81,'Acct Summary 7-8'!D81,'Acct Summary 7-8'!F81,'Acct Summary 7-8'!I81)</f>
        <v>2329333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1999999999999993"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7836064.6260000011</v>
      </c>
      <c r="I31" s="368"/>
      <c r="J31" s="222"/>
      <c r="K31" s="222"/>
      <c r="L31" s="222"/>
      <c r="M31" s="222"/>
    </row>
    <row r="32" spans="1:13" ht="13.35" customHeight="1" x14ac:dyDescent="0.2">
      <c r="B32" s="369" t="s">
        <v>2094</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2100684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577</v>
      </c>
      <c r="B2" s="2117"/>
      <c r="C2" s="2117"/>
      <c r="D2" s="2117"/>
      <c r="E2" s="2117"/>
      <c r="F2" s="2117"/>
      <c r="G2" s="2117"/>
      <c r="H2" s="2117"/>
      <c r="I2" s="2117"/>
      <c r="J2" s="2117"/>
      <c r="K2" s="2117"/>
      <c r="L2" s="2117"/>
      <c r="M2" s="2117"/>
      <c r="N2" s="2117"/>
      <c r="O2" s="2117"/>
      <c r="P2" s="2117"/>
      <c r="Q2" s="2117"/>
      <c r="R2" s="2117"/>
    </row>
    <row r="3" spans="1:18" ht="12.75" x14ac:dyDescent="0.2">
      <c r="A3" s="2118" t="s">
        <v>1480</v>
      </c>
      <c r="B3" s="2118"/>
      <c r="C3" s="2118"/>
      <c r="D3" s="2118"/>
      <c r="E3" s="2118"/>
      <c r="F3" s="2118"/>
      <c r="G3" s="2118"/>
      <c r="H3" s="2118"/>
      <c r="I3" s="2118"/>
      <c r="J3" s="2118"/>
      <c r="K3" s="2118"/>
      <c r="L3" s="2118"/>
      <c r="M3" s="2118"/>
      <c r="N3" s="2118"/>
      <c r="O3" s="2118"/>
      <c r="P3" s="2118"/>
      <c r="Q3" s="2118"/>
      <c r="R3" s="2118"/>
    </row>
    <row r="4" spans="1:18" x14ac:dyDescent="0.2">
      <c r="A4" s="2119" t="s">
        <v>1635</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Wethersfield Community Unit School District No. 230</v>
      </c>
      <c r="E7" s="391"/>
      <c r="G7" s="252"/>
      <c r="H7" s="387"/>
      <c r="I7" s="387"/>
      <c r="J7" s="387"/>
      <c r="K7" s="387"/>
      <c r="L7" s="329"/>
      <c r="M7" s="329"/>
      <c r="N7" s="329"/>
      <c r="O7" s="329"/>
      <c r="P7" s="329"/>
    </row>
    <row r="8" spans="1:18" ht="12.75" x14ac:dyDescent="0.2">
      <c r="A8" s="329"/>
      <c r="B8" s="329"/>
      <c r="C8" s="389" t="s">
        <v>1187</v>
      </c>
      <c r="D8" s="392">
        <f>COVER!A13</f>
        <v>28037230026</v>
      </c>
      <c r="E8" s="393"/>
      <c r="G8" s="329"/>
      <c r="H8" s="329"/>
      <c r="I8" s="329"/>
      <c r="J8" s="329"/>
      <c r="K8" s="329"/>
      <c r="L8" s="329"/>
      <c r="M8" s="329"/>
      <c r="N8" s="329"/>
      <c r="O8" s="329"/>
      <c r="P8" s="329"/>
    </row>
    <row r="9" spans="1:18" ht="12.75" x14ac:dyDescent="0.2">
      <c r="A9" s="329"/>
      <c r="B9" s="329"/>
      <c r="C9" s="389" t="s">
        <v>737</v>
      </c>
      <c r="D9" s="394" t="str">
        <f>COVER!A15</f>
        <v>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2329333</v>
      </c>
      <c r="I12" s="404"/>
      <c r="J12" s="404"/>
      <c r="K12" s="405">
        <f>TRUNC((H12/H13*100000),5)/100000</f>
        <v>0.44914346180000003</v>
      </c>
      <c r="L12" s="406"/>
      <c r="M12" s="360" t="s">
        <v>1206</v>
      </c>
      <c r="N12" s="360"/>
      <c r="O12" s="407">
        <v>0.35</v>
      </c>
      <c r="P12" s="218"/>
      <c r="Q12" s="218"/>
    </row>
    <row r="13" spans="1:18" s="408" customFormat="1" ht="12.75" x14ac:dyDescent="0.2">
      <c r="A13" s="218"/>
      <c r="B13" s="401"/>
      <c r="C13" s="2115" t="s">
        <v>1391</v>
      </c>
      <c r="D13" s="2116"/>
      <c r="E13" s="218"/>
      <c r="F13" s="409" t="s">
        <v>826</v>
      </c>
      <c r="G13" s="402"/>
      <c r="H13" s="403">
        <f>SUM('Acct Summary 7-8'!C8+'Acct Summary 7-8'!D8+'Acct Summary 7-8'!F8+'Acct Summary 7-8'!I8)+H14</f>
        <v>5186167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-20700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5051975</v>
      </c>
      <c r="I17" s="404"/>
      <c r="J17" s="416"/>
      <c r="K17" s="405">
        <f>TRUNC((H17/H18*100000),5)/100000</f>
        <v>0.97412501369999993</v>
      </c>
      <c r="L17" s="406"/>
      <c r="M17" s="417" t="s">
        <v>1233</v>
      </c>
      <c r="O17" s="418" t="str">
        <f>IF(AND(O16="2", J20 &gt; 2),"1",IF(AND(O16 = "1", J20 &gt; 2),"2",IF(AND(O16="1", J20 &gt;1),"1","0")))</f>
        <v>0</v>
      </c>
      <c r="P17" s="218"/>
    </row>
    <row r="18" spans="1:18" s="408" customFormat="1" ht="11.25" x14ac:dyDescent="0.2">
      <c r="A18" s="218"/>
      <c r="B18" s="401"/>
      <c r="C18" s="2115" t="s">
        <v>1384</v>
      </c>
      <c r="D18" s="2116"/>
      <c r="E18" s="218"/>
      <c r="F18" s="419" t="s">
        <v>827</v>
      </c>
      <c r="G18" s="402"/>
      <c r="H18" s="403">
        <f>SUM('Acct Summary 7-8'!C8+'Acct Summary 7-8'!D8+'Acct Summary 7-8'!F8+'Acct Summary 7-8'!I8)+H19</f>
        <v>5186167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-20700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2" t="s">
        <v>1479</v>
      </c>
      <c r="D24" s="2112"/>
      <c r="E24" s="218"/>
      <c r="F24" s="218" t="s">
        <v>465</v>
      </c>
      <c r="G24" s="402"/>
      <c r="H24" s="403">
        <f>SUM('Assets-Liab 5-6'!C4+'Assets-Liab 5-6'!D4+'Assets-Liab 5-6'!F4+'Assets-Liab 5-6'!I4+'Assets-Liab 5-6'!C5+'Assets-Liab 5-6'!D5+'Assets-Liab 5-6'!F5+'Assets-Liab 5-6'!I5)</f>
        <v>2329333</v>
      </c>
      <c r="I24" s="422"/>
      <c r="J24" s="422"/>
      <c r="K24" s="423">
        <f>TRUNC(((H24/H25*100000)/100000),2)</f>
        <v>165.98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14033.26389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1592765.3098500001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2100684</v>
      </c>
      <c r="I32" s="420"/>
      <c r="J32" s="420"/>
      <c r="K32" s="423">
        <f>TRUNC(100-((((H32/H33*100))*100)/100),2)</f>
        <v>73.19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7836064.6260000011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2" t="s">
        <v>1030</v>
      </c>
      <c r="B3" s="2123"/>
      <c r="C3" s="1579"/>
      <c r="D3" s="1580"/>
      <c r="E3" s="1580"/>
      <c r="F3" s="1580"/>
      <c r="G3" s="1580"/>
      <c r="H3" s="1580"/>
      <c r="I3" s="1580"/>
      <c r="J3" s="1580"/>
      <c r="K3" s="1580"/>
      <c r="L3" s="1580"/>
      <c r="M3" s="1581"/>
      <c r="N3" s="1582"/>
    </row>
    <row r="4" spans="1:14" ht="13.5" customHeight="1" x14ac:dyDescent="0.2">
      <c r="A4" s="463" t="s">
        <v>1750</v>
      </c>
      <c r="B4" s="464"/>
      <c r="C4" s="465">
        <v>1082633</v>
      </c>
      <c r="D4" s="465">
        <v>175958</v>
      </c>
      <c r="E4" s="466">
        <v>346484</v>
      </c>
      <c r="F4" s="466">
        <v>189760</v>
      </c>
      <c r="G4" s="466">
        <v>162962</v>
      </c>
      <c r="H4" s="466">
        <v>290232</v>
      </c>
      <c r="I4" s="466">
        <v>174694</v>
      </c>
      <c r="J4" s="467">
        <v>16996</v>
      </c>
      <c r="K4" s="466">
        <v>38061</v>
      </c>
      <c r="L4" s="466">
        <v>564594</v>
      </c>
      <c r="M4" s="468"/>
      <c r="N4" s="469"/>
    </row>
    <row r="5" spans="1:14" x14ac:dyDescent="0.2">
      <c r="A5" s="463" t="s">
        <v>1049</v>
      </c>
      <c r="B5" s="470">
        <v>120</v>
      </c>
      <c r="C5" s="465">
        <v>687970</v>
      </c>
      <c r="D5" s="466">
        <v>12508</v>
      </c>
      <c r="E5" s="466">
        <v>190220</v>
      </c>
      <c r="F5" s="466">
        <v>5810</v>
      </c>
      <c r="G5" s="466">
        <v>0</v>
      </c>
      <c r="H5" s="466">
        <v>0</v>
      </c>
      <c r="I5" s="466">
        <v>0</v>
      </c>
      <c r="J5" s="467">
        <v>0</v>
      </c>
      <c r="K5" s="471">
        <v>0</v>
      </c>
      <c r="L5" s="472">
        <v>321658</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1770603</v>
      </c>
      <c r="D13" s="1757">
        <f t="shared" ref="D13:L13" si="0">SUM(D4:D12)</f>
        <v>188466</v>
      </c>
      <c r="E13" s="1757">
        <f t="shared" si="0"/>
        <v>536704</v>
      </c>
      <c r="F13" s="1757">
        <f t="shared" si="0"/>
        <v>195570</v>
      </c>
      <c r="G13" s="1757">
        <f t="shared" si="0"/>
        <v>162962</v>
      </c>
      <c r="H13" s="1757">
        <f t="shared" si="0"/>
        <v>290232</v>
      </c>
      <c r="I13" s="1757">
        <f t="shared" si="0"/>
        <v>174694</v>
      </c>
      <c r="J13" s="1757">
        <f t="shared" si="0"/>
        <v>16996</v>
      </c>
      <c r="K13" s="1757">
        <f t="shared" si="0"/>
        <v>38061</v>
      </c>
      <c r="L13" s="1757">
        <f t="shared" si="0"/>
        <v>886252</v>
      </c>
      <c r="M13" s="468"/>
      <c r="N13" s="469"/>
    </row>
    <row r="14" spans="1:14" ht="18" customHeight="1" thickTop="1" x14ac:dyDescent="0.2">
      <c r="A14" s="2124" t="s">
        <v>149</v>
      </c>
      <c r="B14" s="2125"/>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39570</v>
      </c>
      <c r="N16" s="483"/>
    </row>
    <row r="17" spans="1:14" s="484" customFormat="1" ht="12.75" customHeight="1" x14ac:dyDescent="0.2">
      <c r="A17" s="481" t="s">
        <v>1470</v>
      </c>
      <c r="B17" s="482">
        <v>230</v>
      </c>
      <c r="C17" s="476"/>
      <c r="D17" s="476"/>
      <c r="E17" s="476"/>
      <c r="F17" s="476"/>
      <c r="G17" s="476"/>
      <c r="H17" s="476"/>
      <c r="I17" s="476"/>
      <c r="J17" s="476"/>
      <c r="K17" s="476"/>
      <c r="L17" s="476"/>
      <c r="M17" s="467">
        <v>5911331</v>
      </c>
      <c r="N17" s="483"/>
    </row>
    <row r="18" spans="1:14" s="484" customFormat="1" ht="12.75" customHeight="1" x14ac:dyDescent="0.2">
      <c r="A18" s="481" t="s">
        <v>1471</v>
      </c>
      <c r="B18" s="482">
        <v>240</v>
      </c>
      <c r="C18" s="476"/>
      <c r="D18" s="476"/>
      <c r="E18" s="476"/>
      <c r="F18" s="476"/>
      <c r="G18" s="476"/>
      <c r="H18" s="476"/>
      <c r="I18" s="476"/>
      <c r="J18" s="476"/>
      <c r="K18" s="476"/>
      <c r="L18" s="476"/>
      <c r="M18" s="467">
        <v>1089969</v>
      </c>
      <c r="N18" s="483"/>
    </row>
    <row r="19" spans="1:14" s="484" customFormat="1" ht="12.75" customHeight="1" x14ac:dyDescent="0.2">
      <c r="A19" s="481" t="s">
        <v>1472</v>
      </c>
      <c r="B19" s="482">
        <v>250</v>
      </c>
      <c r="C19" s="476"/>
      <c r="D19" s="476"/>
      <c r="E19" s="476"/>
      <c r="F19" s="476"/>
      <c r="G19" s="476"/>
      <c r="H19" s="476"/>
      <c r="I19" s="476"/>
      <c r="J19" s="476"/>
      <c r="K19" s="476"/>
      <c r="L19" s="476"/>
      <c r="M19" s="467">
        <v>1440876</v>
      </c>
      <c r="N19" s="483"/>
    </row>
    <row r="20" spans="1:14" s="484" customFormat="1" ht="12.75" customHeight="1" x14ac:dyDescent="0.2">
      <c r="A20" s="481" t="s">
        <v>1473</v>
      </c>
      <c r="B20" s="482">
        <v>260</v>
      </c>
      <c r="C20" s="476"/>
      <c r="D20" s="476"/>
      <c r="E20" s="476"/>
      <c r="F20" s="476"/>
      <c r="G20" s="476"/>
      <c r="H20" s="476"/>
      <c r="I20" s="476"/>
      <c r="J20" s="476"/>
      <c r="K20" s="476"/>
      <c r="L20" s="476"/>
      <c r="M20" s="467">
        <v>39379</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536704</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1563980</v>
      </c>
    </row>
    <row r="23" spans="1:14" ht="13.5" customHeight="1" thickBot="1" x14ac:dyDescent="0.25">
      <c r="A23" s="1756" t="s">
        <v>664</v>
      </c>
      <c r="B23" s="1761"/>
      <c r="C23" s="468"/>
      <c r="D23" s="468"/>
      <c r="E23" s="468"/>
      <c r="F23" s="468"/>
      <c r="G23" s="468"/>
      <c r="H23" s="468"/>
      <c r="I23" s="468"/>
      <c r="J23" s="468"/>
      <c r="K23" s="468"/>
      <c r="L23" s="468"/>
      <c r="M23" s="1708">
        <f>SUM(M15:M22)</f>
        <v>8521125</v>
      </c>
      <c r="N23" s="1708">
        <f>SUM(N21:N22)</f>
        <v>2100684</v>
      </c>
    </row>
    <row r="24" spans="1:14" ht="18" customHeight="1" thickTop="1" x14ac:dyDescent="0.2">
      <c r="A24" s="2126" t="s">
        <v>619</v>
      </c>
      <c r="B24" s="2127"/>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222522</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222522</v>
      </c>
      <c r="M34" s="468"/>
      <c r="N34" s="479"/>
    </row>
    <row r="35" spans="1:14" ht="18" customHeight="1" thickTop="1" x14ac:dyDescent="0.2">
      <c r="A35" s="2128" t="s">
        <v>550</v>
      </c>
      <c r="B35" s="2129"/>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2100684</v>
      </c>
    </row>
    <row r="37" spans="1:14" ht="13.5" thickBot="1" x14ac:dyDescent="0.25">
      <c r="A37" s="1756" t="s">
        <v>674</v>
      </c>
      <c r="B37" s="1761"/>
      <c r="C37" s="476"/>
      <c r="D37" s="476"/>
      <c r="E37" s="476"/>
      <c r="F37" s="476"/>
      <c r="G37" s="476"/>
      <c r="H37" s="476"/>
      <c r="I37" s="476"/>
      <c r="J37" s="476"/>
      <c r="K37" s="476"/>
      <c r="L37" s="479"/>
      <c r="M37" s="468"/>
      <c r="N37" s="1708">
        <f>SUM(N36:N36)</f>
        <v>2100684</v>
      </c>
    </row>
    <row r="38" spans="1:14" s="329" customFormat="1" ht="13.5" customHeight="1" thickTop="1" x14ac:dyDescent="0.2">
      <c r="A38" s="494" t="s">
        <v>440</v>
      </c>
      <c r="B38" s="482">
        <v>714</v>
      </c>
      <c r="C38" s="465">
        <v>4774</v>
      </c>
      <c r="D38" s="465">
        <v>0</v>
      </c>
      <c r="E38" s="465">
        <v>20345</v>
      </c>
      <c r="F38" s="465">
        <v>0</v>
      </c>
      <c r="G38" s="465">
        <v>73685</v>
      </c>
      <c r="H38" s="465">
        <v>0</v>
      </c>
      <c r="I38" s="465">
        <v>0</v>
      </c>
      <c r="J38" s="465">
        <v>0</v>
      </c>
      <c r="K38" s="465">
        <v>0</v>
      </c>
      <c r="L38" s="465">
        <v>663730</v>
      </c>
      <c r="M38" s="495"/>
      <c r="N38" s="495"/>
    </row>
    <row r="39" spans="1:14" s="329" customFormat="1" ht="13.5" customHeight="1" x14ac:dyDescent="0.2">
      <c r="A39" s="494" t="s">
        <v>360</v>
      </c>
      <c r="B39" s="482">
        <v>730</v>
      </c>
      <c r="C39" s="465">
        <v>1765829</v>
      </c>
      <c r="D39" s="465">
        <v>188466</v>
      </c>
      <c r="E39" s="465">
        <v>516359</v>
      </c>
      <c r="F39" s="465">
        <v>195570</v>
      </c>
      <c r="G39" s="465">
        <v>89277</v>
      </c>
      <c r="H39" s="465">
        <v>290232</v>
      </c>
      <c r="I39" s="465">
        <v>174694</v>
      </c>
      <c r="J39" s="465">
        <v>16996</v>
      </c>
      <c r="K39" s="465">
        <v>38061</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8521125</v>
      </c>
      <c r="N40" s="495"/>
    </row>
    <row r="41" spans="1:14" ht="13.5" customHeight="1" thickBot="1" x14ac:dyDescent="0.25">
      <c r="A41" s="1756" t="s">
        <v>676</v>
      </c>
      <c r="B41" s="1726"/>
      <c r="C41" s="1708">
        <f>(SUM(C34,C37,C38,C39))</f>
        <v>1770603</v>
      </c>
      <c r="D41" s="1708">
        <f t="shared" ref="D41:L41" si="2">SUM(D34,D37,D38:D39)</f>
        <v>188466</v>
      </c>
      <c r="E41" s="1708">
        <f t="shared" si="2"/>
        <v>536704</v>
      </c>
      <c r="F41" s="1708">
        <f t="shared" si="2"/>
        <v>195570</v>
      </c>
      <c r="G41" s="1708">
        <f t="shared" si="2"/>
        <v>162962</v>
      </c>
      <c r="H41" s="1708">
        <f t="shared" si="2"/>
        <v>290232</v>
      </c>
      <c r="I41" s="1708">
        <f t="shared" si="2"/>
        <v>174694</v>
      </c>
      <c r="J41" s="1708">
        <f t="shared" si="2"/>
        <v>16996</v>
      </c>
      <c r="K41" s="1708">
        <f t="shared" si="2"/>
        <v>38061</v>
      </c>
      <c r="L41" s="1708">
        <f t="shared" si="2"/>
        <v>886252</v>
      </c>
      <c r="M41" s="1708">
        <f>SUM(M40)</f>
        <v>8521125</v>
      </c>
      <c r="N41" s="1708">
        <f>SUM(N37)</f>
        <v>2100684</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21" sqref="A21"/>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38" t="s">
        <v>1751</v>
      </c>
      <c r="B1" s="452"/>
      <c r="C1" s="502" t="s">
        <v>445</v>
      </c>
      <c r="D1" s="502" t="s">
        <v>446</v>
      </c>
      <c r="E1" s="502" t="s">
        <v>447</v>
      </c>
      <c r="F1" s="502" t="s">
        <v>448</v>
      </c>
      <c r="G1" s="502" t="s">
        <v>449</v>
      </c>
      <c r="H1" s="502" t="s">
        <v>450</v>
      </c>
      <c r="I1" s="502" t="s">
        <v>451</v>
      </c>
      <c r="J1" s="502" t="s">
        <v>452</v>
      </c>
      <c r="K1" s="502" t="s">
        <v>780</v>
      </c>
      <c r="L1" s="499"/>
    </row>
    <row r="2" spans="1:13" s="503" customFormat="1" ht="37.700000000000003" customHeight="1" x14ac:dyDescent="0.2">
      <c r="A2" s="2139"/>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0" t="s">
        <v>1237</v>
      </c>
      <c r="B3" s="2151"/>
      <c r="C3" s="1593"/>
      <c r="D3" s="1594"/>
      <c r="E3" s="1594"/>
      <c r="F3" s="1594"/>
      <c r="G3" s="1594"/>
      <c r="H3" s="1594"/>
      <c r="I3" s="1594"/>
      <c r="J3" s="1594"/>
      <c r="K3" s="1595"/>
      <c r="L3" s="504"/>
    </row>
    <row r="4" spans="1:13" ht="15.95" customHeight="1" x14ac:dyDescent="0.2">
      <c r="A4" s="1952" t="s">
        <v>1579</v>
      </c>
      <c r="B4" s="1953">
        <v>1000</v>
      </c>
      <c r="C4" s="1762">
        <f>'Revenues 9-14'!C109</f>
        <v>1899101</v>
      </c>
      <c r="D4" s="1762">
        <f>'Revenues 9-14'!D109</f>
        <v>280296</v>
      </c>
      <c r="E4" s="1762">
        <f>'Revenues 9-14'!E109</f>
        <v>367576</v>
      </c>
      <c r="F4" s="1762">
        <f>'Revenues 9-14'!F109</f>
        <v>124122</v>
      </c>
      <c r="G4" s="1762">
        <f>'Revenues 9-14'!G109</f>
        <v>192773</v>
      </c>
      <c r="H4" s="1762">
        <f>'Revenues 9-14'!H109</f>
        <v>347137</v>
      </c>
      <c r="I4" s="1762">
        <f>'Revenues 9-14'!I109</f>
        <v>28072</v>
      </c>
      <c r="J4" s="1762">
        <f>'Revenues 9-14'!J109</f>
        <v>212559</v>
      </c>
      <c r="K4" s="1762">
        <f>'Revenues 9-14'!K109</f>
        <v>83</v>
      </c>
      <c r="L4" s="347"/>
    </row>
    <row r="5" spans="1:13" ht="15.9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95" customHeight="1" x14ac:dyDescent="0.2">
      <c r="A6" s="1596" t="s">
        <v>1581</v>
      </c>
      <c r="B6" s="1598">
        <v>3000</v>
      </c>
      <c r="C6" s="1763">
        <f>'Revenues 9-14'!C173</f>
        <v>2255929</v>
      </c>
      <c r="D6" s="1763">
        <f>'Revenues 9-14'!D173</f>
        <v>162193</v>
      </c>
      <c r="E6" s="1763">
        <f>'Revenues 9-14'!E173</f>
        <v>0</v>
      </c>
      <c r="F6" s="1763">
        <f>'Revenues 9-14'!F173</f>
        <v>130884</v>
      </c>
      <c r="G6" s="1763">
        <f>'Revenues 9-14'!G173</f>
        <v>0</v>
      </c>
      <c r="H6" s="1763">
        <f>'Revenues 9-14'!H173</f>
        <v>0</v>
      </c>
      <c r="I6" s="1763">
        <f>'Revenues 9-14'!I173</f>
        <v>0</v>
      </c>
      <c r="J6" s="1763">
        <f>'Revenues 9-14'!J173</f>
        <v>0</v>
      </c>
      <c r="K6" s="1763">
        <f>'Revenues 9-14'!K173</f>
        <v>0</v>
      </c>
      <c r="L6" s="347"/>
      <c r="M6" s="511"/>
    </row>
    <row r="7" spans="1:13" ht="15.95" customHeight="1" x14ac:dyDescent="0.2">
      <c r="A7" s="1596" t="s">
        <v>1582</v>
      </c>
      <c r="B7" s="1598">
        <v>4000</v>
      </c>
      <c r="C7" s="1763">
        <f>'Revenues 9-14'!C274</f>
        <v>326270</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4481300</v>
      </c>
      <c r="D8" s="1708">
        <f t="shared" ref="D8:K8" si="0">SUM(D4:D7)</f>
        <v>442489</v>
      </c>
      <c r="E8" s="1708">
        <f t="shared" si="0"/>
        <v>367576</v>
      </c>
      <c r="F8" s="1708">
        <f t="shared" si="0"/>
        <v>255006</v>
      </c>
      <c r="G8" s="1708">
        <f t="shared" si="0"/>
        <v>192773</v>
      </c>
      <c r="H8" s="1708">
        <f t="shared" si="0"/>
        <v>347137</v>
      </c>
      <c r="I8" s="1708">
        <f t="shared" si="0"/>
        <v>28072</v>
      </c>
      <c r="J8" s="1708">
        <f t="shared" si="0"/>
        <v>212559</v>
      </c>
      <c r="K8" s="1708">
        <f t="shared" si="0"/>
        <v>83</v>
      </c>
      <c r="L8" s="347"/>
    </row>
    <row r="9" spans="1:13" ht="15.75" thickTop="1" x14ac:dyDescent="0.2">
      <c r="A9" s="512" t="s">
        <v>1752</v>
      </c>
      <c r="B9" s="513">
        <v>3998</v>
      </c>
      <c r="C9" s="465">
        <v>2030557</v>
      </c>
      <c r="D9" s="514"/>
      <c r="E9" s="480"/>
      <c r="F9" s="480"/>
      <c r="G9" s="515"/>
      <c r="H9" s="480"/>
      <c r="I9" s="507" t="s">
        <v>1231</v>
      </c>
      <c r="J9" s="477"/>
      <c r="K9" s="480"/>
      <c r="L9" s="347"/>
    </row>
    <row r="10" spans="1:13" s="517" customFormat="1" ht="13.5" thickBot="1" x14ac:dyDescent="0.25">
      <c r="A10" s="1756" t="s">
        <v>1235</v>
      </c>
      <c r="B10" s="1729"/>
      <c r="C10" s="1708">
        <f>SUM(C8:C9)</f>
        <v>6511857</v>
      </c>
      <c r="D10" s="1708">
        <f t="shared" ref="D10:K10" si="1">SUM(D8:D9)</f>
        <v>442489</v>
      </c>
      <c r="E10" s="1708">
        <f t="shared" si="1"/>
        <v>367576</v>
      </c>
      <c r="F10" s="1708">
        <f t="shared" si="1"/>
        <v>255006</v>
      </c>
      <c r="G10" s="1708">
        <f t="shared" si="1"/>
        <v>192773</v>
      </c>
      <c r="H10" s="1708">
        <f t="shared" si="1"/>
        <v>347137</v>
      </c>
      <c r="I10" s="1708">
        <f t="shared" si="1"/>
        <v>28072</v>
      </c>
      <c r="J10" s="1708">
        <f t="shared" si="1"/>
        <v>212559</v>
      </c>
      <c r="K10" s="1708">
        <f t="shared" si="1"/>
        <v>83</v>
      </c>
      <c r="L10" s="516"/>
    </row>
    <row r="11" spans="1:13" s="517" customFormat="1" ht="16.7" customHeight="1" thickTop="1" x14ac:dyDescent="0.2">
      <c r="A11" s="2124" t="s">
        <v>1238</v>
      </c>
      <c r="B11" s="2125"/>
      <c r="C11" s="1590"/>
      <c r="D11" s="1591"/>
      <c r="E11" s="1591"/>
      <c r="F11" s="1591"/>
      <c r="G11" s="1591"/>
      <c r="H11" s="1591"/>
      <c r="I11" s="1591"/>
      <c r="J11" s="1591"/>
      <c r="K11" s="1592"/>
      <c r="L11" s="516"/>
    </row>
    <row r="12" spans="1:13" ht="15.95" customHeight="1" x14ac:dyDescent="0.2">
      <c r="A12" s="1596" t="s">
        <v>476</v>
      </c>
      <c r="B12" s="1598">
        <v>1000</v>
      </c>
      <c r="C12" s="1762">
        <f>'Expenditures 15-22'!K33</f>
        <v>2994384</v>
      </c>
      <c r="D12" s="518" t="s">
        <v>1231</v>
      </c>
      <c r="E12" s="468" t="s">
        <v>1231</v>
      </c>
      <c r="F12" s="468" t="s">
        <v>1231</v>
      </c>
      <c r="G12" s="1762">
        <f>'Expenditures 15-22'!K229</f>
        <v>55930</v>
      </c>
      <c r="H12" s="519"/>
      <c r="I12" s="468" t="s">
        <v>1231</v>
      </c>
      <c r="J12" s="468" t="s">
        <v>1231</v>
      </c>
      <c r="K12" s="519" t="s">
        <v>1231</v>
      </c>
      <c r="L12" s="347"/>
    </row>
    <row r="13" spans="1:13" ht="15.95" customHeight="1" x14ac:dyDescent="0.2">
      <c r="A13" s="1596" t="s">
        <v>477</v>
      </c>
      <c r="B13" s="1598">
        <v>2000</v>
      </c>
      <c r="C13" s="1763">
        <f>'Expenditures 15-22'!K74</f>
        <v>1017655</v>
      </c>
      <c r="D13" s="1763">
        <f>'Expenditures 15-22'!K129</f>
        <v>432525</v>
      </c>
      <c r="E13" s="469" t="s">
        <v>1231</v>
      </c>
      <c r="F13" s="1763">
        <f>'Expenditures 15-22'!K184</f>
        <v>186660</v>
      </c>
      <c r="G13" s="1763">
        <f>'Expenditures 15-22'!K279</f>
        <v>101542</v>
      </c>
      <c r="H13" s="1763">
        <f>'Expenditures 15-22'!K303</f>
        <v>152539</v>
      </c>
      <c r="I13" s="468" t="s">
        <v>1231</v>
      </c>
      <c r="J13" s="1763">
        <f>'Expenditures 15-22'!K330</f>
        <v>217949</v>
      </c>
      <c r="K13" s="1767">
        <f>'Expenditures 15-22'!K352</f>
        <v>0</v>
      </c>
      <c r="L13" s="347"/>
    </row>
    <row r="14" spans="1:13" ht="15.9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95" customHeight="1" x14ac:dyDescent="0.2">
      <c r="A15" s="1596" t="s">
        <v>109</v>
      </c>
      <c r="B15" s="1598">
        <v>4000</v>
      </c>
      <c r="C15" s="1763">
        <f>'Expenditures 15-22'!K102</f>
        <v>383271</v>
      </c>
      <c r="D15" s="1763">
        <f>'Expenditures 15-22'!K139</f>
        <v>0</v>
      </c>
      <c r="E15" s="1763">
        <f>'Expenditures 15-22'!K160</f>
        <v>0</v>
      </c>
      <c r="F15" s="1763">
        <f>'Expenditures 15-22'!K196</f>
        <v>0</v>
      </c>
      <c r="G15" s="1763">
        <f>'Expenditures 15-22'!K285</f>
        <v>10169</v>
      </c>
      <c r="H15" s="1763">
        <f>'Expenditures 15-22'!K310</f>
        <v>0</v>
      </c>
      <c r="I15" s="468" t="s">
        <v>1231</v>
      </c>
      <c r="J15" s="1856">
        <f>'Expenditures 15-22'!K334</f>
        <v>0</v>
      </c>
      <c r="K15" s="1763">
        <f>'Expenditures 15-22'!K357</f>
        <v>0</v>
      </c>
      <c r="L15" s="347"/>
    </row>
    <row r="16" spans="1:13" ht="15.95" customHeight="1" x14ac:dyDescent="0.2">
      <c r="A16" s="1596" t="s">
        <v>470</v>
      </c>
      <c r="B16" s="1598">
        <v>5000</v>
      </c>
      <c r="C16" s="1763">
        <f>'Expenditures 15-22'!K112</f>
        <v>0</v>
      </c>
      <c r="D16" s="1763">
        <f>'Expenditures 15-22'!K149</f>
        <v>0</v>
      </c>
      <c r="E16" s="1763">
        <f>'Expenditures 15-22'!K172</f>
        <v>328447</v>
      </c>
      <c r="F16" s="1763">
        <f>'Expenditures 15-22'!K208</f>
        <v>37480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4395310</v>
      </c>
      <c r="D17" s="1708">
        <f t="shared" si="2"/>
        <v>432525</v>
      </c>
      <c r="E17" s="1708">
        <f t="shared" si="2"/>
        <v>328447</v>
      </c>
      <c r="F17" s="1708">
        <f t="shared" si="2"/>
        <v>224140</v>
      </c>
      <c r="G17" s="1708">
        <f t="shared" si="2"/>
        <v>167641</v>
      </c>
      <c r="H17" s="1708">
        <f t="shared" si="2"/>
        <v>152539</v>
      </c>
      <c r="I17" s="468"/>
      <c r="J17" s="1708">
        <f>SUM(J12:J16)</f>
        <v>217949</v>
      </c>
      <c r="K17" s="1708">
        <f>SUM(K12:K16)</f>
        <v>0</v>
      </c>
      <c r="L17" s="347"/>
    </row>
    <row r="18" spans="1:12" ht="15" customHeight="1" thickTop="1" x14ac:dyDescent="0.2">
      <c r="A18" s="1764" t="s">
        <v>1753</v>
      </c>
      <c r="B18" s="1765">
        <v>4180</v>
      </c>
      <c r="C18" s="1762">
        <f t="shared" ref="C18:H18" si="3">C9</f>
        <v>2030557</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6425867</v>
      </c>
      <c r="D19" s="1708">
        <f t="shared" si="4"/>
        <v>432525</v>
      </c>
      <c r="E19" s="1708">
        <f t="shared" si="4"/>
        <v>328447</v>
      </c>
      <c r="F19" s="1708">
        <f t="shared" si="4"/>
        <v>224140</v>
      </c>
      <c r="G19" s="1708">
        <f t="shared" si="4"/>
        <v>167641</v>
      </c>
      <c r="H19" s="1708">
        <f t="shared" si="4"/>
        <v>152539</v>
      </c>
      <c r="I19" s="468"/>
      <c r="J19" s="1708">
        <f>SUM(J17:J18)</f>
        <v>217949</v>
      </c>
      <c r="K19" s="1708">
        <f>SUM(K17:K18)</f>
        <v>0</v>
      </c>
      <c r="L19" s="347"/>
    </row>
    <row r="20" spans="1:12" ht="16.5" thickTop="1" thickBot="1" x14ac:dyDescent="0.25">
      <c r="A20" s="2140" t="s">
        <v>1754</v>
      </c>
      <c r="B20" s="2141"/>
      <c r="C20" s="1766">
        <f>C8-C17</f>
        <v>85990</v>
      </c>
      <c r="D20" s="1766">
        <f t="shared" ref="D20:K20" si="5">D8-D17</f>
        <v>9964</v>
      </c>
      <c r="E20" s="1766">
        <f t="shared" si="5"/>
        <v>39129</v>
      </c>
      <c r="F20" s="1766">
        <f t="shared" si="5"/>
        <v>30866</v>
      </c>
      <c r="G20" s="1766">
        <f t="shared" si="5"/>
        <v>25132</v>
      </c>
      <c r="H20" s="1766">
        <f t="shared" si="5"/>
        <v>194598</v>
      </c>
      <c r="I20" s="1766">
        <f t="shared" si="5"/>
        <v>28072</v>
      </c>
      <c r="J20" s="1766">
        <f t="shared" si="5"/>
        <v>-5390</v>
      </c>
      <c r="K20" s="1766">
        <f t="shared" si="5"/>
        <v>83</v>
      </c>
      <c r="L20" s="347"/>
    </row>
    <row r="21" spans="1:12" ht="16.7" customHeight="1" thickTop="1" x14ac:dyDescent="0.2">
      <c r="A21" s="2152" t="s">
        <v>616</v>
      </c>
      <c r="B21" s="2153"/>
      <c r="C21" s="1590"/>
      <c r="D21" s="1591"/>
      <c r="E21" s="1591"/>
      <c r="F21" s="1591"/>
      <c r="G21" s="1591"/>
      <c r="H21" s="1591"/>
      <c r="I21" s="1591"/>
      <c r="J21" s="1591"/>
      <c r="K21" s="1592"/>
      <c r="L21" s="522"/>
    </row>
    <row r="22" spans="1:12" ht="15.95" customHeight="1" collapsed="1" x14ac:dyDescent="0.2">
      <c r="A22" s="2148" t="s">
        <v>617</v>
      </c>
      <c r="B22" s="2149"/>
      <c r="C22" s="476"/>
      <c r="D22" s="476"/>
      <c r="E22" s="476"/>
      <c r="F22" s="476"/>
      <c r="G22" s="476"/>
      <c r="H22" s="476"/>
      <c r="I22" s="476"/>
      <c r="J22" s="476"/>
      <c r="K22" s="476"/>
      <c r="L22" s="347"/>
    </row>
    <row r="23" spans="1:12" s="484" customFormat="1" ht="15.95" customHeight="1" x14ac:dyDescent="0.2">
      <c r="A23" s="2144" t="s">
        <v>311</v>
      </c>
      <c r="B23" s="2145"/>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95" customHeight="1" x14ac:dyDescent="0.2">
      <c r="A32" s="2146" t="s">
        <v>1038</v>
      </c>
      <c r="B32" s="2147"/>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19737</v>
      </c>
      <c r="F37" s="475"/>
      <c r="G37" s="475"/>
      <c r="H37" s="475"/>
      <c r="I37" s="476"/>
      <c r="J37" s="475"/>
      <c r="K37" s="475"/>
      <c r="L37" s="522"/>
    </row>
    <row r="38" spans="1:12" s="484" customFormat="1" x14ac:dyDescent="0.2">
      <c r="A38" s="1509" t="s">
        <v>462</v>
      </c>
      <c r="B38" s="523">
        <v>7500</v>
      </c>
      <c r="C38" s="476"/>
      <c r="D38" s="476"/>
      <c r="E38" s="1763">
        <f>SUM(C58:D61,H58:H61)</f>
        <v>963</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27388</v>
      </c>
      <c r="D43" s="467">
        <v>0</v>
      </c>
      <c r="E43" s="467">
        <v>0</v>
      </c>
      <c r="F43" s="467">
        <v>0</v>
      </c>
      <c r="G43" s="467">
        <v>0</v>
      </c>
      <c r="H43" s="467">
        <v>0</v>
      </c>
      <c r="I43" s="467">
        <v>0</v>
      </c>
      <c r="J43" s="467">
        <v>0</v>
      </c>
      <c r="K43" s="467">
        <v>0</v>
      </c>
      <c r="L43" s="522"/>
    </row>
    <row r="44" spans="1:12" s="484" customFormat="1" ht="13.5" customHeight="1" thickBot="1" x14ac:dyDescent="0.25">
      <c r="A44" s="2154" t="s">
        <v>392</v>
      </c>
      <c r="B44" s="2155"/>
      <c r="C44" s="1723">
        <f>SUM(C24:C43)</f>
        <v>27388</v>
      </c>
      <c r="D44" s="1723">
        <f t="shared" ref="D44:K44" si="6">SUM(D24:D43)</f>
        <v>0</v>
      </c>
      <c r="E44" s="1723">
        <f t="shared" si="6"/>
        <v>20700</v>
      </c>
      <c r="F44" s="1723">
        <f t="shared" si="6"/>
        <v>0</v>
      </c>
      <c r="G44" s="1723">
        <f t="shared" si="6"/>
        <v>0</v>
      </c>
      <c r="H44" s="1723">
        <f t="shared" si="6"/>
        <v>0</v>
      </c>
      <c r="I44" s="1723">
        <f t="shared" si="6"/>
        <v>0</v>
      </c>
      <c r="J44" s="1723">
        <f t="shared" si="6"/>
        <v>0</v>
      </c>
      <c r="K44" s="1723">
        <f t="shared" si="6"/>
        <v>0</v>
      </c>
      <c r="L44" s="522"/>
    </row>
    <row r="45" spans="1:12" ht="15.95" customHeight="1" thickTop="1" x14ac:dyDescent="0.2">
      <c r="A45" s="2148" t="s">
        <v>110</v>
      </c>
      <c r="B45" s="2149"/>
      <c r="C45" s="526"/>
      <c r="D45" s="526"/>
      <c r="E45" s="526"/>
      <c r="F45" s="526"/>
      <c r="G45" s="526"/>
      <c r="H45" s="526"/>
      <c r="I45" s="526"/>
      <c r="J45" s="526"/>
      <c r="K45" s="526"/>
      <c r="L45" s="347"/>
    </row>
    <row r="46" spans="1:12" s="484" customFormat="1" ht="15.95" customHeight="1" x14ac:dyDescent="0.2">
      <c r="A46" s="2156" t="s">
        <v>111</v>
      </c>
      <c r="B46" s="2157"/>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19737</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963</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0" t="s">
        <v>460</v>
      </c>
      <c r="B76" s="2131"/>
      <c r="C76" s="1723">
        <f t="shared" ref="C76:K76" si="7">SUM(C47:C75)</f>
        <v>20700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2" t="s">
        <v>1239</v>
      </c>
      <c r="B77" s="2133"/>
      <c r="C77" s="1723">
        <f t="shared" ref="C77:K77" si="8">C44-C76</f>
        <v>6688</v>
      </c>
      <c r="D77" s="1723">
        <f t="shared" si="8"/>
        <v>0</v>
      </c>
      <c r="E77" s="1723">
        <f t="shared" si="8"/>
        <v>20700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36" t="s">
        <v>618</v>
      </c>
      <c r="B78" s="2137"/>
      <c r="C78" s="1722">
        <f t="shared" ref="C78:K78" si="9">C20+C77</f>
        <v>92678</v>
      </c>
      <c r="D78" s="1722">
        <f t="shared" si="9"/>
        <v>9964</v>
      </c>
      <c r="E78" s="1722">
        <f t="shared" si="9"/>
        <v>59829</v>
      </c>
      <c r="F78" s="1722">
        <f t="shared" si="9"/>
        <v>30866</v>
      </c>
      <c r="G78" s="1722">
        <f t="shared" si="9"/>
        <v>25132</v>
      </c>
      <c r="H78" s="1722">
        <f t="shared" si="9"/>
        <v>194598</v>
      </c>
      <c r="I78" s="1722">
        <f t="shared" si="9"/>
        <v>28072</v>
      </c>
      <c r="J78" s="1722">
        <f t="shared" si="9"/>
        <v>-5390</v>
      </c>
      <c r="K78" s="1722">
        <f t="shared" si="9"/>
        <v>83</v>
      </c>
      <c r="L78" s="531"/>
    </row>
    <row r="79" spans="1:12" ht="13.5" thickTop="1" x14ac:dyDescent="0.2">
      <c r="A79" s="1514" t="s">
        <v>2073</v>
      </c>
      <c r="B79" s="532"/>
      <c r="C79" s="467">
        <v>1677925</v>
      </c>
      <c r="D79" s="467">
        <v>178502</v>
      </c>
      <c r="E79" s="467">
        <v>476875</v>
      </c>
      <c r="F79" s="467">
        <v>164704</v>
      </c>
      <c r="G79" s="467">
        <v>137830</v>
      </c>
      <c r="H79" s="467">
        <v>95634</v>
      </c>
      <c r="I79" s="467">
        <v>146622</v>
      </c>
      <c r="J79" s="467">
        <v>22386</v>
      </c>
      <c r="K79" s="467">
        <v>37978</v>
      </c>
      <c r="L79" s="347"/>
    </row>
    <row r="80" spans="1:12" x14ac:dyDescent="0.2">
      <c r="A80" s="2142" t="s">
        <v>1898</v>
      </c>
      <c r="B80" s="2143"/>
      <c r="C80" s="467">
        <v>0</v>
      </c>
      <c r="D80" s="467">
        <v>0</v>
      </c>
      <c r="E80" s="467">
        <v>0</v>
      </c>
      <c r="F80" s="467">
        <v>0</v>
      </c>
      <c r="G80" s="467">
        <v>0</v>
      </c>
      <c r="H80" s="467">
        <v>0</v>
      </c>
      <c r="I80" s="467">
        <v>0</v>
      </c>
      <c r="J80" s="467">
        <v>0</v>
      </c>
      <c r="K80" s="467">
        <v>0</v>
      </c>
      <c r="L80" s="347"/>
    </row>
    <row r="81" spans="1:12" ht="13.5" thickBot="1" x14ac:dyDescent="0.25">
      <c r="A81" s="2134" t="s">
        <v>2074</v>
      </c>
      <c r="B81" s="2135"/>
      <c r="C81" s="1708">
        <f>(SUM(C78:C80))</f>
        <v>1770603</v>
      </c>
      <c r="D81" s="1708">
        <f>SUM(D78:D80)</f>
        <v>188466</v>
      </c>
      <c r="E81" s="1708">
        <f t="shared" ref="E81:K81" si="10">SUM(E78:E80)</f>
        <v>536704</v>
      </c>
      <c r="F81" s="1708">
        <f t="shared" si="10"/>
        <v>195570</v>
      </c>
      <c r="G81" s="1708">
        <f t="shared" si="10"/>
        <v>162962</v>
      </c>
      <c r="H81" s="1708">
        <f t="shared" si="10"/>
        <v>290232</v>
      </c>
      <c r="I81" s="1708">
        <f t="shared" si="10"/>
        <v>174694</v>
      </c>
      <c r="J81" s="1708">
        <f t="shared" si="10"/>
        <v>16996</v>
      </c>
      <c r="K81" s="1708">
        <f t="shared" si="10"/>
        <v>38061</v>
      </c>
      <c r="L81" s="347"/>
    </row>
    <row r="82" spans="1:12" ht="0.75" customHeight="1" thickTop="1" thickBot="1" x14ac:dyDescent="0.25">
      <c r="A82" s="534" t="s">
        <v>361</v>
      </c>
      <c r="B82" s="535"/>
      <c r="C82" s="536">
        <f>(C81-C79)</f>
        <v>92678</v>
      </c>
      <c r="D82" s="536">
        <f t="shared" ref="D82:K82" si="11">(D81-D79)</f>
        <v>9964</v>
      </c>
      <c r="E82" s="536">
        <f t="shared" si="11"/>
        <v>59829</v>
      </c>
      <c r="F82" s="536">
        <f t="shared" si="11"/>
        <v>30866</v>
      </c>
      <c r="G82" s="536">
        <f t="shared" si="11"/>
        <v>25132</v>
      </c>
      <c r="H82" s="536">
        <f t="shared" si="11"/>
        <v>194598</v>
      </c>
      <c r="I82" s="536">
        <f t="shared" si="11"/>
        <v>28072</v>
      </c>
      <c r="J82" s="536">
        <f t="shared" si="11"/>
        <v>-5390</v>
      </c>
      <c r="K82" s="536">
        <f t="shared" si="11"/>
        <v>83</v>
      </c>
    </row>
    <row r="83" spans="1:12" ht="14.25" hidden="1" thickTop="1" thickBot="1" x14ac:dyDescent="0.25">
      <c r="A83" s="537" t="s">
        <v>362</v>
      </c>
      <c r="B83" s="464"/>
      <c r="C83" s="538">
        <f>C82/C81</f>
        <v>5.2342620000079068E-2</v>
      </c>
      <c r="D83" s="538">
        <f t="shared" ref="D83:K83" si="12">D82/D81</f>
        <v>5.2868952490104315E-2</v>
      </c>
      <c r="E83" s="538">
        <f t="shared" si="12"/>
        <v>0.11147485392320534</v>
      </c>
      <c r="F83" s="538">
        <f t="shared" si="12"/>
        <v>0.15782584240936748</v>
      </c>
      <c r="G83" s="538">
        <f t="shared" si="12"/>
        <v>0.15422000220910395</v>
      </c>
      <c r="H83" s="538">
        <f t="shared" si="12"/>
        <v>0.67049119325229467</v>
      </c>
      <c r="I83" s="538">
        <f t="shared" si="12"/>
        <v>0.16069241072961865</v>
      </c>
      <c r="J83" s="538">
        <f t="shared" si="12"/>
        <v>-0.31713344316309722</v>
      </c>
      <c r="K83" s="538">
        <f t="shared" si="12"/>
        <v>2.1807099130343394E-3</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21" sqref="A21"/>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8" t="s">
        <v>1905</v>
      </c>
      <c r="B1" s="452"/>
      <c r="C1" s="453" t="s">
        <v>445</v>
      </c>
      <c r="D1" s="453" t="s">
        <v>446</v>
      </c>
      <c r="E1" s="453" t="s">
        <v>447</v>
      </c>
      <c r="F1" s="453" t="s">
        <v>448</v>
      </c>
      <c r="G1" s="453" t="s">
        <v>449</v>
      </c>
      <c r="H1" s="453" t="s">
        <v>450</v>
      </c>
      <c r="I1" s="453" t="s">
        <v>451</v>
      </c>
      <c r="J1" s="453" t="s">
        <v>452</v>
      </c>
      <c r="K1" s="453" t="s">
        <v>780</v>
      </c>
    </row>
    <row r="2" spans="1:12" ht="36" x14ac:dyDescent="0.2">
      <c r="A2" s="2139"/>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95" customHeight="1" x14ac:dyDescent="0.2">
      <c r="A4" s="1610" t="s">
        <v>397</v>
      </c>
      <c r="B4" s="1611">
        <v>1100</v>
      </c>
      <c r="C4" s="541"/>
      <c r="D4" s="541"/>
      <c r="E4" s="541"/>
      <c r="F4" s="542"/>
      <c r="G4" s="543"/>
      <c r="H4" s="544"/>
      <c r="I4" s="544"/>
      <c r="J4" s="544"/>
      <c r="K4" s="544"/>
    </row>
    <row r="5" spans="1:12" ht="15" x14ac:dyDescent="0.2">
      <c r="A5" s="491" t="s">
        <v>1760</v>
      </c>
      <c r="B5" s="545"/>
      <c r="C5" s="480">
        <v>1441007</v>
      </c>
      <c r="D5" s="480">
        <v>277117</v>
      </c>
      <c r="E5" s="480">
        <v>189651</v>
      </c>
      <c r="F5" s="546">
        <v>110848</v>
      </c>
      <c r="G5" s="466">
        <v>77193</v>
      </c>
      <c r="H5" s="466">
        <v>0</v>
      </c>
      <c r="I5" s="466">
        <v>27711</v>
      </c>
      <c r="J5" s="466">
        <v>212336</v>
      </c>
      <c r="K5" s="466">
        <v>0</v>
      </c>
    </row>
    <row r="6" spans="1:12" ht="15" x14ac:dyDescent="0.2">
      <c r="A6" s="463" t="s">
        <v>1761</v>
      </c>
      <c r="B6" s="470">
        <v>1130</v>
      </c>
      <c r="C6" s="466">
        <v>21210</v>
      </c>
      <c r="D6" s="466">
        <v>0</v>
      </c>
      <c r="E6" s="475"/>
      <c r="F6" s="475"/>
      <c r="G6" s="468"/>
      <c r="H6" s="468"/>
      <c r="I6" s="468"/>
      <c r="J6" s="468"/>
      <c r="K6" s="468"/>
    </row>
    <row r="7" spans="1:12" x14ac:dyDescent="0.2">
      <c r="A7" s="463" t="s">
        <v>112</v>
      </c>
      <c r="B7" s="547">
        <v>1140</v>
      </c>
      <c r="C7" s="466">
        <v>22169</v>
      </c>
      <c r="D7" s="466">
        <v>0</v>
      </c>
      <c r="E7" s="468"/>
      <c r="F7" s="467">
        <v>0</v>
      </c>
      <c r="G7" s="467">
        <v>0</v>
      </c>
      <c r="H7" s="467">
        <v>0</v>
      </c>
      <c r="I7" s="468"/>
      <c r="J7" s="468"/>
      <c r="K7" s="468"/>
    </row>
    <row r="8" spans="1:12" x14ac:dyDescent="0.2">
      <c r="A8" s="463" t="s">
        <v>433</v>
      </c>
      <c r="B8" s="470">
        <v>1150</v>
      </c>
      <c r="C8" s="475"/>
      <c r="D8" s="475"/>
      <c r="E8" s="476"/>
      <c r="F8" s="476"/>
      <c r="G8" s="480">
        <v>104185</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1484386</v>
      </c>
      <c r="D12" s="1727">
        <f t="shared" si="0"/>
        <v>277117</v>
      </c>
      <c r="E12" s="1727">
        <f t="shared" si="0"/>
        <v>189651</v>
      </c>
      <c r="F12" s="1727">
        <f t="shared" si="0"/>
        <v>110848</v>
      </c>
      <c r="G12" s="1727">
        <f t="shared" si="0"/>
        <v>181378</v>
      </c>
      <c r="H12" s="1727">
        <f t="shared" si="0"/>
        <v>0</v>
      </c>
      <c r="I12" s="1727">
        <f t="shared" si="0"/>
        <v>27711</v>
      </c>
      <c r="J12" s="1727">
        <f t="shared" si="0"/>
        <v>212336</v>
      </c>
      <c r="K12" s="1708">
        <f t="shared" si="0"/>
        <v>0</v>
      </c>
    </row>
    <row r="13" spans="1:12" ht="15.9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495</v>
      </c>
      <c r="D15" s="466">
        <v>93</v>
      </c>
      <c r="E15" s="466">
        <v>65</v>
      </c>
      <c r="F15" s="466">
        <v>37</v>
      </c>
      <c r="G15" s="466">
        <v>63</v>
      </c>
      <c r="H15" s="466">
        <v>0</v>
      </c>
      <c r="I15" s="466">
        <v>9</v>
      </c>
      <c r="J15" s="467">
        <v>70</v>
      </c>
      <c r="K15" s="466">
        <v>0</v>
      </c>
    </row>
    <row r="16" spans="1:12" ht="15" customHeight="1" x14ac:dyDescent="0.2">
      <c r="A16" s="463" t="s">
        <v>1762</v>
      </c>
      <c r="B16" s="547">
        <v>1230</v>
      </c>
      <c r="C16" s="549">
        <v>139189</v>
      </c>
      <c r="D16" s="466">
        <v>0</v>
      </c>
      <c r="E16" s="466">
        <v>0</v>
      </c>
      <c r="F16" s="466">
        <v>0</v>
      </c>
      <c r="G16" s="466">
        <v>11000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139684</v>
      </c>
      <c r="D18" s="1730">
        <f t="shared" ref="D18:K18" si="1">SUM(D14:D17)</f>
        <v>93</v>
      </c>
      <c r="E18" s="1730">
        <f t="shared" si="1"/>
        <v>65</v>
      </c>
      <c r="F18" s="1730">
        <f t="shared" si="1"/>
        <v>37</v>
      </c>
      <c r="G18" s="1730">
        <f t="shared" si="1"/>
        <v>11063</v>
      </c>
      <c r="H18" s="1730">
        <f t="shared" si="1"/>
        <v>0</v>
      </c>
      <c r="I18" s="1730">
        <f t="shared" si="1"/>
        <v>9</v>
      </c>
      <c r="J18" s="1730">
        <f t="shared" si="1"/>
        <v>70</v>
      </c>
      <c r="K18" s="1731">
        <f t="shared" si="1"/>
        <v>0</v>
      </c>
    </row>
    <row r="19" spans="1:11" ht="15.9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9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9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7376</v>
      </c>
      <c r="D65" s="466">
        <v>3016</v>
      </c>
      <c r="E65" s="466">
        <v>7795</v>
      </c>
      <c r="F65" s="467">
        <v>324</v>
      </c>
      <c r="G65" s="466">
        <v>332</v>
      </c>
      <c r="H65" s="466">
        <v>319</v>
      </c>
      <c r="I65" s="466">
        <v>352</v>
      </c>
      <c r="J65" s="467">
        <v>153</v>
      </c>
      <c r="K65" s="466">
        <v>83</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7376</v>
      </c>
      <c r="D67" s="1708">
        <f t="shared" ref="D67:K67" si="2">SUM(D65:D66)</f>
        <v>3016</v>
      </c>
      <c r="E67" s="1708">
        <f t="shared" si="2"/>
        <v>7795</v>
      </c>
      <c r="F67" s="1708">
        <f t="shared" si="2"/>
        <v>324</v>
      </c>
      <c r="G67" s="1708">
        <f t="shared" si="2"/>
        <v>332</v>
      </c>
      <c r="H67" s="1708">
        <f t="shared" si="2"/>
        <v>319</v>
      </c>
      <c r="I67" s="1708">
        <f t="shared" si="2"/>
        <v>352</v>
      </c>
      <c r="J67" s="1708">
        <f t="shared" si="2"/>
        <v>153</v>
      </c>
      <c r="K67" s="1708">
        <f t="shared" si="2"/>
        <v>83</v>
      </c>
    </row>
    <row r="68" spans="1:11" ht="15.9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67499</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2458</v>
      </c>
      <c r="D73" s="468"/>
      <c r="E73" s="468"/>
      <c r="F73" s="468"/>
      <c r="G73" s="468"/>
      <c r="H73" s="468"/>
      <c r="I73" s="468"/>
      <c r="J73" s="468"/>
      <c r="K73" s="468"/>
    </row>
    <row r="74" spans="1:11" ht="12.75" customHeight="1" x14ac:dyDescent="0.2">
      <c r="A74" s="463" t="s">
        <v>25</v>
      </c>
      <c r="B74" s="470">
        <v>1690</v>
      </c>
      <c r="C74" s="549">
        <v>744</v>
      </c>
      <c r="D74" s="468"/>
      <c r="E74" s="468"/>
      <c r="F74" s="468"/>
      <c r="G74" s="468"/>
      <c r="H74" s="468"/>
      <c r="I74" s="468"/>
      <c r="J74" s="468"/>
      <c r="K74" s="468"/>
    </row>
    <row r="75" spans="1:11" ht="12.75" customHeight="1" thickBot="1" x14ac:dyDescent="0.25">
      <c r="A75" s="1728" t="s">
        <v>569</v>
      </c>
      <c r="B75" s="1729"/>
      <c r="C75" s="1708">
        <f>SUM(C69:C74)</f>
        <v>70701</v>
      </c>
      <c r="D75" s="468"/>
      <c r="E75" s="468"/>
      <c r="F75" s="468"/>
      <c r="G75" s="468"/>
      <c r="H75" s="468"/>
      <c r="I75" s="468"/>
      <c r="J75" s="468"/>
      <c r="K75" s="468"/>
    </row>
    <row r="76" spans="1:11" ht="15.9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18734</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2129</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20863</v>
      </c>
      <c r="D82" s="1708">
        <f>SUM(D77:D81)</f>
        <v>0</v>
      </c>
      <c r="E82" s="468"/>
      <c r="F82" s="468"/>
      <c r="G82" s="468"/>
      <c r="H82" s="468"/>
      <c r="I82" s="468"/>
      <c r="J82" s="468"/>
      <c r="K82" s="468"/>
    </row>
    <row r="83" spans="1:11" ht="15.9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29279</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14659</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43938</v>
      </c>
      <c r="D93" s="468"/>
      <c r="E93" s="468"/>
      <c r="F93" s="468"/>
      <c r="G93" s="468"/>
      <c r="H93" s="468"/>
      <c r="I93" s="468"/>
      <c r="J93" s="468"/>
      <c r="K93" s="468"/>
    </row>
    <row r="94" spans="1:11" ht="15.9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19000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8283</v>
      </c>
      <c r="D98" s="466">
        <v>0</v>
      </c>
      <c r="E98" s="510"/>
      <c r="F98" s="466">
        <v>0</v>
      </c>
      <c r="G98" s="510"/>
      <c r="H98" s="510"/>
      <c r="I98" s="508"/>
      <c r="J98" s="510"/>
      <c r="K98" s="510"/>
    </row>
    <row r="99" spans="1:12" ht="12.75" customHeight="1" x14ac:dyDescent="0.2">
      <c r="A99" s="463" t="s">
        <v>875</v>
      </c>
      <c r="B99" s="470">
        <v>1950</v>
      </c>
      <c r="C99" s="487">
        <v>60547</v>
      </c>
      <c r="D99" s="466">
        <v>70</v>
      </c>
      <c r="E99" s="466">
        <v>0</v>
      </c>
      <c r="F99" s="466">
        <v>0</v>
      </c>
      <c r="G99" s="466">
        <v>0</v>
      </c>
      <c r="H99" s="466">
        <v>150</v>
      </c>
      <c r="I99" s="468"/>
      <c r="J99" s="467">
        <v>0</v>
      </c>
      <c r="K99" s="466">
        <v>0</v>
      </c>
    </row>
    <row r="100" spans="1:12" ht="12.75" customHeight="1" x14ac:dyDescent="0.2">
      <c r="A100" s="463" t="s">
        <v>263</v>
      </c>
      <c r="B100" s="470">
        <v>1960</v>
      </c>
      <c r="C100" s="487">
        <v>12000</v>
      </c>
      <c r="D100" s="487">
        <v>0</v>
      </c>
      <c r="E100" s="487">
        <v>0</v>
      </c>
      <c r="F100" s="487">
        <v>0</v>
      </c>
      <c r="G100" s="487">
        <v>0</v>
      </c>
      <c r="H100" s="487">
        <v>0</v>
      </c>
      <c r="I100" s="467">
        <v>0</v>
      </c>
      <c r="J100" s="487">
        <v>0</v>
      </c>
      <c r="K100" s="467">
        <v>0</v>
      </c>
    </row>
    <row r="101" spans="1:12" ht="12.75" customHeight="1" x14ac:dyDescent="0.2">
      <c r="A101" s="463" t="s">
        <v>264</v>
      </c>
      <c r="B101" s="470">
        <v>1970</v>
      </c>
      <c r="C101" s="487">
        <v>3660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170065</v>
      </c>
      <c r="F103" s="468"/>
      <c r="G103" s="468"/>
      <c r="H103" s="487">
        <v>59354</v>
      </c>
      <c r="I103" s="468"/>
      <c r="J103" s="508"/>
      <c r="K103" s="508"/>
    </row>
    <row r="104" spans="1:12" ht="12.75" customHeight="1" x14ac:dyDescent="0.2">
      <c r="A104" s="463" t="s">
        <v>885</v>
      </c>
      <c r="B104" s="470">
        <v>1991</v>
      </c>
      <c r="C104" s="487">
        <v>13655</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15008</v>
      </c>
      <c r="D107" s="466">
        <v>0</v>
      </c>
      <c r="E107" s="466">
        <v>0</v>
      </c>
      <c r="F107" s="466">
        <v>12913</v>
      </c>
      <c r="G107" s="466">
        <v>0</v>
      </c>
      <c r="H107" s="466">
        <v>287314</v>
      </c>
      <c r="I107" s="466">
        <v>0</v>
      </c>
      <c r="J107" s="467">
        <v>0</v>
      </c>
      <c r="K107" s="466">
        <v>0</v>
      </c>
    </row>
    <row r="108" spans="1:12" ht="12.75" customHeight="1" thickBot="1" x14ac:dyDescent="0.25">
      <c r="A108" s="1728" t="s">
        <v>508</v>
      </c>
      <c r="B108" s="1732"/>
      <c r="C108" s="1727">
        <f>SUM(C95:C107)</f>
        <v>132153</v>
      </c>
      <c r="D108" s="1727">
        <f t="shared" ref="D108:K108" si="3">SUM(D95:D107)</f>
        <v>70</v>
      </c>
      <c r="E108" s="1727">
        <f t="shared" si="3"/>
        <v>170065</v>
      </c>
      <c r="F108" s="1727">
        <f t="shared" si="3"/>
        <v>12913</v>
      </c>
      <c r="G108" s="1727">
        <f t="shared" si="3"/>
        <v>0</v>
      </c>
      <c r="H108" s="1727">
        <f t="shared" si="3"/>
        <v>346818</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1899101</v>
      </c>
      <c r="D109" s="1735">
        <f t="shared" si="4"/>
        <v>280296</v>
      </c>
      <c r="E109" s="1735">
        <f t="shared" si="4"/>
        <v>367576</v>
      </c>
      <c r="F109" s="1735">
        <f t="shared" si="4"/>
        <v>124122</v>
      </c>
      <c r="G109" s="1735">
        <f t="shared" si="4"/>
        <v>192773</v>
      </c>
      <c r="H109" s="1735">
        <f t="shared" si="4"/>
        <v>347137</v>
      </c>
      <c r="I109" s="1735">
        <f t="shared" si="4"/>
        <v>28072</v>
      </c>
      <c r="J109" s="1735">
        <f t="shared" si="4"/>
        <v>212559</v>
      </c>
      <c r="K109" s="1722">
        <f t="shared" si="4"/>
        <v>83</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1978541</v>
      </c>
      <c r="D117" s="480">
        <v>162193</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75" customHeight="1" thickBot="1" x14ac:dyDescent="0.25">
      <c r="A121" s="1728" t="s">
        <v>509</v>
      </c>
      <c r="B121" s="1739"/>
      <c r="C121" s="1727">
        <f t="shared" ref="C121:H121" si="5">SUM(C117:C120)</f>
        <v>1978541</v>
      </c>
      <c r="D121" s="1727">
        <f t="shared" si="5"/>
        <v>162193</v>
      </c>
      <c r="E121" s="1727">
        <f t="shared" si="5"/>
        <v>0</v>
      </c>
      <c r="F121" s="1727">
        <f t="shared" si="5"/>
        <v>0</v>
      </c>
      <c r="G121" s="1727">
        <f t="shared" si="5"/>
        <v>0</v>
      </c>
      <c r="H121" s="1727">
        <f t="shared" si="5"/>
        <v>0</v>
      </c>
      <c r="I121" s="468"/>
      <c r="J121" s="1727">
        <f>SUM(J117:J120)</f>
        <v>0</v>
      </c>
      <c r="K121" s="1708">
        <f>SUM(K117:K120)</f>
        <v>0</v>
      </c>
    </row>
    <row r="122" spans="1:11" ht="15.9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37524</v>
      </c>
      <c r="D125" s="559"/>
      <c r="E125" s="468"/>
      <c r="F125" s="466">
        <v>0</v>
      </c>
      <c r="G125" s="468"/>
      <c r="H125" s="468"/>
      <c r="I125" s="468"/>
      <c r="J125" s="468"/>
      <c r="K125" s="468"/>
    </row>
    <row r="126" spans="1:11" ht="12.75" customHeight="1" x14ac:dyDescent="0.2">
      <c r="A126" s="463" t="s">
        <v>922</v>
      </c>
      <c r="B126" s="560">
        <v>3110</v>
      </c>
      <c r="C126" s="549">
        <v>11654</v>
      </c>
      <c r="D126" s="466">
        <v>0</v>
      </c>
      <c r="E126" s="468"/>
      <c r="F126" s="466">
        <v>0</v>
      </c>
      <c r="G126" s="468"/>
      <c r="H126" s="468"/>
      <c r="I126" s="468"/>
      <c r="J126" s="468"/>
      <c r="K126" s="468"/>
    </row>
    <row r="127" spans="1:11" ht="12.75" customHeight="1" x14ac:dyDescent="0.2">
      <c r="A127" s="463" t="s">
        <v>107</v>
      </c>
      <c r="B127" s="560">
        <v>3120</v>
      </c>
      <c r="C127" s="466">
        <v>22225</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71403</v>
      </c>
      <c r="D131" s="1727">
        <f>SUM(D124:D130)</f>
        <v>0</v>
      </c>
      <c r="E131" s="469" t="s">
        <v>1231</v>
      </c>
      <c r="F131" s="1727">
        <f>SUM(F124:F130)</f>
        <v>0</v>
      </c>
      <c r="G131" s="468" t="s">
        <v>1231</v>
      </c>
      <c r="H131" s="468" t="s">
        <v>1231</v>
      </c>
      <c r="I131" s="468" t="s">
        <v>1231</v>
      </c>
      <c r="J131" s="468" t="s">
        <v>1231</v>
      </c>
      <c r="K131" s="468" t="s">
        <v>1231</v>
      </c>
    </row>
    <row r="132" spans="1:11" ht="15.9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22049</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7966</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30015</v>
      </c>
      <c r="D140" s="1727">
        <f>SUM(D133:D139)</f>
        <v>0</v>
      </c>
      <c r="E140" s="559" t="s">
        <v>1231</v>
      </c>
      <c r="F140" s="476"/>
      <c r="G140" s="1727">
        <f>SUM(G133:G139)</f>
        <v>0</v>
      </c>
      <c r="H140" s="468" t="s">
        <v>1231</v>
      </c>
      <c r="I140" s="468" t="s">
        <v>1231</v>
      </c>
      <c r="J140" s="468" t="s">
        <v>1231</v>
      </c>
      <c r="K140" s="468" t="s">
        <v>1231</v>
      </c>
    </row>
    <row r="141" spans="1:11" ht="15.9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1880</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5902</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9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52230</v>
      </c>
      <c r="G151" s="467">
        <v>0</v>
      </c>
      <c r="H151" s="468"/>
      <c r="I151" s="468"/>
      <c r="J151" s="468"/>
      <c r="K151" s="468"/>
    </row>
    <row r="152" spans="1:11" ht="12.75" customHeight="1" x14ac:dyDescent="0.2">
      <c r="A152" s="463" t="s">
        <v>1117</v>
      </c>
      <c r="B152" s="560">
        <v>3510</v>
      </c>
      <c r="C152" s="549">
        <v>0</v>
      </c>
      <c r="D152" s="466">
        <v>0</v>
      </c>
      <c r="E152" s="559"/>
      <c r="F152" s="466">
        <v>78654</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130884</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164188</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4000</v>
      </c>
      <c r="D171" s="578">
        <v>0</v>
      </c>
      <c r="E171" s="578">
        <v>0</v>
      </c>
      <c r="F171" s="578">
        <v>0</v>
      </c>
      <c r="G171" s="579">
        <v>0</v>
      </c>
      <c r="H171" s="580">
        <v>0</v>
      </c>
      <c r="I171" s="579">
        <v>0</v>
      </c>
      <c r="J171" s="579">
        <v>0</v>
      </c>
      <c r="K171" s="580">
        <v>0</v>
      </c>
    </row>
    <row r="172" spans="1:11" ht="12.75" customHeight="1" thickTop="1" thickBot="1" x14ac:dyDescent="0.25">
      <c r="A172" s="2158" t="s">
        <v>418</v>
      </c>
      <c r="B172" s="2159"/>
      <c r="C172" s="1742">
        <f t="shared" ref="C172:K172" si="6">SUM(C131,C140,C144,C145:C149,C154,C155:C170,C171)</f>
        <v>277388</v>
      </c>
      <c r="D172" s="1742">
        <f t="shared" si="6"/>
        <v>0</v>
      </c>
      <c r="E172" s="1742">
        <f t="shared" si="6"/>
        <v>0</v>
      </c>
      <c r="F172" s="1742">
        <f t="shared" si="6"/>
        <v>130884</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2255929</v>
      </c>
      <c r="D173" s="1735">
        <f>SUM(D121,D172)</f>
        <v>162193</v>
      </c>
      <c r="E173" s="1735">
        <f>SUM(E121,E172)</f>
        <v>0</v>
      </c>
      <c r="F173" s="1735">
        <f t="shared" ref="F173:K173" si="7">SUM(F121,F172)</f>
        <v>130884</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95" customHeight="1" x14ac:dyDescent="0.2">
      <c r="A175" s="2160" t="s">
        <v>1572</v>
      </c>
      <c r="B175" s="2161"/>
      <c r="C175" s="518"/>
      <c r="D175" s="518"/>
      <c r="E175" s="507"/>
      <c r="F175" s="468"/>
      <c r="G175" s="468"/>
      <c r="H175" s="468"/>
      <c r="I175" s="468"/>
      <c r="J175" s="468"/>
      <c r="K175" s="468"/>
    </row>
    <row r="176" spans="1:11" ht="12.75"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4" t="s">
        <v>1764</v>
      </c>
      <c r="B178" s="2165"/>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95" customHeight="1" thickTop="1" x14ac:dyDescent="0.2">
      <c r="A179" s="2168" t="s">
        <v>1763</v>
      </c>
      <c r="B179" s="2169"/>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6" t="s">
        <v>818</v>
      </c>
      <c r="B184" s="2167"/>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2" t="s">
        <v>1906</v>
      </c>
      <c r="B185" s="2163"/>
      <c r="C185" s="582"/>
      <c r="D185" s="564"/>
      <c r="E185" s="507"/>
      <c r="F185" s="564"/>
      <c r="G185" s="564"/>
      <c r="H185" s="468"/>
      <c r="I185" s="468"/>
      <c r="J185" s="468"/>
      <c r="K185" s="468"/>
    </row>
    <row r="186" spans="1:11" ht="15.9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9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106259</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19253</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125512</v>
      </c>
      <c r="D201" s="468"/>
      <c r="E201" s="468"/>
      <c r="F201" s="468"/>
      <c r="G201" s="1708">
        <f>SUM(G193:G200)</f>
        <v>0</v>
      </c>
      <c r="H201" s="468"/>
      <c r="I201" s="468"/>
      <c r="J201" s="468"/>
      <c r="K201" s="468"/>
    </row>
    <row r="202" spans="1:11" ht="15.9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131356</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131356</v>
      </c>
      <c r="D211" s="1727">
        <f>SUM(D203:D210)</f>
        <v>0</v>
      </c>
      <c r="E211" s="468"/>
      <c r="F211" s="1727">
        <f>SUM(F203:F210)</f>
        <v>0</v>
      </c>
      <c r="G211" s="1727">
        <f>SUM(G203:G210)</f>
        <v>0</v>
      </c>
      <c r="H211" s="468"/>
      <c r="I211" s="468"/>
      <c r="J211" s="468"/>
      <c r="K211" s="468"/>
    </row>
    <row r="212" spans="1:11" ht="15.9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24388</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24388</v>
      </c>
      <c r="D216" s="1727">
        <f>SUM(D213:D215)</f>
        <v>0</v>
      </c>
      <c r="E216" s="468" t="s">
        <v>1231</v>
      </c>
      <c r="F216" s="1727">
        <f>SUM(F213:F215)</f>
        <v>0</v>
      </c>
      <c r="G216" s="1727">
        <f>SUM(G213:G215)</f>
        <v>0</v>
      </c>
      <c r="H216" s="468"/>
      <c r="I216" s="468"/>
      <c r="J216" s="468"/>
      <c r="K216" s="468"/>
    </row>
    <row r="217" spans="1:11" ht="15.9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13923</v>
      </c>
      <c r="D220" s="466">
        <v>0</v>
      </c>
      <c r="E220" s="468"/>
      <c r="F220" s="466">
        <v>0</v>
      </c>
      <c r="G220" s="466">
        <v>0</v>
      </c>
      <c r="H220" s="468"/>
      <c r="I220" s="468"/>
      <c r="J220" s="468"/>
      <c r="K220" s="468"/>
    </row>
    <row r="221" spans="1:11" ht="12.75" customHeight="1" x14ac:dyDescent="0.2">
      <c r="A221" s="463" t="s">
        <v>1114</v>
      </c>
      <c r="B221" s="470">
        <v>4625</v>
      </c>
      <c r="C221" s="549">
        <v>98</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14021</v>
      </c>
      <c r="D224" s="1727">
        <f>SUM(D218:D223)</f>
        <v>0</v>
      </c>
      <c r="E224" s="468"/>
      <c r="F224" s="1727">
        <f>SUM(F218:F223)</f>
        <v>0</v>
      </c>
      <c r="G224" s="1727">
        <f>SUM(G218:G223)</f>
        <v>0</v>
      </c>
      <c r="H224" s="468"/>
      <c r="I224" s="468"/>
      <c r="J224" s="468"/>
      <c r="K224" s="468"/>
    </row>
    <row r="225" spans="1:11" ht="15.9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16024</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3341</v>
      </c>
      <c r="D270" s="574">
        <v>0</v>
      </c>
      <c r="E270" s="468"/>
      <c r="F270" s="574">
        <v>0</v>
      </c>
      <c r="G270" s="574">
        <v>0</v>
      </c>
      <c r="H270" s="468"/>
      <c r="I270" s="468"/>
      <c r="J270" s="468"/>
      <c r="K270" s="468"/>
    </row>
    <row r="271" spans="1:11" ht="12.75" customHeight="1" thickTop="1" thickBot="1" x14ac:dyDescent="0.25">
      <c r="A271" s="463" t="s">
        <v>395</v>
      </c>
      <c r="B271" s="470">
        <v>4992</v>
      </c>
      <c r="C271" s="573">
        <v>11628</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326270</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326270</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4481300</v>
      </c>
      <c r="D275" s="1735">
        <f t="shared" si="12"/>
        <v>442489</v>
      </c>
      <c r="E275" s="1735">
        <f t="shared" si="12"/>
        <v>367576</v>
      </c>
      <c r="F275" s="1735">
        <f t="shared" si="12"/>
        <v>255006</v>
      </c>
      <c r="G275" s="1735">
        <f t="shared" si="12"/>
        <v>192773</v>
      </c>
      <c r="H275" s="1735">
        <f t="shared" si="12"/>
        <v>347137</v>
      </c>
      <c r="I275" s="1735">
        <f t="shared" si="12"/>
        <v>28072</v>
      </c>
      <c r="J275" s="1735">
        <f t="shared" si="12"/>
        <v>212559</v>
      </c>
      <c r="K275" s="1722">
        <f t="shared" si="12"/>
        <v>83</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95" activePane="bottomLeft" state="frozen"/>
      <selection activeCell="A21" sqref="A21"/>
      <selection pane="bottomLeft" activeCell="H206" sqref="H206"/>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38"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2"/>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8" t="s">
        <v>315</v>
      </c>
      <c r="B3" s="2179"/>
      <c r="C3" s="1568"/>
      <c r="D3" s="1568"/>
      <c r="E3" s="1568"/>
      <c r="F3" s="1568"/>
      <c r="G3" s="1568"/>
      <c r="H3" s="1568"/>
      <c r="I3" s="1568"/>
      <c r="J3" s="1568"/>
      <c r="K3" s="1569"/>
      <c r="L3" s="1570"/>
      <c r="M3" s="608"/>
      <c r="N3" s="608"/>
    </row>
    <row r="4" spans="1:14" s="259" customFormat="1" ht="15.9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1746010</v>
      </c>
      <c r="D5" s="466">
        <v>454221</v>
      </c>
      <c r="E5" s="466">
        <v>21173</v>
      </c>
      <c r="F5" s="466">
        <v>39736</v>
      </c>
      <c r="G5" s="466">
        <v>0</v>
      </c>
      <c r="H5" s="466">
        <v>24891</v>
      </c>
      <c r="I5" s="467">
        <v>0</v>
      </c>
      <c r="J5" s="467">
        <v>0</v>
      </c>
      <c r="K5" s="1691">
        <f>SUM(C5:J5)</f>
        <v>2286031</v>
      </c>
      <c r="L5" s="466">
        <v>2362100</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74689</v>
      </c>
      <c r="D7" s="467">
        <v>18612</v>
      </c>
      <c r="E7" s="467">
        <v>3309</v>
      </c>
      <c r="F7" s="467">
        <v>2333</v>
      </c>
      <c r="G7" s="467">
        <v>2693</v>
      </c>
      <c r="H7" s="467">
        <v>0</v>
      </c>
      <c r="I7" s="467">
        <v>0</v>
      </c>
      <c r="J7" s="467">
        <v>0</v>
      </c>
      <c r="K7" s="1691">
        <f t="shared" ref="K7:K32" si="0">SUM(C7:J7)</f>
        <v>101636</v>
      </c>
      <c r="L7" s="466">
        <v>107750</v>
      </c>
    </row>
    <row r="8" spans="1:14" x14ac:dyDescent="0.2">
      <c r="A8" s="1524" t="s">
        <v>166</v>
      </c>
      <c r="B8" s="613">
        <v>1200</v>
      </c>
      <c r="C8" s="466">
        <v>120520</v>
      </c>
      <c r="D8" s="466">
        <v>37293</v>
      </c>
      <c r="E8" s="466">
        <v>0</v>
      </c>
      <c r="F8" s="466">
        <v>0</v>
      </c>
      <c r="G8" s="466">
        <v>0</v>
      </c>
      <c r="H8" s="466">
        <v>0</v>
      </c>
      <c r="I8" s="467">
        <v>0</v>
      </c>
      <c r="J8" s="467">
        <v>0</v>
      </c>
      <c r="K8" s="1691">
        <f t="shared" si="0"/>
        <v>157813</v>
      </c>
      <c r="L8" s="466">
        <v>166300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71172</v>
      </c>
      <c r="D10" s="466">
        <v>21038</v>
      </c>
      <c r="E10" s="466">
        <v>26291</v>
      </c>
      <c r="F10" s="466">
        <v>6604</v>
      </c>
      <c r="G10" s="466">
        <v>0</v>
      </c>
      <c r="H10" s="466">
        <v>0</v>
      </c>
      <c r="I10" s="467">
        <v>0</v>
      </c>
      <c r="J10" s="467">
        <v>0</v>
      </c>
      <c r="K10" s="1691">
        <f t="shared" si="0"/>
        <v>125105</v>
      </c>
      <c r="L10" s="466">
        <v>120000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77552</v>
      </c>
      <c r="D13" s="466">
        <v>25302</v>
      </c>
      <c r="E13" s="466">
        <v>1146</v>
      </c>
      <c r="F13" s="466">
        <v>20768</v>
      </c>
      <c r="G13" s="466">
        <v>1974</v>
      </c>
      <c r="H13" s="466">
        <v>0</v>
      </c>
      <c r="I13" s="467">
        <v>0</v>
      </c>
      <c r="J13" s="467">
        <v>0</v>
      </c>
      <c r="K13" s="1691">
        <f t="shared" si="0"/>
        <v>126742</v>
      </c>
      <c r="L13" s="466">
        <v>152700</v>
      </c>
    </row>
    <row r="14" spans="1:14" x14ac:dyDescent="0.2">
      <c r="A14" s="1524" t="s">
        <v>1020</v>
      </c>
      <c r="B14" s="613">
        <v>1500</v>
      </c>
      <c r="C14" s="467">
        <v>78579</v>
      </c>
      <c r="D14" s="466">
        <v>7684</v>
      </c>
      <c r="E14" s="466">
        <v>28012</v>
      </c>
      <c r="F14" s="466">
        <v>35765</v>
      </c>
      <c r="G14" s="466">
        <v>2202</v>
      </c>
      <c r="H14" s="466">
        <v>11859</v>
      </c>
      <c r="I14" s="467">
        <v>0</v>
      </c>
      <c r="J14" s="467">
        <v>0</v>
      </c>
      <c r="K14" s="1691">
        <f t="shared" si="0"/>
        <v>164101</v>
      </c>
      <c r="L14" s="466">
        <v>196550</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29545</v>
      </c>
      <c r="D17" s="467">
        <v>3411</v>
      </c>
      <c r="E17" s="467">
        <v>0</v>
      </c>
      <c r="F17" s="467">
        <v>0</v>
      </c>
      <c r="G17" s="467">
        <v>0</v>
      </c>
      <c r="H17" s="467">
        <v>0</v>
      </c>
      <c r="I17" s="467">
        <v>0</v>
      </c>
      <c r="J17" s="467">
        <v>0</v>
      </c>
      <c r="K17" s="1691">
        <f t="shared" si="0"/>
        <v>32956</v>
      </c>
      <c r="L17" s="466">
        <v>33300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2198067</v>
      </c>
      <c r="D33" s="1690">
        <f t="shared" ref="D33:L33" si="1">SUM(D5:D32)</f>
        <v>567561</v>
      </c>
      <c r="E33" s="1690">
        <f t="shared" si="1"/>
        <v>79931</v>
      </c>
      <c r="F33" s="1690">
        <f t="shared" si="1"/>
        <v>105206</v>
      </c>
      <c r="G33" s="1690">
        <f t="shared" si="1"/>
        <v>6869</v>
      </c>
      <c r="H33" s="1690">
        <f t="shared" si="1"/>
        <v>36750</v>
      </c>
      <c r="I33" s="1690">
        <f t="shared" si="1"/>
        <v>0</v>
      </c>
      <c r="J33" s="1690">
        <f t="shared" si="1"/>
        <v>0</v>
      </c>
      <c r="K33" s="1690">
        <f t="shared" si="1"/>
        <v>2994384</v>
      </c>
      <c r="L33" s="1690">
        <f t="shared" si="1"/>
        <v>3138700</v>
      </c>
    </row>
    <row r="34" spans="1:14" s="619" customFormat="1" ht="15.95" customHeight="1" thickTop="1" x14ac:dyDescent="0.2">
      <c r="A34" s="1628" t="s">
        <v>48</v>
      </c>
      <c r="B34" s="1629" t="s">
        <v>590</v>
      </c>
      <c r="C34" s="617"/>
      <c r="D34" s="617"/>
      <c r="E34" s="617"/>
      <c r="F34" s="617"/>
      <c r="G34" s="617"/>
      <c r="H34" s="617"/>
      <c r="I34" s="615"/>
      <c r="J34" s="615"/>
      <c r="K34" s="615"/>
      <c r="L34" s="615"/>
      <c r="M34" s="618"/>
      <c r="N34" s="618"/>
    </row>
    <row r="35" spans="1:14" s="619" customFormat="1" ht="15.9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43365</v>
      </c>
      <c r="D37" s="466">
        <v>12276</v>
      </c>
      <c r="E37" s="466">
        <v>0</v>
      </c>
      <c r="F37" s="466">
        <v>0</v>
      </c>
      <c r="G37" s="466">
        <v>0</v>
      </c>
      <c r="H37" s="466">
        <v>0</v>
      </c>
      <c r="I37" s="467">
        <v>0</v>
      </c>
      <c r="J37" s="467">
        <v>0</v>
      </c>
      <c r="K37" s="1691">
        <f t="shared" si="2"/>
        <v>55641</v>
      </c>
      <c r="L37" s="466">
        <v>56050</v>
      </c>
    </row>
    <row r="38" spans="1:14" x14ac:dyDescent="0.2">
      <c r="A38" s="1524" t="s">
        <v>207</v>
      </c>
      <c r="B38" s="613">
        <v>2130</v>
      </c>
      <c r="C38" s="466">
        <v>0</v>
      </c>
      <c r="D38" s="466">
        <v>0</v>
      </c>
      <c r="E38" s="466">
        <v>225</v>
      </c>
      <c r="F38" s="466">
        <v>0</v>
      </c>
      <c r="G38" s="466">
        <v>0</v>
      </c>
      <c r="H38" s="466">
        <v>0</v>
      </c>
      <c r="I38" s="467">
        <v>0</v>
      </c>
      <c r="J38" s="467">
        <v>0</v>
      </c>
      <c r="K38" s="1691">
        <f t="shared" si="2"/>
        <v>225</v>
      </c>
      <c r="L38" s="466">
        <v>700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96</v>
      </c>
      <c r="D41" s="466">
        <v>0</v>
      </c>
      <c r="E41" s="466">
        <v>0</v>
      </c>
      <c r="F41" s="466">
        <v>0</v>
      </c>
      <c r="G41" s="466">
        <v>0</v>
      </c>
      <c r="H41" s="466">
        <v>0</v>
      </c>
      <c r="I41" s="467">
        <v>0</v>
      </c>
      <c r="J41" s="467">
        <v>0</v>
      </c>
      <c r="K41" s="1691">
        <f t="shared" si="2"/>
        <v>96</v>
      </c>
      <c r="L41" s="466">
        <v>300</v>
      </c>
    </row>
    <row r="42" spans="1:14" ht="12.75" customHeight="1" thickBot="1" x14ac:dyDescent="0.25">
      <c r="A42" s="1688" t="s">
        <v>581</v>
      </c>
      <c r="B42" s="1689" t="s">
        <v>740</v>
      </c>
      <c r="C42" s="1690">
        <f>SUM(C36:C41)</f>
        <v>43461</v>
      </c>
      <c r="D42" s="1690">
        <f t="shared" ref="D42:L42" si="3">SUM(D36:D41)</f>
        <v>12276</v>
      </c>
      <c r="E42" s="1690">
        <f t="shared" si="3"/>
        <v>225</v>
      </c>
      <c r="F42" s="1690">
        <f t="shared" si="3"/>
        <v>0</v>
      </c>
      <c r="G42" s="1690">
        <f t="shared" si="3"/>
        <v>0</v>
      </c>
      <c r="H42" s="1690">
        <f t="shared" si="3"/>
        <v>0</v>
      </c>
      <c r="I42" s="1690">
        <f t="shared" si="3"/>
        <v>0</v>
      </c>
      <c r="J42" s="1690">
        <f t="shared" si="3"/>
        <v>0</v>
      </c>
      <c r="K42" s="1690">
        <f t="shared" si="3"/>
        <v>55962</v>
      </c>
      <c r="L42" s="1690">
        <f t="shared" si="3"/>
        <v>57050</v>
      </c>
    </row>
    <row r="43" spans="1:14" ht="15.9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11212</v>
      </c>
      <c r="D44" s="480">
        <v>3789</v>
      </c>
      <c r="E44" s="480">
        <v>0</v>
      </c>
      <c r="F44" s="480">
        <v>0</v>
      </c>
      <c r="G44" s="480">
        <v>0</v>
      </c>
      <c r="H44" s="480">
        <v>0</v>
      </c>
      <c r="I44" s="467">
        <v>0</v>
      </c>
      <c r="J44" s="467">
        <v>0</v>
      </c>
      <c r="K44" s="1692">
        <f>SUM(C44:J44)</f>
        <v>15001</v>
      </c>
      <c r="L44" s="480">
        <v>16000</v>
      </c>
    </row>
    <row r="45" spans="1:14" x14ac:dyDescent="0.2">
      <c r="A45" s="1524" t="s">
        <v>869</v>
      </c>
      <c r="B45" s="613">
        <v>2220</v>
      </c>
      <c r="C45" s="467">
        <v>110647</v>
      </c>
      <c r="D45" s="466">
        <v>21877</v>
      </c>
      <c r="E45" s="466">
        <v>36832</v>
      </c>
      <c r="F45" s="466">
        <v>42333</v>
      </c>
      <c r="G45" s="466">
        <v>26221</v>
      </c>
      <c r="H45" s="466">
        <v>0</v>
      </c>
      <c r="I45" s="467">
        <v>0</v>
      </c>
      <c r="J45" s="467">
        <v>0</v>
      </c>
      <c r="K45" s="1692">
        <f>SUM(C45:J45)</f>
        <v>237910</v>
      </c>
      <c r="L45" s="466">
        <v>250150</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121859</v>
      </c>
      <c r="D47" s="1690">
        <f t="shared" ref="D47:K47" si="4">SUM(D44:D46)</f>
        <v>25666</v>
      </c>
      <c r="E47" s="1690">
        <f t="shared" si="4"/>
        <v>36832</v>
      </c>
      <c r="F47" s="1690">
        <f t="shared" si="4"/>
        <v>42333</v>
      </c>
      <c r="G47" s="1690">
        <f t="shared" si="4"/>
        <v>26221</v>
      </c>
      <c r="H47" s="1690">
        <f t="shared" si="4"/>
        <v>0</v>
      </c>
      <c r="I47" s="1690">
        <f t="shared" si="4"/>
        <v>0</v>
      </c>
      <c r="J47" s="1690">
        <f t="shared" si="4"/>
        <v>0</v>
      </c>
      <c r="K47" s="1690">
        <f t="shared" si="4"/>
        <v>252911</v>
      </c>
      <c r="L47" s="1690">
        <f>SUM(L44:L46)</f>
        <v>266150</v>
      </c>
    </row>
    <row r="48" spans="1:14" ht="15.9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0</v>
      </c>
      <c r="D49" s="480">
        <v>0</v>
      </c>
      <c r="E49" s="480">
        <v>16686</v>
      </c>
      <c r="F49" s="480">
        <v>1090</v>
      </c>
      <c r="G49" s="480">
        <v>0</v>
      </c>
      <c r="H49" s="480">
        <v>4039</v>
      </c>
      <c r="I49" s="467">
        <v>0</v>
      </c>
      <c r="J49" s="467">
        <v>0</v>
      </c>
      <c r="K49" s="1692">
        <f>SUM(C49:J49)</f>
        <v>21815</v>
      </c>
      <c r="L49" s="466">
        <v>26800</v>
      </c>
    </row>
    <row r="50" spans="1:14" x14ac:dyDescent="0.2">
      <c r="A50" s="1524" t="s">
        <v>872</v>
      </c>
      <c r="B50" s="613">
        <v>2320</v>
      </c>
      <c r="C50" s="466">
        <v>150800</v>
      </c>
      <c r="D50" s="466">
        <v>37266</v>
      </c>
      <c r="E50" s="466">
        <v>746</v>
      </c>
      <c r="F50" s="466">
        <v>315</v>
      </c>
      <c r="G50" s="466">
        <v>0</v>
      </c>
      <c r="H50" s="466">
        <v>1948</v>
      </c>
      <c r="I50" s="467">
        <v>0</v>
      </c>
      <c r="J50" s="467">
        <v>0</v>
      </c>
      <c r="K50" s="1692">
        <f>SUM(C50:J50)</f>
        <v>191075</v>
      </c>
      <c r="L50" s="466">
        <v>193200</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150800</v>
      </c>
      <c r="D53" s="1690">
        <f t="shared" ref="D53:L53" si="5">SUM(D49:D52)</f>
        <v>37266</v>
      </c>
      <c r="E53" s="1690">
        <f t="shared" si="5"/>
        <v>17432</v>
      </c>
      <c r="F53" s="1690">
        <f t="shared" si="5"/>
        <v>1405</v>
      </c>
      <c r="G53" s="1690">
        <f t="shared" si="5"/>
        <v>0</v>
      </c>
      <c r="H53" s="1690">
        <f t="shared" si="5"/>
        <v>5987</v>
      </c>
      <c r="I53" s="1690">
        <f t="shared" si="5"/>
        <v>0</v>
      </c>
      <c r="J53" s="1690">
        <f t="shared" si="5"/>
        <v>0</v>
      </c>
      <c r="K53" s="1690">
        <f t="shared" si="5"/>
        <v>212890</v>
      </c>
      <c r="L53" s="1690">
        <f t="shared" si="5"/>
        <v>220000</v>
      </c>
    </row>
    <row r="54" spans="1:14" ht="15.9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196320</v>
      </c>
      <c r="D55" s="480">
        <v>51383</v>
      </c>
      <c r="E55" s="480">
        <v>440</v>
      </c>
      <c r="F55" s="480">
        <v>956</v>
      </c>
      <c r="G55" s="480">
        <v>0</v>
      </c>
      <c r="H55" s="480">
        <v>0</v>
      </c>
      <c r="I55" s="467">
        <v>0</v>
      </c>
      <c r="J55" s="467">
        <v>0</v>
      </c>
      <c r="K55" s="1692">
        <f>SUM(C55:J55)</f>
        <v>249099</v>
      </c>
      <c r="L55" s="480">
        <v>251400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196320</v>
      </c>
      <c r="D57" s="1694">
        <f t="shared" ref="D57:K57" si="6">SUM(D55:D56)</f>
        <v>51383</v>
      </c>
      <c r="E57" s="1694">
        <f t="shared" si="6"/>
        <v>440</v>
      </c>
      <c r="F57" s="1694">
        <f t="shared" si="6"/>
        <v>956</v>
      </c>
      <c r="G57" s="1694">
        <f t="shared" si="6"/>
        <v>0</v>
      </c>
      <c r="H57" s="1694">
        <f t="shared" si="6"/>
        <v>0</v>
      </c>
      <c r="I57" s="1694">
        <f t="shared" si="6"/>
        <v>0</v>
      </c>
      <c r="J57" s="1694">
        <f t="shared" si="6"/>
        <v>0</v>
      </c>
      <c r="K57" s="1694">
        <f t="shared" si="6"/>
        <v>249099</v>
      </c>
      <c r="L57" s="1690">
        <f>SUM(L55:L56)</f>
        <v>251400</v>
      </c>
      <c r="M57" s="608"/>
      <c r="N57" s="608"/>
    </row>
    <row r="58" spans="1:14" s="343" customFormat="1" ht="15.9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43604</v>
      </c>
      <c r="D60" s="466">
        <v>7779</v>
      </c>
      <c r="E60" s="466">
        <v>1745</v>
      </c>
      <c r="F60" s="466">
        <v>1910</v>
      </c>
      <c r="G60" s="466">
        <v>0</v>
      </c>
      <c r="H60" s="466">
        <v>0</v>
      </c>
      <c r="I60" s="467">
        <v>0</v>
      </c>
      <c r="J60" s="467">
        <v>0</v>
      </c>
      <c r="K60" s="1692">
        <f t="shared" si="7"/>
        <v>55038</v>
      </c>
      <c r="L60" s="466">
        <v>56900</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2">
        <f t="shared" si="7"/>
        <v>0</v>
      </c>
      <c r="L61" s="466">
        <v>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87147</v>
      </c>
      <c r="D63" s="466">
        <v>12873</v>
      </c>
      <c r="E63" s="466">
        <v>2680</v>
      </c>
      <c r="F63" s="466">
        <v>88760</v>
      </c>
      <c r="G63" s="466">
        <v>0</v>
      </c>
      <c r="H63" s="466">
        <v>295</v>
      </c>
      <c r="I63" s="467">
        <v>0</v>
      </c>
      <c r="J63" s="467">
        <v>0</v>
      </c>
      <c r="K63" s="1692">
        <f t="shared" si="7"/>
        <v>191755</v>
      </c>
      <c r="L63" s="466">
        <v>208200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130751</v>
      </c>
      <c r="D65" s="1690">
        <f t="shared" ref="D65:L65" si="8">SUM(D59:D64)</f>
        <v>20652</v>
      </c>
      <c r="E65" s="1690">
        <f t="shared" si="8"/>
        <v>4425</v>
      </c>
      <c r="F65" s="1690">
        <f t="shared" si="8"/>
        <v>90670</v>
      </c>
      <c r="G65" s="1690">
        <f t="shared" si="8"/>
        <v>0</v>
      </c>
      <c r="H65" s="1690">
        <f t="shared" si="8"/>
        <v>295</v>
      </c>
      <c r="I65" s="1690">
        <f t="shared" si="8"/>
        <v>0</v>
      </c>
      <c r="J65" s="1690">
        <f t="shared" si="8"/>
        <v>0</v>
      </c>
      <c r="K65" s="1690">
        <f t="shared" si="8"/>
        <v>246793</v>
      </c>
      <c r="L65" s="1690">
        <f t="shared" si="8"/>
        <v>265100</v>
      </c>
      <c r="M65" s="608"/>
      <c r="N65" s="608"/>
    </row>
    <row r="66" spans="1:14" s="343" customFormat="1" ht="15.9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643191</v>
      </c>
      <c r="D74" s="1697">
        <f t="shared" ref="D74:K74" si="10">SUM(D42,D47,D53,D57,D65,D72,D73)</f>
        <v>147243</v>
      </c>
      <c r="E74" s="1697">
        <f t="shared" si="10"/>
        <v>59354</v>
      </c>
      <c r="F74" s="1697">
        <f t="shared" si="10"/>
        <v>135364</v>
      </c>
      <c r="G74" s="1697">
        <f t="shared" si="10"/>
        <v>26221</v>
      </c>
      <c r="H74" s="1697">
        <f t="shared" si="10"/>
        <v>6282</v>
      </c>
      <c r="I74" s="1697">
        <f t="shared" si="10"/>
        <v>0</v>
      </c>
      <c r="J74" s="1697">
        <f t="shared" si="10"/>
        <v>0</v>
      </c>
      <c r="K74" s="1697">
        <f t="shared" si="10"/>
        <v>1017655</v>
      </c>
      <c r="L74" s="1697">
        <f>SUM(L42,L47,L53,L57,L65,L72,L73)</f>
        <v>1059700</v>
      </c>
    </row>
    <row r="75" spans="1:14" s="259" customFormat="1" ht="15.9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95" customHeight="1" thickTop="1" x14ac:dyDescent="0.2">
      <c r="A76" s="1632" t="s">
        <v>383</v>
      </c>
      <c r="B76" s="1629" t="s">
        <v>915</v>
      </c>
      <c r="C76" s="617"/>
      <c r="D76" s="617"/>
      <c r="E76" s="615"/>
      <c r="F76" s="617"/>
      <c r="G76" s="617"/>
      <c r="H76" s="615"/>
      <c r="I76" s="615"/>
      <c r="J76" s="615"/>
      <c r="K76" s="615"/>
      <c r="L76" s="615"/>
      <c r="M76" s="184"/>
      <c r="N76" s="184"/>
    </row>
    <row r="77" spans="1:14" s="259" customFormat="1" ht="15.9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0</v>
      </c>
      <c r="F79" s="615"/>
      <c r="G79" s="615"/>
      <c r="H79" s="466">
        <v>0</v>
      </c>
      <c r="I79" s="476"/>
      <c r="J79" s="476"/>
      <c r="K79" s="1691">
        <f t="shared" si="11"/>
        <v>0</v>
      </c>
      <c r="L79" s="466">
        <v>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0</v>
      </c>
      <c r="F84" s="615"/>
      <c r="G84" s="615"/>
      <c r="H84" s="1690">
        <f>SUM(H78:H83)</f>
        <v>0</v>
      </c>
      <c r="I84" s="476"/>
      <c r="J84" s="476"/>
      <c r="K84" s="1690">
        <f>SUM(K78:K83)</f>
        <v>0</v>
      </c>
      <c r="L84" s="1690">
        <f>SUM(L78:L83)</f>
        <v>0</v>
      </c>
    </row>
    <row r="85" spans="1:12" ht="12.75" customHeight="1" thickTop="1" thickBot="1" x14ac:dyDescent="0.25">
      <c r="A85" s="1531" t="s">
        <v>273</v>
      </c>
      <c r="B85" s="634">
        <v>4210</v>
      </c>
      <c r="C85" s="615"/>
      <c r="D85" s="615"/>
      <c r="E85" s="635"/>
      <c r="F85" s="615"/>
      <c r="G85" s="615"/>
      <c r="H85" s="533">
        <v>34297</v>
      </c>
      <c r="I85" s="476"/>
      <c r="J85" s="476"/>
      <c r="K85" s="1697">
        <f>H85</f>
        <v>34297</v>
      </c>
      <c r="L85" s="528">
        <v>38000</v>
      </c>
    </row>
    <row r="86" spans="1:12" ht="12.75" customHeight="1" thickTop="1" thickBot="1" x14ac:dyDescent="0.25">
      <c r="A86" s="1532" t="s">
        <v>723</v>
      </c>
      <c r="B86" s="636">
        <v>4220</v>
      </c>
      <c r="C86" s="615"/>
      <c r="D86" s="615"/>
      <c r="E86" s="637"/>
      <c r="F86" s="615"/>
      <c r="G86" s="615"/>
      <c r="H86" s="467">
        <v>348974</v>
      </c>
      <c r="I86" s="476"/>
      <c r="J86" s="476"/>
      <c r="K86" s="1697">
        <f t="shared" ref="K86:K98" si="12">H86</f>
        <v>348974</v>
      </c>
      <c r="L86" s="528">
        <v>365000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383271</v>
      </c>
      <c r="I92" s="476"/>
      <c r="J92" s="476"/>
      <c r="K92" s="1697">
        <f t="shared" si="12"/>
        <v>383271</v>
      </c>
      <c r="L92" s="1690">
        <f>SUM(L85:L91)</f>
        <v>403000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0</v>
      </c>
      <c r="F102" s="615"/>
      <c r="G102" s="615"/>
      <c r="H102" s="1697">
        <f>SUM(H84,H92,H100,H101)</f>
        <v>383271</v>
      </c>
      <c r="I102" s="476"/>
      <c r="J102" s="476"/>
      <c r="K102" s="1697">
        <f>SUM(K84,K92,K100,K101)</f>
        <v>383271</v>
      </c>
      <c r="L102" s="1697">
        <f>SUM(L84,L92,L100,L101)</f>
        <v>403000</v>
      </c>
    </row>
    <row r="103" spans="1:14" s="632" customFormat="1" ht="15.9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9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95" customHeight="1" thickTop="1" thickBot="1" x14ac:dyDescent="0.25">
      <c r="A113" s="1626" t="s">
        <v>535</v>
      </c>
      <c r="B113" s="1633" t="s">
        <v>916</v>
      </c>
      <c r="C113" s="622"/>
      <c r="D113" s="622"/>
      <c r="E113" s="615"/>
      <c r="F113" s="615"/>
      <c r="G113" s="615"/>
      <c r="H113" s="622"/>
      <c r="I113" s="468"/>
      <c r="J113" s="468"/>
      <c r="K113" s="622"/>
      <c r="L113" s="529">
        <v>100</v>
      </c>
      <c r="M113" s="612"/>
      <c r="N113" s="612"/>
    </row>
    <row r="114" spans="1:14" ht="12.75" customHeight="1" thickTop="1" thickBot="1" x14ac:dyDescent="0.25">
      <c r="A114" s="1688" t="s">
        <v>50</v>
      </c>
      <c r="B114" s="1702"/>
      <c r="C114" s="1690">
        <f>SUM(C33,C74,C75,C102,C112,C113)</f>
        <v>2841258</v>
      </c>
      <c r="D114" s="1690">
        <f t="shared" ref="D114:K114" si="13">SUM(D33,D74,D75,D102,D112,D113)</f>
        <v>714804</v>
      </c>
      <c r="E114" s="1690">
        <f t="shared" si="13"/>
        <v>139285</v>
      </c>
      <c r="F114" s="1690">
        <f t="shared" si="13"/>
        <v>240570</v>
      </c>
      <c r="G114" s="1690">
        <f t="shared" si="13"/>
        <v>33090</v>
      </c>
      <c r="H114" s="1690">
        <f>SUM(H33,H74,H75,H102,H112,H113)</f>
        <v>426303</v>
      </c>
      <c r="I114" s="1690">
        <f t="shared" si="13"/>
        <v>0</v>
      </c>
      <c r="J114" s="1690">
        <f t="shared" si="13"/>
        <v>0</v>
      </c>
      <c r="K114" s="1690">
        <f t="shared" si="13"/>
        <v>4395310</v>
      </c>
      <c r="L114" s="1690">
        <f>SUM(L33,L74,L75,L102,L112,L113)</f>
        <v>4601500</v>
      </c>
    </row>
    <row r="115" spans="1:14" ht="13.5" thickTop="1" x14ac:dyDescent="0.2">
      <c r="A115" s="2170" t="s">
        <v>1053</v>
      </c>
      <c r="B115" s="2171"/>
      <c r="C115" s="617"/>
      <c r="D115" s="617"/>
      <c r="E115" s="617"/>
      <c r="F115" s="617"/>
      <c r="G115" s="617"/>
      <c r="H115" s="617"/>
      <c r="I115" s="617"/>
      <c r="J115" s="617"/>
      <c r="K115" s="1704">
        <f>'Revenues 9-14'!C275-'Expenditures 15-22'!K114</f>
        <v>85990</v>
      </c>
      <c r="L115" s="617"/>
    </row>
    <row r="116" spans="1:14" s="180" customFormat="1" ht="9.1999999999999993"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5" t="s">
        <v>314</v>
      </c>
      <c r="B117" s="2176"/>
      <c r="C117" s="1646"/>
      <c r="D117" s="1647"/>
      <c r="E117" s="1647"/>
      <c r="F117" s="1647"/>
      <c r="G117" s="1647"/>
      <c r="H117" s="1647"/>
      <c r="I117" s="1647"/>
      <c r="J117" s="1647"/>
      <c r="K117" s="1647"/>
      <c r="L117" s="1648"/>
      <c r="M117" s="175"/>
      <c r="N117" s="175"/>
    </row>
    <row r="118" spans="1:14" ht="15.95" customHeight="1" x14ac:dyDescent="0.2">
      <c r="A118" s="1634" t="s">
        <v>1095</v>
      </c>
      <c r="B118" s="1635" t="s">
        <v>590</v>
      </c>
      <c r="C118" s="615"/>
      <c r="D118" s="615"/>
      <c r="E118" s="615"/>
      <c r="F118" s="615"/>
      <c r="G118" s="615"/>
      <c r="H118" s="615"/>
      <c r="I118" s="615"/>
      <c r="J118" s="615"/>
      <c r="K118" s="615"/>
      <c r="L118" s="615"/>
    </row>
    <row r="119" spans="1:14" ht="15.9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9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192723</v>
      </c>
      <c r="D124" s="466">
        <v>36370</v>
      </c>
      <c r="E124" s="466">
        <v>165569</v>
      </c>
      <c r="F124" s="466">
        <v>34888</v>
      </c>
      <c r="G124" s="466">
        <v>2975</v>
      </c>
      <c r="H124" s="466">
        <v>0</v>
      </c>
      <c r="I124" s="467">
        <v>0</v>
      </c>
      <c r="J124" s="467">
        <v>0</v>
      </c>
      <c r="K124" s="1690">
        <f>SUM(C124:J124)</f>
        <v>432525</v>
      </c>
      <c r="L124" s="466">
        <v>465200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192723</v>
      </c>
      <c r="D127" s="1690">
        <f t="shared" ref="D127:L127" si="14">SUM(D122:D126)</f>
        <v>36370</v>
      </c>
      <c r="E127" s="1690">
        <f t="shared" si="14"/>
        <v>165569</v>
      </c>
      <c r="F127" s="1690">
        <f t="shared" si="14"/>
        <v>34888</v>
      </c>
      <c r="G127" s="1690">
        <f t="shared" si="14"/>
        <v>2975</v>
      </c>
      <c r="H127" s="1690">
        <f t="shared" si="14"/>
        <v>0</v>
      </c>
      <c r="I127" s="1690">
        <f t="shared" si="14"/>
        <v>0</v>
      </c>
      <c r="J127" s="1690">
        <f t="shared" si="14"/>
        <v>0</v>
      </c>
      <c r="K127" s="1690">
        <f t="shared" si="14"/>
        <v>432525</v>
      </c>
      <c r="L127" s="1690">
        <f t="shared" si="14"/>
        <v>465200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192723</v>
      </c>
      <c r="D129" s="1697">
        <f t="shared" ref="D129:L129" si="15">SUM(D120,D127,D128)</f>
        <v>36370</v>
      </c>
      <c r="E129" s="1697">
        <f t="shared" si="15"/>
        <v>165569</v>
      </c>
      <c r="F129" s="1697">
        <f t="shared" si="15"/>
        <v>34888</v>
      </c>
      <c r="G129" s="1697">
        <f t="shared" si="15"/>
        <v>2975</v>
      </c>
      <c r="H129" s="1697">
        <f t="shared" si="15"/>
        <v>0</v>
      </c>
      <c r="I129" s="1697">
        <f t="shared" si="15"/>
        <v>0</v>
      </c>
      <c r="J129" s="1697">
        <f t="shared" si="15"/>
        <v>0</v>
      </c>
      <c r="K129" s="1697">
        <f t="shared" si="15"/>
        <v>432525</v>
      </c>
      <c r="L129" s="1697">
        <f t="shared" si="15"/>
        <v>465200</v>
      </c>
    </row>
    <row r="130" spans="1:14" ht="15.9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9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95" customHeight="1" thickTop="1" x14ac:dyDescent="0.2">
      <c r="A140" s="1632" t="s">
        <v>1097</v>
      </c>
      <c r="B140" s="1633" t="s">
        <v>513</v>
      </c>
      <c r="C140" s="615"/>
      <c r="D140" s="615"/>
      <c r="E140" s="637"/>
      <c r="F140" s="637"/>
      <c r="G140" s="637"/>
      <c r="H140" s="635"/>
      <c r="I140" s="476"/>
      <c r="J140" s="637"/>
      <c r="K140" s="635"/>
      <c r="L140" s="635"/>
    </row>
    <row r="141" spans="1:14" ht="15.9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9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95" customHeight="1" thickTop="1" thickBot="1" x14ac:dyDescent="0.25">
      <c r="A150" s="1626" t="s">
        <v>1098</v>
      </c>
      <c r="B150" s="1633" t="s">
        <v>916</v>
      </c>
      <c r="C150" s="615"/>
      <c r="D150" s="615"/>
      <c r="E150" s="615"/>
      <c r="F150" s="615"/>
      <c r="G150" s="615"/>
      <c r="H150" s="661"/>
      <c r="I150" s="519"/>
      <c r="J150" s="615"/>
      <c r="K150" s="622"/>
      <c r="L150" s="571">
        <v>100</v>
      </c>
    </row>
    <row r="151" spans="1:14" ht="12.75" customHeight="1" thickTop="1" thickBot="1" x14ac:dyDescent="0.25">
      <c r="A151" s="2187" t="s">
        <v>641</v>
      </c>
      <c r="B151" s="2167"/>
      <c r="C151" s="1690">
        <f>SUM(C129,C130,C139,C149,C150)</f>
        <v>192723</v>
      </c>
      <c r="D151" s="1690">
        <f t="shared" ref="D151:K151" si="16">SUM(D129,D130,D139,D149,D150)</f>
        <v>36370</v>
      </c>
      <c r="E151" s="1690">
        <f t="shared" si="16"/>
        <v>165569</v>
      </c>
      <c r="F151" s="1690">
        <f t="shared" si="16"/>
        <v>34888</v>
      </c>
      <c r="G151" s="1690">
        <f t="shared" si="16"/>
        <v>2975</v>
      </c>
      <c r="H151" s="1690">
        <f t="shared" si="16"/>
        <v>0</v>
      </c>
      <c r="I151" s="1690">
        <f t="shared" si="16"/>
        <v>0</v>
      </c>
      <c r="J151" s="1690">
        <f t="shared" si="16"/>
        <v>0</v>
      </c>
      <c r="K151" s="1690">
        <f t="shared" si="16"/>
        <v>432525</v>
      </c>
      <c r="L151" s="1690">
        <f>SUM(L129,L130,L139,L149,L150)</f>
        <v>465300</v>
      </c>
    </row>
    <row r="152" spans="1:14" ht="12.75" customHeight="1" thickTop="1" x14ac:dyDescent="0.2">
      <c r="A152" s="2190" t="s">
        <v>1240</v>
      </c>
      <c r="B152" s="2191"/>
      <c r="C152" s="617"/>
      <c r="D152" s="617"/>
      <c r="E152" s="617"/>
      <c r="F152" s="617"/>
      <c r="G152" s="617"/>
      <c r="H152" s="617"/>
      <c r="I152" s="617"/>
      <c r="J152" s="615"/>
      <c r="K152" s="1704">
        <f>'Revenues 9-14'!D275-'Expenditures 15-22'!K151</f>
        <v>9964</v>
      </c>
      <c r="L152" s="617"/>
    </row>
    <row r="153" spans="1:14" s="665" customFormat="1" ht="9.1999999999999993"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5" t="s">
        <v>642</v>
      </c>
      <c r="B154" s="2177"/>
      <c r="C154" s="1646"/>
      <c r="D154" s="1647"/>
      <c r="E154" s="1647"/>
      <c r="F154" s="1647"/>
      <c r="G154" s="1647"/>
      <c r="H154" s="1647"/>
      <c r="I154" s="1647"/>
      <c r="J154" s="1647"/>
      <c r="K154" s="1647"/>
      <c r="L154" s="1648"/>
      <c r="M154" s="666"/>
      <c r="N154" s="666"/>
    </row>
    <row r="155" spans="1:14" s="619" customFormat="1" ht="15.9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9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9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9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9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95" customHeight="1" thickTop="1" x14ac:dyDescent="0.2">
      <c r="A169" s="668" t="s">
        <v>85</v>
      </c>
      <c r="B169" s="669" t="s">
        <v>38</v>
      </c>
      <c r="C169" s="615"/>
      <c r="D169" s="615"/>
      <c r="E169" s="615"/>
      <c r="F169" s="615"/>
      <c r="G169" s="615"/>
      <c r="H169" s="655">
        <v>43210</v>
      </c>
      <c r="I169" s="615"/>
      <c r="J169" s="615"/>
      <c r="K169" s="1691">
        <f>SUM(C169:H169)</f>
        <v>43210</v>
      </c>
      <c r="L169" s="655">
        <v>42411</v>
      </c>
    </row>
    <row r="170" spans="1:14" ht="33.950000000000003" customHeight="1" x14ac:dyDescent="0.2">
      <c r="A170" s="668" t="s">
        <v>1769</v>
      </c>
      <c r="B170" s="670" t="s">
        <v>31</v>
      </c>
      <c r="C170" s="615"/>
      <c r="D170" s="615"/>
      <c r="E170" s="615"/>
      <c r="F170" s="615"/>
      <c r="G170" s="615"/>
      <c r="H170" s="567">
        <v>284737</v>
      </c>
      <c r="I170" s="615"/>
      <c r="J170" s="615"/>
      <c r="K170" s="1691">
        <f>SUM(C170:J170)</f>
        <v>284737</v>
      </c>
      <c r="L170" s="567">
        <v>285700</v>
      </c>
    </row>
    <row r="171" spans="1:14" ht="15.95" customHeight="1" x14ac:dyDescent="0.2">
      <c r="A171" s="620" t="s">
        <v>790</v>
      </c>
      <c r="B171" s="671" t="s">
        <v>86</v>
      </c>
      <c r="C171" s="615"/>
      <c r="D171" s="615"/>
      <c r="E171" s="466">
        <v>500</v>
      </c>
      <c r="F171" s="615"/>
      <c r="G171" s="615"/>
      <c r="H171" s="567">
        <v>0</v>
      </c>
      <c r="I171" s="476"/>
      <c r="J171" s="615"/>
      <c r="K171" s="1691">
        <f>SUM(C171:J171)</f>
        <v>500</v>
      </c>
      <c r="L171" s="567">
        <v>3000</v>
      </c>
    </row>
    <row r="172" spans="1:14" ht="12.75" customHeight="1" thickBot="1" x14ac:dyDescent="0.25">
      <c r="A172" s="1688" t="s">
        <v>659</v>
      </c>
      <c r="B172" s="1689" t="s">
        <v>513</v>
      </c>
      <c r="C172" s="615"/>
      <c r="D172" s="615"/>
      <c r="E172" s="1697">
        <f>SUM(E168,E169,E170,E171)</f>
        <v>500</v>
      </c>
      <c r="F172" s="615"/>
      <c r="G172" s="615"/>
      <c r="H172" s="1697">
        <f>SUM(H168,H169,H170,H171)</f>
        <v>327947</v>
      </c>
      <c r="I172" s="637"/>
      <c r="J172" s="615"/>
      <c r="K172" s="1697">
        <f>SUM(K168,K169,K170,K171)</f>
        <v>328447</v>
      </c>
      <c r="L172" s="1697">
        <f>SUM(L168,L169,L170,L171)</f>
        <v>331111</v>
      </c>
    </row>
    <row r="173" spans="1:14" ht="15.9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500</v>
      </c>
      <c r="F174" s="615"/>
      <c r="G174" s="615"/>
      <c r="H174" s="1697">
        <f>SUM(H160,H172,H173)</f>
        <v>327947</v>
      </c>
      <c r="I174" s="637"/>
      <c r="J174" s="615"/>
      <c r="K174" s="1697">
        <f>SUM(K160,K172,K173)</f>
        <v>328447</v>
      </c>
      <c r="L174" s="1697">
        <f>SUM(L160,L172,L173)</f>
        <v>331111</v>
      </c>
    </row>
    <row r="175" spans="1:14" ht="13.5" thickTop="1" x14ac:dyDescent="0.2">
      <c r="A175" s="2170" t="s">
        <v>1053</v>
      </c>
      <c r="B175" s="2171"/>
      <c r="C175" s="615"/>
      <c r="D175" s="615"/>
      <c r="E175" s="615"/>
      <c r="F175" s="615"/>
      <c r="G175" s="615"/>
      <c r="H175" s="617"/>
      <c r="I175" s="615"/>
      <c r="J175" s="615"/>
      <c r="K175" s="1704">
        <f>'Revenues 9-14'!E275-'Expenditures 15-22'!K174</f>
        <v>39129</v>
      </c>
      <c r="L175" s="617"/>
    </row>
    <row r="176" spans="1:14" s="665" customFormat="1" ht="9.1999999999999993"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95" customHeight="1" x14ac:dyDescent="0.2">
      <c r="A178" s="1640" t="s">
        <v>995</v>
      </c>
      <c r="B178" s="1641"/>
      <c r="C178" s="615"/>
      <c r="D178" s="615"/>
      <c r="E178" s="615"/>
      <c r="F178" s="615"/>
      <c r="G178" s="615"/>
      <c r="H178" s="615"/>
      <c r="I178" s="615"/>
      <c r="J178" s="615"/>
      <c r="K178" s="615"/>
      <c r="L178" s="615"/>
      <c r="M178" s="664"/>
      <c r="N178" s="664"/>
    </row>
    <row r="179" spans="1:14" s="673" customFormat="1" ht="15.9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9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132310</v>
      </c>
      <c r="D182" s="467">
        <v>882</v>
      </c>
      <c r="E182" s="467">
        <v>23811</v>
      </c>
      <c r="F182" s="467">
        <v>27635</v>
      </c>
      <c r="G182" s="467">
        <v>1862</v>
      </c>
      <c r="H182" s="466">
        <v>160</v>
      </c>
      <c r="I182" s="467">
        <v>0</v>
      </c>
      <c r="J182" s="467">
        <v>0</v>
      </c>
      <c r="K182" s="1691">
        <f>SUM(C182:J182)</f>
        <v>186660</v>
      </c>
      <c r="L182" s="466">
        <v>197300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132310</v>
      </c>
      <c r="D184" s="1697">
        <f t="shared" ref="D184:J184" si="17">SUM(D180,D182,D183)</f>
        <v>882</v>
      </c>
      <c r="E184" s="1697">
        <f t="shared" si="17"/>
        <v>23811</v>
      </c>
      <c r="F184" s="1697">
        <f t="shared" si="17"/>
        <v>27635</v>
      </c>
      <c r="G184" s="1697">
        <f t="shared" si="17"/>
        <v>1862</v>
      </c>
      <c r="H184" s="1697">
        <f t="shared" si="17"/>
        <v>160</v>
      </c>
      <c r="I184" s="1697">
        <f t="shared" si="17"/>
        <v>0</v>
      </c>
      <c r="J184" s="1697">
        <f t="shared" si="17"/>
        <v>0</v>
      </c>
      <c r="K184" s="1697">
        <f>SUM(K180,K182,K183)</f>
        <v>186660</v>
      </c>
      <c r="L184" s="1697">
        <f>SUM(L180, L182:L183)</f>
        <v>197300</v>
      </c>
    </row>
    <row r="185" spans="1:14" ht="15.9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9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9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9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9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9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95" customHeight="1" thickTop="1" x14ac:dyDescent="0.2">
      <c r="A205" s="678" t="s">
        <v>85</v>
      </c>
      <c r="B205" s="679" t="s">
        <v>38</v>
      </c>
      <c r="C205" s="615"/>
      <c r="D205" s="615"/>
      <c r="E205" s="615"/>
      <c r="F205" s="615"/>
      <c r="G205" s="615"/>
      <c r="H205" s="533">
        <v>2048</v>
      </c>
      <c r="I205" s="615"/>
      <c r="J205" s="615"/>
      <c r="K205" s="1705">
        <f>SUM(H205)</f>
        <v>2048</v>
      </c>
      <c r="L205" s="533">
        <v>2050</v>
      </c>
    </row>
    <row r="206" spans="1:14" ht="30" customHeight="1" x14ac:dyDescent="0.2">
      <c r="A206" s="680" t="s">
        <v>1770</v>
      </c>
      <c r="B206" s="671" t="s">
        <v>31</v>
      </c>
      <c r="C206" s="615"/>
      <c r="D206" s="615"/>
      <c r="E206" s="615"/>
      <c r="F206" s="615"/>
      <c r="G206" s="615"/>
      <c r="H206" s="466">
        <v>35432</v>
      </c>
      <c r="I206" s="615"/>
      <c r="J206" s="615"/>
      <c r="K206" s="1691">
        <f>SUM(H206)</f>
        <v>35432</v>
      </c>
      <c r="L206" s="466">
        <v>35500</v>
      </c>
    </row>
    <row r="207" spans="1:14" ht="15.9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37480</v>
      </c>
      <c r="I208" s="615"/>
      <c r="J208" s="615"/>
      <c r="K208" s="1697">
        <f>SUM(K204,K205,K206,K207)</f>
        <v>37480</v>
      </c>
      <c r="L208" s="1697">
        <f>SUM(L204,L205,L206,L207)</f>
        <v>37550</v>
      </c>
    </row>
    <row r="209" spans="1:14" ht="15.95" customHeight="1" thickTop="1" thickBot="1" x14ac:dyDescent="0.25">
      <c r="A209" s="1626" t="s">
        <v>927</v>
      </c>
      <c r="B209" s="1633" t="s">
        <v>916</v>
      </c>
      <c r="C209" s="622"/>
      <c r="D209" s="622"/>
      <c r="E209" s="622"/>
      <c r="F209" s="622"/>
      <c r="G209" s="622"/>
      <c r="H209" s="622"/>
      <c r="I209" s="615"/>
      <c r="J209" s="615"/>
      <c r="K209" s="622"/>
      <c r="L209" s="574">
        <v>100</v>
      </c>
    </row>
    <row r="210" spans="1:14" ht="12.75" customHeight="1" thickTop="1" thickBot="1" x14ac:dyDescent="0.25">
      <c r="A210" s="1712" t="s">
        <v>295</v>
      </c>
      <c r="B210" s="1713"/>
      <c r="C210" s="1690">
        <f>SUM(C184,C185)</f>
        <v>132310</v>
      </c>
      <c r="D210" s="1690">
        <f>SUM(D184,D185)</f>
        <v>882</v>
      </c>
      <c r="E210" s="1690">
        <f>SUM(E184,E185,E196)</f>
        <v>23811</v>
      </c>
      <c r="F210" s="1690">
        <f>SUM(F184,F185)</f>
        <v>27635</v>
      </c>
      <c r="G210" s="1690">
        <f>SUM(G184,G185)</f>
        <v>1862</v>
      </c>
      <c r="H210" s="1690">
        <f>SUM(H184,H185,H196,H208,H209)</f>
        <v>37640</v>
      </c>
      <c r="I210" s="1690">
        <f>SUM(I184,I185)</f>
        <v>0</v>
      </c>
      <c r="J210" s="1690">
        <f>SUM(J184,J185)</f>
        <v>0</v>
      </c>
      <c r="K210" s="1691">
        <f>SUM(K184,K185,K196,K208,K209)</f>
        <v>224140</v>
      </c>
      <c r="L210" s="1690">
        <f>SUM(L184,L185,L196,L208,L209)</f>
        <v>234950</v>
      </c>
    </row>
    <row r="211" spans="1:14" ht="13.5" thickTop="1" x14ac:dyDescent="0.2">
      <c r="A211" s="2170" t="s">
        <v>1053</v>
      </c>
      <c r="B211" s="2171"/>
      <c r="C211" s="617"/>
      <c r="D211" s="617"/>
      <c r="E211" s="617"/>
      <c r="F211" s="617"/>
      <c r="G211" s="617"/>
      <c r="H211" s="617"/>
      <c r="I211" s="615"/>
      <c r="J211" s="615"/>
      <c r="K211" s="1704">
        <f>'Revenues 9-14'!F275-'Expenditures 15-22'!K210</f>
        <v>30866</v>
      </c>
      <c r="L211" s="617"/>
    </row>
    <row r="212" spans="1:14" s="665" customFormat="1" ht="9.1999999999999993"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2" t="s">
        <v>1022</v>
      </c>
      <c r="B213" s="2193"/>
      <c r="C213" s="1571"/>
      <c r="D213" s="1572"/>
      <c r="E213" s="1572"/>
      <c r="F213" s="1572"/>
      <c r="G213" s="1572"/>
      <c r="H213" s="1572"/>
      <c r="I213" s="1572"/>
      <c r="J213" s="1572"/>
      <c r="K213" s="1572"/>
      <c r="L213" s="1573"/>
      <c r="M213" s="608"/>
      <c r="N213" s="608"/>
    </row>
    <row r="214" spans="1:14" s="673" customFormat="1" ht="15.9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27286</v>
      </c>
      <c r="E215" s="615"/>
      <c r="F215" s="615"/>
      <c r="G215" s="615"/>
      <c r="H215" s="615"/>
      <c r="I215" s="615"/>
      <c r="J215" s="615"/>
      <c r="K215" s="1691">
        <f>D215</f>
        <v>27286</v>
      </c>
      <c r="L215" s="466">
        <v>29550</v>
      </c>
    </row>
    <row r="216" spans="1:14" x14ac:dyDescent="0.2">
      <c r="A216" s="1524" t="s">
        <v>165</v>
      </c>
      <c r="B216" s="613" t="s">
        <v>1024</v>
      </c>
      <c r="C216" s="615"/>
      <c r="D216" s="467">
        <v>6810</v>
      </c>
      <c r="E216" s="615"/>
      <c r="F216" s="615"/>
      <c r="G216" s="615"/>
      <c r="H216" s="615"/>
      <c r="I216" s="615"/>
      <c r="J216" s="615"/>
      <c r="K216" s="1691">
        <f t="shared" ref="K216:K228" si="19">D216</f>
        <v>6810</v>
      </c>
      <c r="L216" s="466">
        <v>8100</v>
      </c>
    </row>
    <row r="217" spans="1:14" x14ac:dyDescent="0.2">
      <c r="A217" s="1524" t="s">
        <v>166</v>
      </c>
      <c r="B217" s="613">
        <v>1200</v>
      </c>
      <c r="C217" s="615"/>
      <c r="D217" s="466">
        <v>6460</v>
      </c>
      <c r="E217" s="615"/>
      <c r="F217" s="615"/>
      <c r="G217" s="615"/>
      <c r="H217" s="615"/>
      <c r="I217" s="615"/>
      <c r="J217" s="615"/>
      <c r="K217" s="1691">
        <f t="shared" si="19"/>
        <v>6460</v>
      </c>
      <c r="L217" s="466">
        <v>7300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12487</v>
      </c>
      <c r="E219" s="615"/>
      <c r="F219" s="615"/>
      <c r="G219" s="615"/>
      <c r="H219" s="615"/>
      <c r="I219" s="615"/>
      <c r="J219" s="615"/>
      <c r="K219" s="1691">
        <f t="shared" si="19"/>
        <v>12487</v>
      </c>
      <c r="L219" s="466">
        <v>13300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1113</v>
      </c>
      <c r="E222" s="615"/>
      <c r="F222" s="615"/>
      <c r="G222" s="615"/>
      <c r="H222" s="615"/>
      <c r="I222" s="615"/>
      <c r="J222" s="615"/>
      <c r="K222" s="1691">
        <f t="shared" si="19"/>
        <v>1113</v>
      </c>
      <c r="L222" s="466">
        <v>1250</v>
      </c>
    </row>
    <row r="223" spans="1:14" x14ac:dyDescent="0.2">
      <c r="A223" s="1524" t="s">
        <v>1020</v>
      </c>
      <c r="B223" s="613">
        <v>1500</v>
      </c>
      <c r="C223" s="615"/>
      <c r="D223" s="466">
        <v>1346</v>
      </c>
      <c r="E223" s="615"/>
      <c r="F223" s="615"/>
      <c r="G223" s="615"/>
      <c r="H223" s="615"/>
      <c r="I223" s="615"/>
      <c r="J223" s="615"/>
      <c r="K223" s="1691">
        <f t="shared" si="19"/>
        <v>1346</v>
      </c>
      <c r="L223" s="466">
        <v>1700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428</v>
      </c>
      <c r="E226" s="615"/>
      <c r="F226" s="615"/>
      <c r="G226" s="615"/>
      <c r="H226" s="615"/>
      <c r="I226" s="615"/>
      <c r="J226" s="615"/>
      <c r="K226" s="1691">
        <f t="shared" si="19"/>
        <v>428</v>
      </c>
      <c r="L226" s="466">
        <v>450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55930</v>
      </c>
      <c r="E229" s="615"/>
      <c r="F229" s="615"/>
      <c r="G229" s="615"/>
      <c r="H229" s="615"/>
      <c r="I229" s="615"/>
      <c r="J229" s="615"/>
      <c r="K229" s="1690">
        <f>SUM(K215:K228)</f>
        <v>55930</v>
      </c>
      <c r="L229" s="1690">
        <f>SUM(L215:L228)</f>
        <v>61650</v>
      </c>
    </row>
    <row r="230" spans="1:12" ht="15.95" customHeight="1" thickTop="1" x14ac:dyDescent="0.2">
      <c r="A230" s="1632" t="s">
        <v>929</v>
      </c>
      <c r="B230" s="1633" t="s">
        <v>590</v>
      </c>
      <c r="C230" s="615"/>
      <c r="D230" s="615"/>
      <c r="E230" s="615"/>
      <c r="F230" s="615"/>
      <c r="G230" s="615"/>
      <c r="H230" s="615"/>
      <c r="I230" s="615"/>
      <c r="J230" s="615"/>
      <c r="K230" s="615"/>
      <c r="L230" s="615"/>
    </row>
    <row r="231" spans="1:12" ht="15.9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624</v>
      </c>
      <c r="E233" s="615"/>
      <c r="F233" s="615"/>
      <c r="G233" s="615"/>
      <c r="H233" s="615"/>
      <c r="I233" s="615"/>
      <c r="J233" s="615"/>
      <c r="K233" s="1691">
        <f t="shared" si="20"/>
        <v>624</v>
      </c>
      <c r="L233" s="466">
        <v>700</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7</v>
      </c>
      <c r="E237" s="615"/>
      <c r="F237" s="615"/>
      <c r="G237" s="615"/>
      <c r="H237" s="615"/>
      <c r="I237" s="615"/>
      <c r="J237" s="615"/>
      <c r="K237" s="1691">
        <f t="shared" si="20"/>
        <v>7</v>
      </c>
      <c r="L237" s="466">
        <v>0</v>
      </c>
    </row>
    <row r="238" spans="1:12" ht="12.75" customHeight="1" thickBot="1" x14ac:dyDescent="0.25">
      <c r="A238" s="1688" t="s">
        <v>581</v>
      </c>
      <c r="B238" s="1695" t="s">
        <v>740</v>
      </c>
      <c r="C238" s="615"/>
      <c r="D238" s="1690">
        <f>SUM(D232:D237)</f>
        <v>631</v>
      </c>
      <c r="E238" s="615"/>
      <c r="F238" s="615"/>
      <c r="G238" s="615"/>
      <c r="H238" s="615"/>
      <c r="I238" s="615"/>
      <c r="J238" s="615"/>
      <c r="K238" s="1690">
        <f>SUM(K232:K237)</f>
        <v>631</v>
      </c>
      <c r="L238" s="1690">
        <f>SUM(L232:L237)</f>
        <v>700</v>
      </c>
    </row>
    <row r="239" spans="1:12" ht="15.9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163</v>
      </c>
      <c r="E240" s="615"/>
      <c r="F240" s="615"/>
      <c r="G240" s="615"/>
      <c r="H240" s="615"/>
      <c r="I240" s="615"/>
      <c r="J240" s="615"/>
      <c r="K240" s="1692">
        <f>D240</f>
        <v>163</v>
      </c>
      <c r="L240" s="480">
        <v>300</v>
      </c>
    </row>
    <row r="241" spans="1:12" x14ac:dyDescent="0.2">
      <c r="A241" s="1524" t="s">
        <v>869</v>
      </c>
      <c r="B241" s="613">
        <v>2220</v>
      </c>
      <c r="C241" s="615"/>
      <c r="D241" s="466">
        <v>9469</v>
      </c>
      <c r="E241" s="615"/>
      <c r="F241" s="615"/>
      <c r="G241" s="615"/>
      <c r="H241" s="615"/>
      <c r="I241" s="615"/>
      <c r="J241" s="615"/>
      <c r="K241" s="1692">
        <f>D241</f>
        <v>9469</v>
      </c>
      <c r="L241" s="466">
        <v>9800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9632</v>
      </c>
      <c r="E243" s="615"/>
      <c r="F243" s="615"/>
      <c r="G243" s="615"/>
      <c r="H243" s="615"/>
      <c r="I243" s="615"/>
      <c r="J243" s="615"/>
      <c r="K243" s="1690">
        <f>SUM(K240:K242)</f>
        <v>9632</v>
      </c>
      <c r="L243" s="1690">
        <f>SUM(L240:L242)</f>
        <v>10100</v>
      </c>
    </row>
    <row r="244" spans="1:12" ht="15.9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0</v>
      </c>
      <c r="E245" s="615"/>
      <c r="F245" s="615"/>
      <c r="G245" s="615"/>
      <c r="H245" s="615"/>
      <c r="I245" s="615"/>
      <c r="J245" s="615"/>
      <c r="K245" s="1692">
        <f>D245</f>
        <v>0</v>
      </c>
      <c r="L245" s="480">
        <v>0</v>
      </c>
    </row>
    <row r="246" spans="1:12" x14ac:dyDescent="0.2">
      <c r="A246" s="1524" t="s">
        <v>872</v>
      </c>
      <c r="B246" s="613">
        <v>2320</v>
      </c>
      <c r="C246" s="615"/>
      <c r="D246" s="466">
        <v>7568</v>
      </c>
      <c r="E246" s="615"/>
      <c r="F246" s="615"/>
      <c r="G246" s="615"/>
      <c r="H246" s="615"/>
      <c r="I246" s="615"/>
      <c r="J246" s="615"/>
      <c r="K246" s="1692">
        <f t="shared" ref="K246:K256" si="21">D246</f>
        <v>7568</v>
      </c>
      <c r="L246" s="466">
        <v>7850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6012</v>
      </c>
      <c r="E254" s="615"/>
      <c r="F254" s="615"/>
      <c r="G254" s="615"/>
      <c r="H254" s="615"/>
      <c r="I254" s="615"/>
      <c r="J254" s="615"/>
      <c r="K254" s="1692">
        <f t="shared" si="21"/>
        <v>6012</v>
      </c>
      <c r="L254" s="466">
        <v>6350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13580</v>
      </c>
      <c r="E257" s="615"/>
      <c r="F257" s="615"/>
      <c r="G257" s="615"/>
      <c r="H257" s="615"/>
      <c r="I257" s="615"/>
      <c r="J257" s="615"/>
      <c r="K257" s="1690">
        <f>SUM(K245:K256)</f>
        <v>13580</v>
      </c>
      <c r="L257" s="1690">
        <f>SUM(L245:L256)</f>
        <v>14200</v>
      </c>
    </row>
    <row r="258" spans="1:14" ht="15.9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7233</v>
      </c>
      <c r="E259" s="615"/>
      <c r="F259" s="615"/>
      <c r="G259" s="615"/>
      <c r="H259" s="615"/>
      <c r="I259" s="615"/>
      <c r="J259" s="615"/>
      <c r="K259" s="1692">
        <f>D259</f>
        <v>7233</v>
      </c>
      <c r="L259" s="480">
        <v>7700</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7233</v>
      </c>
      <c r="E261" s="615"/>
      <c r="F261" s="615"/>
      <c r="G261" s="615"/>
      <c r="H261" s="615"/>
      <c r="I261" s="615"/>
      <c r="J261" s="615"/>
      <c r="K261" s="1690">
        <f>SUM(K259:K260)</f>
        <v>7233</v>
      </c>
      <c r="L261" s="1690">
        <f>SUM(L259:L260)</f>
        <v>7700</v>
      </c>
    </row>
    <row r="262" spans="1:14" ht="15.9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6698</v>
      </c>
      <c r="E264" s="615"/>
      <c r="F264" s="615"/>
      <c r="G264" s="615"/>
      <c r="H264" s="615"/>
      <c r="I264" s="615"/>
      <c r="J264" s="615"/>
      <c r="K264" s="1692">
        <f t="shared" ref="K264:K269" si="22">D264</f>
        <v>6698</v>
      </c>
      <c r="L264" s="466">
        <v>7000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32140</v>
      </c>
      <c r="E266" s="615"/>
      <c r="F266" s="615"/>
      <c r="G266" s="615"/>
      <c r="H266" s="615"/>
      <c r="I266" s="615"/>
      <c r="J266" s="615"/>
      <c r="K266" s="1692">
        <f t="shared" si="22"/>
        <v>32140</v>
      </c>
      <c r="L266" s="466">
        <v>34000</v>
      </c>
    </row>
    <row r="267" spans="1:14" x14ac:dyDescent="0.2">
      <c r="A267" s="1524" t="s">
        <v>1010</v>
      </c>
      <c r="B267" s="613">
        <v>2550</v>
      </c>
      <c r="C267" s="615"/>
      <c r="D267" s="466">
        <v>16386</v>
      </c>
      <c r="E267" s="615"/>
      <c r="F267" s="615"/>
      <c r="G267" s="615"/>
      <c r="H267" s="615"/>
      <c r="I267" s="615"/>
      <c r="J267" s="615"/>
      <c r="K267" s="1692">
        <f t="shared" si="22"/>
        <v>16386</v>
      </c>
      <c r="L267" s="466">
        <v>17250</v>
      </c>
    </row>
    <row r="268" spans="1:14" x14ac:dyDescent="0.2">
      <c r="A268" s="1524" t="s">
        <v>102</v>
      </c>
      <c r="B268" s="613">
        <v>2560</v>
      </c>
      <c r="C268" s="615"/>
      <c r="D268" s="466">
        <v>15242</v>
      </c>
      <c r="E268" s="615"/>
      <c r="F268" s="615"/>
      <c r="G268" s="615"/>
      <c r="H268" s="615"/>
      <c r="I268" s="615"/>
      <c r="J268" s="615"/>
      <c r="K268" s="1692">
        <f t="shared" si="22"/>
        <v>15242</v>
      </c>
      <c r="L268" s="466">
        <v>17900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70466</v>
      </c>
      <c r="E270" s="615"/>
      <c r="F270" s="615"/>
      <c r="G270" s="615"/>
      <c r="H270" s="615"/>
      <c r="I270" s="615"/>
      <c r="J270" s="615"/>
      <c r="K270" s="1690">
        <f>SUM(K263:K269)</f>
        <v>70466</v>
      </c>
      <c r="L270" s="1690">
        <f>SUM(L263:L269)</f>
        <v>76150</v>
      </c>
    </row>
    <row r="271" spans="1:14" ht="15.9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101542</v>
      </c>
      <c r="E279" s="615"/>
      <c r="F279" s="615"/>
      <c r="G279" s="615"/>
      <c r="H279" s="615"/>
      <c r="I279" s="615"/>
      <c r="J279" s="615"/>
      <c r="K279" s="1697">
        <f>SUM(K238,K243,K257,K261,K270,K277,K278)</f>
        <v>101542</v>
      </c>
      <c r="L279" s="1697">
        <f>SUM(L238,L243,L257,L261,L270,L277,L278)</f>
        <v>108850</v>
      </c>
    </row>
    <row r="280" spans="1:12" ht="15.9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95" customHeight="1" thickTop="1" x14ac:dyDescent="0.2">
      <c r="A281" s="1634" t="s">
        <v>144</v>
      </c>
      <c r="B281" s="1635" t="s">
        <v>915</v>
      </c>
      <c r="C281" s="615"/>
      <c r="D281" s="564"/>
      <c r="E281" s="615"/>
      <c r="F281" s="615"/>
      <c r="G281" s="615"/>
      <c r="H281" s="615"/>
      <c r="I281" s="615"/>
      <c r="J281" s="615"/>
      <c r="K281" s="615"/>
      <c r="L281" s="615"/>
    </row>
    <row r="282" spans="1:12" ht="15.9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10169</v>
      </c>
      <c r="E283" s="615"/>
      <c r="F283" s="615"/>
      <c r="G283" s="615"/>
      <c r="H283" s="615"/>
      <c r="I283" s="615"/>
      <c r="J283" s="615"/>
      <c r="K283" s="1691">
        <f>D283</f>
        <v>10169</v>
      </c>
      <c r="L283" s="466">
        <v>12000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10169</v>
      </c>
      <c r="E285" s="615"/>
      <c r="F285" s="615"/>
      <c r="G285" s="615"/>
      <c r="H285" s="615"/>
      <c r="I285" s="615"/>
      <c r="J285" s="615"/>
      <c r="K285" s="1690">
        <f>SUM(K282:K284)</f>
        <v>10169</v>
      </c>
      <c r="L285" s="1690">
        <f>SUM(L282:L284)</f>
        <v>12000</v>
      </c>
    </row>
    <row r="286" spans="1:12" ht="15.95" customHeight="1" thickTop="1" x14ac:dyDescent="0.2">
      <c r="A286" s="1632" t="s">
        <v>931</v>
      </c>
      <c r="B286" s="1629" t="s">
        <v>513</v>
      </c>
      <c r="C286" s="615"/>
      <c r="D286" s="615"/>
      <c r="E286" s="615"/>
      <c r="F286" s="615"/>
      <c r="G286" s="615"/>
      <c r="H286" s="615"/>
      <c r="I286" s="615"/>
      <c r="J286" s="615"/>
      <c r="K286" s="615"/>
      <c r="L286" s="615"/>
    </row>
    <row r="287" spans="1:12" ht="15.9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9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88" t="s">
        <v>526</v>
      </c>
      <c r="B295" s="2189"/>
      <c r="C295" s="615"/>
      <c r="D295" s="1690">
        <f>SUM(D229,D279,D280,D285)</f>
        <v>167641</v>
      </c>
      <c r="E295" s="615"/>
      <c r="F295" s="615"/>
      <c r="G295" s="615"/>
      <c r="H295" s="1690">
        <f>H293</f>
        <v>0</v>
      </c>
      <c r="I295" s="615"/>
      <c r="J295" s="615"/>
      <c r="K295" s="1690">
        <f>SUM(K229,K279,K280,K285,K293,K294)</f>
        <v>167641</v>
      </c>
      <c r="L295" s="1690">
        <f>SUM(L229,L279,L280,L285,L293,L294)</f>
        <v>182500</v>
      </c>
    </row>
    <row r="296" spans="1:14" ht="13.5" thickTop="1" x14ac:dyDescent="0.2">
      <c r="A296" s="2170" t="s">
        <v>1053</v>
      </c>
      <c r="B296" s="2171"/>
      <c r="C296" s="615"/>
      <c r="D296" s="617"/>
      <c r="E296" s="615"/>
      <c r="F296" s="615"/>
      <c r="G296" s="615"/>
      <c r="H296" s="686"/>
      <c r="I296" s="615"/>
      <c r="J296" s="615"/>
      <c r="K296" s="1704">
        <f>'Revenues 9-14'!G275-'Expenditures 15-22'!K295</f>
        <v>25132</v>
      </c>
      <c r="L296" s="686"/>
    </row>
    <row r="297" spans="1:14" s="665" customFormat="1" ht="9.1999999999999993"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0" t="s">
        <v>145</v>
      </c>
      <c r="B298" s="2174"/>
      <c r="C298" s="1571"/>
      <c r="D298" s="1572"/>
      <c r="E298" s="1572"/>
      <c r="F298" s="1572"/>
      <c r="G298" s="1572"/>
      <c r="H298" s="1572"/>
      <c r="I298" s="1572"/>
      <c r="J298" s="1572"/>
      <c r="K298" s="1572"/>
      <c r="L298" s="1573"/>
    </row>
    <row r="299" spans="1:14" ht="15.95" customHeight="1" x14ac:dyDescent="0.2">
      <c r="A299" s="1632" t="s">
        <v>146</v>
      </c>
      <c r="B299" s="1635" t="s">
        <v>590</v>
      </c>
      <c r="C299" s="615"/>
      <c r="D299" s="615"/>
      <c r="E299" s="615"/>
      <c r="F299" s="615"/>
      <c r="G299" s="615"/>
      <c r="H299" s="615"/>
      <c r="I299" s="615"/>
      <c r="J299" s="615"/>
      <c r="K299" s="615"/>
      <c r="L299" s="615"/>
    </row>
    <row r="300" spans="1:14" ht="15.9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10813</v>
      </c>
      <c r="F301" s="466">
        <v>19367</v>
      </c>
      <c r="G301" s="466">
        <v>122359</v>
      </c>
      <c r="H301" s="466">
        <v>0</v>
      </c>
      <c r="I301" s="467">
        <v>0</v>
      </c>
      <c r="J301" s="467">
        <v>0</v>
      </c>
      <c r="K301" s="1691">
        <f>SUM(C301:J301)</f>
        <v>152539</v>
      </c>
      <c r="L301" s="467">
        <v>171000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10813</v>
      </c>
      <c r="F303" s="1697">
        <f t="shared" si="23"/>
        <v>19367</v>
      </c>
      <c r="G303" s="1697">
        <f t="shared" si="23"/>
        <v>122359</v>
      </c>
      <c r="H303" s="1697">
        <f t="shared" si="23"/>
        <v>0</v>
      </c>
      <c r="I303" s="1697">
        <f t="shared" si="23"/>
        <v>0</v>
      </c>
      <c r="J303" s="1697">
        <f t="shared" si="23"/>
        <v>0</v>
      </c>
      <c r="K303" s="1697">
        <f t="shared" si="23"/>
        <v>152539</v>
      </c>
      <c r="L303" s="1697">
        <f t="shared" si="23"/>
        <v>171000</v>
      </c>
    </row>
    <row r="304" spans="1:14" ht="15.95" customHeight="1" thickTop="1" x14ac:dyDescent="0.2">
      <c r="A304" s="1632" t="s">
        <v>147</v>
      </c>
      <c r="B304" s="1633" t="s">
        <v>915</v>
      </c>
      <c r="C304" s="615"/>
      <c r="D304" s="615"/>
      <c r="E304" s="615"/>
      <c r="F304" s="615"/>
      <c r="G304" s="615"/>
      <c r="H304" s="615"/>
      <c r="I304" s="615"/>
      <c r="J304" s="615"/>
      <c r="K304" s="615"/>
      <c r="L304" s="615"/>
    </row>
    <row r="305" spans="1:14" ht="15.9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9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5" t="s">
        <v>295</v>
      </c>
      <c r="B312" s="2186"/>
      <c r="C312" s="1690">
        <f>SUM(C303)</f>
        <v>0</v>
      </c>
      <c r="D312" s="1690">
        <f>SUM(D303)</f>
        <v>0</v>
      </c>
      <c r="E312" s="1690">
        <f>SUM(E303,E310)</f>
        <v>10813</v>
      </c>
      <c r="F312" s="1690">
        <f>SUM(F303)</f>
        <v>19367</v>
      </c>
      <c r="G312" s="1690">
        <f>SUM(G303)</f>
        <v>122359</v>
      </c>
      <c r="H312" s="1690">
        <f>SUM(H303,H310)</f>
        <v>0</v>
      </c>
      <c r="I312" s="1690">
        <f>SUM(I303)</f>
        <v>0</v>
      </c>
      <c r="J312" s="1690">
        <f>SUM(J303)</f>
        <v>0</v>
      </c>
      <c r="K312" s="1690">
        <f>SUM(K303,K310,K311)</f>
        <v>152539</v>
      </c>
      <c r="L312" s="1690">
        <f>SUM(L303,L310,L311)</f>
        <v>171000</v>
      </c>
      <c r="M312" s="664"/>
      <c r="N312" s="664"/>
    </row>
    <row r="313" spans="1:14" ht="13.5" thickTop="1" x14ac:dyDescent="0.2">
      <c r="A313" s="2181" t="s">
        <v>1053</v>
      </c>
      <c r="B313" s="2182"/>
      <c r="C313" s="625"/>
      <c r="D313" s="625"/>
      <c r="E313" s="625"/>
      <c r="F313" s="625"/>
      <c r="G313" s="625"/>
      <c r="H313" s="625"/>
      <c r="I313" s="625"/>
      <c r="J313" s="625"/>
      <c r="K313" s="1705">
        <f>'Revenues 9-14'!H275-'Expenditures 15-22'!K312</f>
        <v>194598</v>
      </c>
      <c r="L313" s="625"/>
    </row>
    <row r="314" spans="1:14" s="665" customFormat="1" ht="9.1999999999999993"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4" t="s">
        <v>151</v>
      </c>
      <c r="B315" s="2195"/>
      <c r="C315" s="1576"/>
      <c r="D315" s="1577"/>
      <c r="E315" s="1577"/>
      <c r="F315" s="1577"/>
      <c r="G315" s="1577"/>
      <c r="H315" s="1577"/>
      <c r="I315" s="1577"/>
      <c r="J315" s="1577"/>
      <c r="K315" s="1577"/>
      <c r="L315" s="1578"/>
    </row>
    <row r="316" spans="1:14" s="673" customFormat="1" ht="9.1999999999999993"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6" t="s">
        <v>954</v>
      </c>
      <c r="B317" s="2195"/>
      <c r="C317" s="1576"/>
      <c r="D317" s="1577"/>
      <c r="E317" s="1577"/>
      <c r="F317" s="1577"/>
      <c r="G317" s="1577"/>
      <c r="H317" s="1577"/>
      <c r="I317" s="1577"/>
      <c r="J317" s="1577"/>
      <c r="K317" s="1577"/>
      <c r="L317" s="1578"/>
    </row>
    <row r="318" spans="1:14" s="673" customFormat="1" ht="15.9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0</v>
      </c>
      <c r="F320" s="467">
        <v>0</v>
      </c>
      <c r="G320" s="467">
        <v>0</v>
      </c>
      <c r="H320" s="467">
        <v>0</v>
      </c>
      <c r="I320" s="467">
        <v>0</v>
      </c>
      <c r="J320" s="467">
        <v>0</v>
      </c>
      <c r="K320" s="1691">
        <f t="shared" ref="K320:K327" si="24">SUM(C320:J320)</f>
        <v>0</v>
      </c>
      <c r="L320" s="467">
        <v>0</v>
      </c>
      <c r="M320" s="664"/>
      <c r="N320" s="664"/>
    </row>
    <row r="321" spans="1:14" s="673" customFormat="1" x14ac:dyDescent="0.2">
      <c r="A321" s="1539" t="s">
        <v>318</v>
      </c>
      <c r="B321" s="696" t="s">
        <v>301</v>
      </c>
      <c r="C321" s="467">
        <v>0</v>
      </c>
      <c r="D321" s="467">
        <v>0</v>
      </c>
      <c r="E321" s="467">
        <v>140</v>
      </c>
      <c r="F321" s="467">
        <v>0</v>
      </c>
      <c r="G321" s="467">
        <v>0</v>
      </c>
      <c r="H321" s="467">
        <v>0</v>
      </c>
      <c r="I321" s="467">
        <v>0</v>
      </c>
      <c r="J321" s="467">
        <v>0</v>
      </c>
      <c r="K321" s="1691">
        <f t="shared" si="24"/>
        <v>140</v>
      </c>
      <c r="L321" s="467">
        <v>200</v>
      </c>
      <c r="M321" s="664"/>
      <c r="N321" s="664"/>
    </row>
    <row r="322" spans="1:14" s="673" customFormat="1" x14ac:dyDescent="0.2">
      <c r="A322" s="1539" t="s">
        <v>256</v>
      </c>
      <c r="B322" s="696" t="s">
        <v>302</v>
      </c>
      <c r="C322" s="467">
        <v>0</v>
      </c>
      <c r="D322" s="467">
        <v>0</v>
      </c>
      <c r="E322" s="467">
        <v>46929</v>
      </c>
      <c r="F322" s="467">
        <v>0</v>
      </c>
      <c r="G322" s="467">
        <v>0</v>
      </c>
      <c r="H322" s="467">
        <v>0</v>
      </c>
      <c r="I322" s="467">
        <v>0</v>
      </c>
      <c r="J322" s="467">
        <v>0</v>
      </c>
      <c r="K322" s="1691">
        <f t="shared" si="24"/>
        <v>46929</v>
      </c>
      <c r="L322" s="467">
        <v>46000</v>
      </c>
      <c r="M322" s="664"/>
      <c r="N322" s="664"/>
    </row>
    <row r="323" spans="1:14" s="673" customFormat="1" x14ac:dyDescent="0.2">
      <c r="A323" s="1539" t="s">
        <v>726</v>
      </c>
      <c r="B323" s="696" t="s">
        <v>303</v>
      </c>
      <c r="C323" s="467">
        <v>0</v>
      </c>
      <c r="D323" s="467">
        <v>0</v>
      </c>
      <c r="E323" s="467">
        <v>32500</v>
      </c>
      <c r="F323" s="467">
        <v>0</v>
      </c>
      <c r="G323" s="467">
        <v>0</v>
      </c>
      <c r="H323" s="467">
        <v>0</v>
      </c>
      <c r="I323" s="467">
        <v>0</v>
      </c>
      <c r="J323" s="467">
        <v>0</v>
      </c>
      <c r="K323" s="1691">
        <f t="shared" si="24"/>
        <v>32500</v>
      </c>
      <c r="L323" s="467">
        <v>32500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114197</v>
      </c>
      <c r="D325" s="467">
        <v>4217</v>
      </c>
      <c r="E325" s="467">
        <v>13479</v>
      </c>
      <c r="F325" s="467">
        <v>1010</v>
      </c>
      <c r="G325" s="467">
        <v>0</v>
      </c>
      <c r="H325" s="467">
        <v>0</v>
      </c>
      <c r="I325" s="467">
        <v>0</v>
      </c>
      <c r="J325" s="467">
        <v>0</v>
      </c>
      <c r="K325" s="1691">
        <f t="shared" si="24"/>
        <v>132903</v>
      </c>
      <c r="L325" s="467">
        <v>132965</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4571</v>
      </c>
      <c r="F327" s="467">
        <v>0</v>
      </c>
      <c r="G327" s="467">
        <v>906</v>
      </c>
      <c r="H327" s="467">
        <v>0</v>
      </c>
      <c r="I327" s="467">
        <v>0</v>
      </c>
      <c r="J327" s="467">
        <v>0</v>
      </c>
      <c r="K327" s="1691">
        <f t="shared" si="24"/>
        <v>5477</v>
      </c>
      <c r="L327" s="467">
        <v>6500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114197</v>
      </c>
      <c r="D330" s="1690">
        <f t="shared" ref="D330:J330" si="25">SUM(D319:D329)</f>
        <v>4217</v>
      </c>
      <c r="E330" s="1690">
        <f t="shared" si="25"/>
        <v>97619</v>
      </c>
      <c r="F330" s="1690">
        <f t="shared" si="25"/>
        <v>1010</v>
      </c>
      <c r="G330" s="1690">
        <f t="shared" si="25"/>
        <v>906</v>
      </c>
      <c r="H330" s="1690">
        <f t="shared" si="25"/>
        <v>0</v>
      </c>
      <c r="I330" s="1690">
        <f t="shared" si="25"/>
        <v>0</v>
      </c>
      <c r="J330" s="1690">
        <f t="shared" si="25"/>
        <v>0</v>
      </c>
      <c r="K330" s="1690">
        <f>SUM(K319:K329)</f>
        <v>217949</v>
      </c>
      <c r="L330" s="1690">
        <f>SUM(L319:L329)</f>
        <v>218165</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95" customHeight="1" thickTop="1" x14ac:dyDescent="0.2">
      <c r="A335" s="1636" t="s">
        <v>955</v>
      </c>
      <c r="B335" s="1627" t="s">
        <v>513</v>
      </c>
      <c r="C335" s="615"/>
      <c r="D335" s="615"/>
      <c r="E335" s="615"/>
      <c r="F335" s="615"/>
      <c r="G335" s="615"/>
      <c r="H335" s="615"/>
      <c r="I335" s="615"/>
      <c r="J335" s="615"/>
      <c r="K335" s="615"/>
      <c r="L335" s="615"/>
    </row>
    <row r="336" spans="1:14" ht="15.9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9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114197</v>
      </c>
      <c r="D342" s="1690">
        <f>SUM(D330)</f>
        <v>4217</v>
      </c>
      <c r="E342" s="1690">
        <f>SUM(E330)</f>
        <v>97619</v>
      </c>
      <c r="F342" s="1690">
        <f>SUM(F330)</f>
        <v>1010</v>
      </c>
      <c r="G342" s="1690">
        <f>SUM(G330)</f>
        <v>906</v>
      </c>
      <c r="H342" s="1690">
        <f>SUM(H330,H334,H340)</f>
        <v>0</v>
      </c>
      <c r="I342" s="1690">
        <f>SUM(I330)</f>
        <v>0</v>
      </c>
      <c r="J342" s="1690">
        <f>SUM(J330)</f>
        <v>0</v>
      </c>
      <c r="K342" s="1690">
        <f>SUM(K330,K334,K340)</f>
        <v>217949</v>
      </c>
      <c r="L342" s="1697">
        <f>SUM(L330,L340,L341)</f>
        <v>218165</v>
      </c>
    </row>
    <row r="343" spans="1:14" ht="12.75" customHeight="1" thickTop="1" x14ac:dyDescent="0.2">
      <c r="A343" s="2183" t="s">
        <v>1053</v>
      </c>
      <c r="B343" s="2184"/>
      <c r="C343" s="615"/>
      <c r="D343" s="615"/>
      <c r="E343" s="615"/>
      <c r="F343" s="615"/>
      <c r="G343" s="615"/>
      <c r="H343" s="615"/>
      <c r="I343" s="615"/>
      <c r="J343" s="615"/>
      <c r="K343" s="1704">
        <f>'Revenues 9-14'!J275-'Expenditures 15-22'!K342</f>
        <v>-5390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3" t="s">
        <v>1023</v>
      </c>
      <c r="B345" s="2174"/>
      <c r="C345" s="1571"/>
      <c r="D345" s="1572"/>
      <c r="E345" s="1572"/>
      <c r="F345" s="1572"/>
      <c r="G345" s="1572"/>
      <c r="H345" s="1572"/>
      <c r="I345" s="1572"/>
      <c r="J345" s="1572"/>
      <c r="K345" s="1572"/>
      <c r="L345" s="1573"/>
      <c r="M345" s="666"/>
      <c r="N345" s="666"/>
    </row>
    <row r="346" spans="1:14" s="343" customFormat="1" ht="15.95" customHeight="1" x14ac:dyDescent="0.2">
      <c r="A346" s="1643" t="s">
        <v>899</v>
      </c>
      <c r="B346" s="1635" t="s">
        <v>590</v>
      </c>
      <c r="C346" s="615"/>
      <c r="D346" s="615"/>
      <c r="E346" s="615"/>
      <c r="F346" s="615"/>
      <c r="G346" s="615"/>
      <c r="H346" s="615"/>
      <c r="I346" s="615"/>
      <c r="J346" s="615"/>
      <c r="K346" s="615"/>
      <c r="L346" s="615"/>
      <c r="M346" s="608"/>
      <c r="N346" s="608"/>
    </row>
    <row r="347" spans="1:14" ht="15.9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400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400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400</v>
      </c>
    </row>
    <row r="353" spans="1:14" s="343" customFormat="1" ht="15.9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9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9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9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9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400</v>
      </c>
    </row>
    <row r="368" spans="1:14" ht="13.5" thickTop="1" x14ac:dyDescent="0.2">
      <c r="A368" s="2170" t="s">
        <v>1053</v>
      </c>
      <c r="B368" s="2171"/>
      <c r="C368" s="653"/>
      <c r="D368" s="653"/>
      <c r="E368" s="625"/>
      <c r="F368" s="625"/>
      <c r="G368" s="625"/>
      <c r="H368" s="625"/>
      <c r="I368" s="625"/>
      <c r="J368" s="622"/>
      <c r="K368" s="1691">
        <f>'Revenues 9-14'!K275-'Expenditures 15-22'!K367</f>
        <v>83</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elements/1.1/"/>
    <ds:schemaRef ds:uri="http://schemas.microsoft.com/sharepoint/v3"/>
    <ds:schemaRef ds:uri="http://purl.org/dc/terms/"/>
    <ds:schemaRef ds:uri="http://purl.org/dc/dcmitype/"/>
    <ds:schemaRef ds:uri="http://schemas.microsoft.com/office/2006/documentManagement/types"/>
    <ds:schemaRef ds:uri="6ce3111e-7420-4802-b50a-75d4e9a0b980"/>
    <ds:schemaRef ds:uri="http://schemas.microsoft.com/office/2006/metadata/properties"/>
    <ds:schemaRef ds:uri="d21dc803-237d-4c68-8692-8d731fd29118"/>
    <ds:schemaRef ds:uri="http://schemas.microsoft.com/office/infopath/2007/PartnerControls"/>
    <ds:schemaRef ds:uri="http://schemas.openxmlformats.org/package/2006/metadata/core-properties"/>
    <ds:schemaRef ds:uri="4d435f69-8686-490b-bd6d-b153bf22ab50"/>
    <ds:schemaRef ds:uri="http://www.w3.org/XML/1998/namespac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2018-10-08T21:19:14Z</cp:lastPrinted>
  <dcterms:created xsi:type="dcterms:W3CDTF">2003-10-29T19:06:34Z</dcterms:created>
  <dcterms:modified xsi:type="dcterms:W3CDTF">2018-10-10T17:46:58Z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