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18" sheetId="183" r:id="rId29"/>
    <sheet name=" SEFA" sheetId="179" r:id="rId30"/>
    <sheet name="SF&amp;QC Sec-1" sheetId="174" r:id="rId31"/>
    <sheet name="SF&amp;QC Sec-2" sheetId="175" r:id="rId32"/>
    <sheet name="SF&amp;QC Sec-3" sheetId="176" r:id="rId33"/>
    <sheet name="SSPAF" sheetId="177" r:id="rId34"/>
  </sheets>
  <definedNames>
    <definedName name="goof">#REF!</definedName>
    <definedName name="oops">#REF!</definedName>
    <definedName name="_xlnm.Print_Area" localSheetId="29">' SEFA'!$B$1:$M$46</definedName>
    <definedName name="_xlnm.Print_Area" localSheetId="28">'SEFA 18'!$A$2:$S$117</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8">'SEFA 18'!$B$20:$S$95</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18'!$A:$B,'SEFA 18'!$1:$14</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02" i="183" l="1"/>
  <c r="M102" i="183"/>
  <c r="K102" i="183"/>
  <c r="O97" i="183"/>
  <c r="M97" i="183"/>
  <c r="K97" i="183"/>
  <c r="I97" i="183"/>
  <c r="G97" i="183"/>
  <c r="Q94" i="183"/>
  <c r="Q93" i="183"/>
  <c r="O86" i="183"/>
  <c r="M86" i="183"/>
  <c r="K86" i="183"/>
  <c r="I86" i="183"/>
  <c r="G86" i="183"/>
  <c r="Q85" i="183"/>
  <c r="Q86" i="183" s="1"/>
  <c r="Q83" i="183"/>
  <c r="Q82" i="183"/>
  <c r="O76" i="183"/>
  <c r="M76" i="183"/>
  <c r="K76" i="183"/>
  <c r="I76" i="183"/>
  <c r="G76" i="183"/>
  <c r="Q75" i="183"/>
  <c r="Q76" i="183" s="1"/>
  <c r="O71" i="183"/>
  <c r="M71" i="183"/>
  <c r="K71" i="183"/>
  <c r="K104" i="183" s="1"/>
  <c r="I71" i="183"/>
  <c r="G71" i="183"/>
  <c r="Q70" i="183"/>
  <c r="Q69" i="183"/>
  <c r="Q71" i="183" s="1"/>
  <c r="O63" i="183"/>
  <c r="M63" i="183"/>
  <c r="M88" i="183" s="1"/>
  <c r="M99" i="183" s="1"/>
  <c r="K63" i="183"/>
  <c r="I63" i="183"/>
  <c r="Q61" i="183"/>
  <c r="Q60" i="183"/>
  <c r="G60" i="183"/>
  <c r="Q58" i="183"/>
  <c r="Q57" i="183"/>
  <c r="Q55" i="183"/>
  <c r="Q54" i="183"/>
  <c r="Q52" i="183"/>
  <c r="Q51" i="183"/>
  <c r="Q49" i="183"/>
  <c r="Q48" i="183"/>
  <c r="Q46" i="183"/>
  <c r="Q63" i="183" s="1"/>
  <c r="O40" i="183"/>
  <c r="M40" i="183"/>
  <c r="K40" i="183"/>
  <c r="I40" i="183"/>
  <c r="G40" i="183"/>
  <c r="Q38" i="183"/>
  <c r="Q37" i="183"/>
  <c r="Q35" i="183"/>
  <c r="Q33" i="183"/>
  <c r="I33" i="183"/>
  <c r="I102" i="183" s="1"/>
  <c r="Q32" i="183"/>
  <c r="Q30" i="183"/>
  <c r="Q29" i="183"/>
  <c r="Q27" i="183"/>
  <c r="Q26" i="183"/>
  <c r="Q24" i="183"/>
  <c r="Q23" i="183"/>
  <c r="Q21" i="183"/>
  <c r="Q20" i="183"/>
  <c r="M13" i="183"/>
  <c r="K13" i="183"/>
  <c r="M12" i="183"/>
  <c r="Q104" i="183" l="1"/>
  <c r="G104" i="183"/>
  <c r="I104" i="183"/>
  <c r="I88" i="183"/>
  <c r="I99" i="183" s="1"/>
  <c r="Q40" i="183"/>
  <c r="K88" i="183"/>
  <c r="K99" i="183" s="1"/>
  <c r="M104" i="183"/>
  <c r="M106" i="183" s="1"/>
  <c r="I106" i="183"/>
  <c r="O88" i="183"/>
  <c r="O99" i="183" s="1"/>
  <c r="Q97" i="183"/>
  <c r="Q88" i="183"/>
  <c r="Q99" i="183" s="1"/>
  <c r="K106" i="183"/>
  <c r="O104" i="183"/>
  <c r="O106" i="183" s="1"/>
  <c r="G63" i="183"/>
  <c r="G88" i="183" s="1"/>
  <c r="G99" i="183" s="1"/>
  <c r="Q102" i="183"/>
  <c r="Q106" i="183" s="1"/>
  <c r="G102" i="183"/>
  <c r="G106"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25" i="181" l="1"/>
  <c r="G125" i="181" s="1"/>
  <c r="E125" i="181"/>
  <c r="F124" i="181"/>
  <c r="G124" i="181" s="1"/>
  <c r="E124" i="181"/>
  <c r="F123" i="181"/>
  <c r="G123" i="181" s="1"/>
  <c r="E123" i="181"/>
  <c r="F122" i="181"/>
  <c r="G122" i="181" s="1"/>
  <c r="E122" i="181"/>
  <c r="F121" i="181"/>
  <c r="G121" i="181" s="1"/>
  <c r="E121" i="181"/>
  <c r="F120" i="181"/>
  <c r="G120" i="181" s="1"/>
  <c r="E120" i="181"/>
  <c r="F119" i="181"/>
  <c r="G119" i="181" s="1"/>
  <c r="E119" i="181"/>
  <c r="E118" i="181"/>
  <c r="F118" i="181" s="1"/>
  <c r="G118" i="181" s="1"/>
  <c r="F117" i="181"/>
  <c r="G117" i="181" s="1"/>
  <c r="E117" i="181"/>
  <c r="F116" i="181"/>
  <c r="G116" i="181" s="1"/>
  <c r="E116" i="181"/>
  <c r="F115" i="181"/>
  <c r="G115" i="181" s="1"/>
  <c r="E115" i="181"/>
  <c r="F114" i="181"/>
  <c r="G114" i="181" s="1"/>
  <c r="E114" i="181"/>
  <c r="E113" i="181"/>
  <c r="F113" i="181" s="1"/>
  <c r="G113" i="181" s="1"/>
  <c r="F112" i="181"/>
  <c r="G112" i="181" s="1"/>
  <c r="E112" i="181"/>
  <c r="F111" i="181"/>
  <c r="G111" i="181" s="1"/>
  <c r="E111" i="181"/>
  <c r="F110" i="181"/>
  <c r="G110" i="181" s="1"/>
  <c r="E110" i="181"/>
  <c r="E109" i="181"/>
  <c r="F109" i="181" s="1"/>
  <c r="G109" i="181" s="1"/>
  <c r="F108" i="181"/>
  <c r="G108" i="181" s="1"/>
  <c r="E108" i="181"/>
  <c r="F107" i="181"/>
  <c r="G107" i="181" s="1"/>
  <c r="E107" i="181"/>
  <c r="F106" i="181"/>
  <c r="G106" i="181" s="1"/>
  <c r="E106" i="181"/>
  <c r="F105" i="181"/>
  <c r="G105" i="181" s="1"/>
  <c r="E105" i="181"/>
  <c r="F104" i="181"/>
  <c r="G104" i="181" s="1"/>
  <c r="E104" i="181"/>
  <c r="F103" i="181"/>
  <c r="G103" i="181" s="1"/>
  <c r="E103" i="181"/>
  <c r="F102" i="181"/>
  <c r="G102" i="181" s="1"/>
  <c r="E102" i="181"/>
  <c r="F101" i="181"/>
  <c r="G101" i="181" s="1"/>
  <c r="E101" i="181"/>
  <c r="E100" i="181"/>
  <c r="F100" i="181" s="1"/>
  <c r="G100" i="181" s="1"/>
  <c r="F99" i="181"/>
  <c r="G99" i="181" s="1"/>
  <c r="E99" i="181"/>
  <c r="F98" i="181"/>
  <c r="G98" i="181" s="1"/>
  <c r="E98" i="181"/>
  <c r="F97" i="181"/>
  <c r="G97" i="181" s="1"/>
  <c r="E97" i="181"/>
  <c r="E96" i="181"/>
  <c r="F96" i="181" s="1"/>
  <c r="G96" i="181" s="1"/>
  <c r="F95" i="181"/>
  <c r="G95" i="181" s="1"/>
  <c r="E95" i="181"/>
  <c r="F94" i="181"/>
  <c r="G94" i="181" s="1"/>
  <c r="E94" i="181"/>
  <c r="F93" i="181"/>
  <c r="G93" i="181" s="1"/>
  <c r="E93" i="181"/>
  <c r="F92" i="181"/>
  <c r="G92" i="181" s="1"/>
  <c r="E92" i="181"/>
  <c r="F91" i="181"/>
  <c r="G91" i="181" s="1"/>
  <c r="E91" i="181"/>
  <c r="F90" i="181"/>
  <c r="G90" i="181" s="1"/>
  <c r="E90" i="181"/>
  <c r="F85" i="181"/>
  <c r="G85" i="181" s="1"/>
  <c r="E85" i="181"/>
  <c r="F89" i="181"/>
  <c r="G89" i="181" s="1"/>
  <c r="E89" i="181"/>
  <c r="E88" i="181"/>
  <c r="F88" i="181" s="1"/>
  <c r="G88" i="181" s="1"/>
  <c r="F87" i="181"/>
  <c r="G87" i="181" s="1"/>
  <c r="E87" i="181"/>
  <c r="E86" i="181"/>
  <c r="F86" i="181" s="1"/>
  <c r="G86" i="181" s="1"/>
  <c r="F84" i="181"/>
  <c r="G84" i="181" s="1"/>
  <c r="E84" i="181"/>
  <c r="E83" i="181"/>
  <c r="F83" i="181" s="1"/>
  <c r="G83" i="181" s="1"/>
  <c r="F82" i="181"/>
  <c r="G82" i="181" s="1"/>
  <c r="E82" i="181"/>
  <c r="E81" i="181"/>
  <c r="F81" i="181" s="1"/>
  <c r="G81" i="181" s="1"/>
  <c r="F79" i="181"/>
  <c r="G79" i="181" s="1"/>
  <c r="E79" i="181"/>
  <c r="F78" i="181"/>
  <c r="G78" i="181" s="1"/>
  <c r="E78" i="181"/>
  <c r="E77" i="181"/>
  <c r="F77" i="181" s="1"/>
  <c r="G77" i="181" s="1"/>
  <c r="F76" i="181"/>
  <c r="G76" i="181" s="1"/>
  <c r="E76" i="181"/>
  <c r="F75" i="181"/>
  <c r="G75" i="181" s="1"/>
  <c r="E75" i="181"/>
  <c r="E74" i="181"/>
  <c r="F74" i="181" s="1"/>
  <c r="G74" i="181" s="1"/>
  <c r="F73" i="181"/>
  <c r="G73" i="181" s="1"/>
  <c r="E73" i="181"/>
  <c r="E72" i="181"/>
  <c r="F72" i="181" s="1"/>
  <c r="G72" i="181" s="1"/>
  <c r="F70" i="181"/>
  <c r="G70" i="181" s="1"/>
  <c r="E70" i="181"/>
  <c r="F69" i="181"/>
  <c r="G69" i="181" s="1"/>
  <c r="E69" i="181"/>
  <c r="F68" i="181"/>
  <c r="G68" i="181" s="1"/>
  <c r="E68" i="181"/>
  <c r="F67" i="181"/>
  <c r="G67" i="181" s="1"/>
  <c r="E67" i="181"/>
  <c r="F66" i="181"/>
  <c r="G66" i="181" s="1"/>
  <c r="E66" i="181"/>
  <c r="F65" i="181"/>
  <c r="G65" i="181" s="1"/>
  <c r="E65" i="181"/>
  <c r="F64" i="181"/>
  <c r="G64" i="181" s="1"/>
  <c r="E64" i="181"/>
  <c r="F63" i="181"/>
  <c r="G63" i="181" s="1"/>
  <c r="E63" i="181"/>
  <c r="F62" i="181"/>
  <c r="G62" i="181" s="1"/>
  <c r="E62" i="181"/>
  <c r="E61" i="181"/>
  <c r="F61" i="181" s="1"/>
  <c r="G61" i="181" s="1"/>
  <c r="F60" i="181"/>
  <c r="G60" i="181" s="1"/>
  <c r="E60" i="181"/>
  <c r="F59" i="181"/>
  <c r="G59" i="181" s="1"/>
  <c r="E59" i="181"/>
  <c r="F126" i="181"/>
  <c r="G126" i="181" s="1"/>
  <c r="E126" i="181"/>
  <c r="F80" i="181"/>
  <c r="G80" i="181" s="1"/>
  <c r="E80" i="181"/>
  <c r="F71" i="181"/>
  <c r="G71" i="181" s="1"/>
  <c r="E71" i="181"/>
  <c r="E58" i="181"/>
  <c r="F58" i="181" s="1"/>
  <c r="G58" i="181" s="1"/>
  <c r="F57" i="181"/>
  <c r="G57" i="181" s="1"/>
  <c r="E57" i="181"/>
  <c r="F56" i="181"/>
  <c r="G56" i="181" s="1"/>
  <c r="E56" i="181"/>
  <c r="F55" i="181"/>
  <c r="G55" i="181" s="1"/>
  <c r="E55" i="181"/>
  <c r="F54" i="181"/>
  <c r="G54" i="181" s="1"/>
  <c r="E54" i="181"/>
  <c r="F53" i="181"/>
  <c r="G53" i="181" s="1"/>
  <c r="E53" i="181"/>
  <c r="F52" i="181"/>
  <c r="G52" i="181" s="1"/>
  <c r="E52" i="181"/>
  <c r="E51" i="181"/>
  <c r="F51" i="181" s="1"/>
  <c r="G51" i="181" s="1"/>
  <c r="E50" i="181"/>
  <c r="F50" i="181" s="1"/>
  <c r="G50" i="181" s="1"/>
  <c r="F49" i="181"/>
  <c r="G49" i="181" s="1"/>
  <c r="E49" i="181"/>
  <c r="F48" i="181"/>
  <c r="G48" i="181" s="1"/>
  <c r="E48" i="181"/>
  <c r="F47" i="181"/>
  <c r="G47" i="181" s="1"/>
  <c r="E47" i="181"/>
  <c r="E46" i="181"/>
  <c r="F46" i="181" s="1"/>
  <c r="G46" i="181" s="1"/>
  <c r="F45" i="181"/>
  <c r="G45" i="181" s="1"/>
  <c r="E45" i="181"/>
  <c r="E44" i="181"/>
  <c r="F44" i="181" s="1"/>
  <c r="G44" i="181" s="1"/>
  <c r="F43" i="181"/>
  <c r="G43" i="181" s="1"/>
  <c r="E43" i="181"/>
  <c r="E42" i="181"/>
  <c r="F42" i="181" s="1"/>
  <c r="G42" i="181" s="1"/>
  <c r="E41" i="181"/>
  <c r="F41" i="181" s="1"/>
  <c r="G41" i="181" s="1"/>
  <c r="E40" i="181"/>
  <c r="F40" i="181" s="1"/>
  <c r="G40" i="181" s="1"/>
  <c r="E39" i="181"/>
  <c r="F39" i="181" s="1"/>
  <c r="G39" i="181" s="1"/>
  <c r="E38" i="181"/>
  <c r="F38" i="181" s="1"/>
  <c r="G38" i="181" s="1"/>
  <c r="F37" i="181"/>
  <c r="G37" i="181" s="1"/>
  <c r="E37" i="181"/>
  <c r="E36" i="181"/>
  <c r="F36" i="181" s="1"/>
  <c r="G36" i="181" s="1"/>
  <c r="E35" i="181"/>
  <c r="F35" i="181" s="1"/>
  <c r="G35" i="181" s="1"/>
  <c r="F34" i="181"/>
  <c r="G34" i="181" s="1"/>
  <c r="E34"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27" i="181" l="1"/>
  <c r="D80" i="36" l="1"/>
  <c r="B7797" i="106"/>
  <c r="E127" i="181"/>
  <c r="E17" i="181"/>
  <c r="E16" i="181"/>
  <c r="F16" i="181" s="1"/>
  <c r="G16" i="181" s="1"/>
  <c r="F17" i="181" l="1"/>
  <c r="G17" i="181" s="1"/>
  <c r="G127" i="181" s="1"/>
  <c r="G40" i="108" l="1"/>
  <c r="B7799" i="106"/>
  <c r="F127"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J32" i="8" s="1"/>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3"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L5" i="11"/>
  <c r="B2056" i="106" s="1"/>
  <c r="D2056" i="106" s="1"/>
  <c r="D24" i="37" l="1"/>
  <c r="B4270" i="106" s="1"/>
  <c r="D4270" i="106" s="1"/>
  <c r="D22" i="37"/>
  <c r="D11" i="37"/>
  <c r="K26" i="12"/>
  <c r="B7743" i="106" s="1"/>
  <c r="D7743" i="106" s="1"/>
  <c r="J22" i="37"/>
  <c r="H33" i="118"/>
  <c r="J49" i="8"/>
  <c r="B4172" i="106" s="1"/>
  <c r="D4172" i="106" s="1"/>
  <c r="N22" i="3"/>
  <c r="B283" i="106" s="1"/>
  <c r="D283" i="106" s="1"/>
  <c r="H28" i="118"/>
  <c r="I24" i="12"/>
  <c r="I26" i="12" s="1"/>
  <c r="B7741" i="106" s="1"/>
  <c r="D7741" i="106" s="1"/>
  <c r="L15" i="11"/>
  <c r="B3459" i="106" s="1"/>
  <c r="D3459" i="106" s="1"/>
  <c r="F21" i="8"/>
  <c r="B1879" i="106" s="1"/>
  <c r="D1879" i="106" s="1"/>
  <c r="D31" i="36"/>
  <c r="H29" i="118"/>
  <c r="I274" i="5"/>
  <c r="B4435" i="106" s="1"/>
  <c r="D4435" i="106" s="1"/>
  <c r="B2734" i="106"/>
  <c r="D2734" i="106" s="1"/>
  <c r="L13" i="11"/>
  <c r="B2060" i="106" s="1"/>
  <c r="D2060" i="106" s="1"/>
  <c r="B1996" i="106"/>
  <c r="D1996"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K28" i="118" l="1"/>
  <c r="O27" i="118" s="1"/>
  <c r="O29" i="118" s="1"/>
  <c r="J24" i="12"/>
  <c r="B7732" i="106" s="1"/>
  <c r="D7732" i="106" s="1"/>
  <c r="I7" i="4"/>
  <c r="B4444" i="106" s="1"/>
  <c r="D4444" i="106" s="1"/>
  <c r="H22" i="37"/>
  <c r="L16" i="11"/>
  <c r="B2061" i="106" s="1"/>
  <c r="D2061" i="106" s="1"/>
  <c r="B7760" i="106"/>
  <c r="D7760" i="106" s="1"/>
  <c r="D24" i="36"/>
  <c r="B2917" i="106"/>
  <c r="D2917" i="106" s="1"/>
  <c r="D53" i="36"/>
  <c r="B1875" i="106"/>
  <c r="D1875" i="106" s="1"/>
  <c r="F22" i="37"/>
  <c r="B1983" i="106"/>
  <c r="D1983" i="106" s="1"/>
  <c r="H26" i="12"/>
  <c r="B7740" i="106" s="1"/>
  <c r="D7740" i="106" s="1"/>
  <c r="A7258" i="106"/>
  <c r="B1958" i="106"/>
  <c r="D1958" i="106" s="1"/>
  <c r="G26" i="12"/>
  <c r="B7739" i="106" s="1"/>
  <c r="D7739" i="106" s="1"/>
  <c r="B4171" i="106"/>
  <c r="D4171" i="106" s="1"/>
  <c r="N36" i="3"/>
  <c r="B7298" i="106"/>
  <c r="B7299" i="106"/>
  <c r="F24" i="37" l="1"/>
  <c r="J26" i="12"/>
  <c r="B7742" i="106" s="1"/>
  <c r="D774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80" i="106" l="1"/>
  <c r="D280" i="106" s="1"/>
  <c r="M41" i="3"/>
  <c r="B281" i="106" l="1"/>
  <c r="D281" i="106" s="1"/>
  <c r="D54" i="36"/>
  <c r="L334" i="29" l="1"/>
  <c r="B7775" i="106" l="1"/>
  <c r="D7775" i="106" s="1"/>
  <c r="B7774" i="106"/>
  <c r="D7774" i="106" s="1"/>
  <c r="K133" i="29"/>
  <c r="K158" i="29"/>
  <c r="B7780" i="106" s="1"/>
  <c r="D7780" i="106" s="1"/>
  <c r="B7779" i="106"/>
  <c r="D7779" i="106" s="1"/>
  <c r="B7781" i="106"/>
  <c r="D7781" i="106" s="1"/>
  <c r="K159" i="29"/>
  <c r="B7782" i="106" s="1"/>
  <c r="D7782" i="106" s="1"/>
  <c r="K282" i="29"/>
  <c r="B7783" i="106"/>
  <c r="D7783" i="106" s="1"/>
  <c r="H334" i="29"/>
  <c r="B7789" i="106" s="1"/>
  <c r="D7789" i="106" s="1"/>
  <c r="B7785" i="106"/>
  <c r="D7785" i="106" s="1"/>
  <c r="K332" i="29"/>
  <c r="K333" i="29"/>
  <c r="B7788" i="106" s="1"/>
  <c r="D7788" i="106" s="1"/>
  <c r="B7787" i="106"/>
  <c r="D7787" i="106" s="1"/>
  <c r="K355" i="29"/>
  <c r="B7793" i="106"/>
  <c r="D7793" i="106" s="1"/>
  <c r="B7237" i="106"/>
  <c r="D7237" i="106" s="1"/>
  <c r="B7791" i="106"/>
  <c r="D7791" i="106" s="1"/>
  <c r="B7236" i="106"/>
  <c r="D7236" i="106" s="1"/>
  <c r="K354" i="29"/>
  <c r="B7776" i="106" l="1"/>
  <c r="D7776" i="106" s="1"/>
  <c r="B7784" i="106"/>
  <c r="D7784" i="106" s="1"/>
  <c r="B7786" i="106"/>
  <c r="D7786" i="106" s="1"/>
  <c r="K334" i="29"/>
  <c r="B7792" i="106"/>
  <c r="D7792" i="106" s="1"/>
  <c r="B3673" i="106"/>
  <c r="D3673" i="106" s="1"/>
  <c r="B3674" i="106"/>
  <c r="D3674" i="106" s="1"/>
  <c r="B7794" i="106"/>
  <c r="D7794" i="106" s="1"/>
  <c r="B7790" i="106" l="1"/>
  <c r="D7790" i="106" s="1"/>
  <c r="J15" i="4"/>
  <c r="B7796" i="106" s="1"/>
  <c r="D7796" i="106" s="1"/>
  <c r="F74" i="34"/>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4877" i="106"/>
  <c r="D4877"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5665" i="106"/>
  <c r="D5665"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5" i="106"/>
  <c r="D506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285"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L340" i="29" l="1"/>
  <c r="L137" i="29"/>
  <c r="L139" i="29" s="1"/>
  <c r="L261" i="29"/>
  <c r="L110" i="29"/>
  <c r="L112" i="29" s="1"/>
  <c r="L100" i="29"/>
  <c r="B6941" i="106"/>
  <c r="D6941" i="106" s="1"/>
  <c r="B5022" i="106"/>
  <c r="D5022" i="106" s="1"/>
  <c r="C76" i="4"/>
  <c r="B3231" i="106" s="1"/>
  <c r="D3231" i="106" s="1"/>
  <c r="K106" i="29"/>
  <c r="B1147" i="106" s="1"/>
  <c r="D1147" i="106" s="1"/>
  <c r="B1049" i="106"/>
  <c r="D1049" i="106" s="1"/>
  <c r="K96" i="29"/>
  <c r="B7003" i="106" s="1"/>
  <c r="D7003" i="106" s="1"/>
  <c r="B7002" i="106"/>
  <c r="D7002" i="106" s="1"/>
  <c r="K87" i="29"/>
  <c r="B6986" i="106" s="1"/>
  <c r="D6986" i="106" s="1"/>
  <c r="B6985" i="106"/>
  <c r="D6985" i="106" s="1"/>
  <c r="K81" i="29"/>
  <c r="B2976" i="106" s="1"/>
  <c r="D2976" i="106" s="1"/>
  <c r="B2952" i="106"/>
  <c r="D2952" i="106" s="1"/>
  <c r="I72" i="29"/>
  <c r="B6973" i="106" s="1"/>
  <c r="D6973" i="106" s="1"/>
  <c r="B6963" i="106"/>
  <c r="D6963" i="106" s="1"/>
  <c r="B6950" i="106"/>
  <c r="D6950" i="106" s="1"/>
  <c r="I65" i="29"/>
  <c r="B6961" i="106" s="1"/>
  <c r="D6961" i="106" s="1"/>
  <c r="B6944" i="106"/>
  <c r="D6944" i="106" s="1"/>
  <c r="I57" i="29"/>
  <c r="B6948" i="106" s="1"/>
  <c r="D6948" i="106" s="1"/>
  <c r="B6926" i="106"/>
  <c r="D6926" i="106" s="1"/>
  <c r="I53" i="29"/>
  <c r="B6942" i="106" s="1"/>
  <c r="D6942" i="106" s="1"/>
  <c r="I47" i="29"/>
  <c r="B6924" i="106" s="1"/>
  <c r="D6924" i="106" s="1"/>
  <c r="B6918" i="106"/>
  <c r="D6918" i="106" s="1"/>
  <c r="I42" i="29"/>
  <c r="B6904" i="106"/>
  <c r="D6904" i="106" s="1"/>
  <c r="K31" i="29"/>
  <c r="B6898" i="106"/>
  <c r="D6898" i="106" s="1"/>
  <c r="B6882" i="106"/>
  <c r="D6882" i="106" s="1"/>
  <c r="K23" i="29"/>
  <c r="B879" i="106"/>
  <c r="D879" i="106" s="1"/>
  <c r="F33" i="29"/>
  <c r="F162" i="34"/>
  <c r="B7761" i="106"/>
  <c r="D7761" i="106" s="1"/>
  <c r="B5063" i="106"/>
  <c r="D5063" i="106" s="1"/>
  <c r="K6" i="29"/>
  <c r="B7763" i="106" s="1"/>
  <c r="D7763" i="106" s="1"/>
  <c r="B7762" i="106"/>
  <c r="D7762" i="106" s="1"/>
  <c r="B1048" i="106"/>
  <c r="D1048" i="106" s="1"/>
  <c r="K105" i="29"/>
  <c r="H110" i="29"/>
  <c r="K95" i="29"/>
  <c r="B7001" i="106" s="1"/>
  <c r="D7001" i="106" s="1"/>
  <c r="B7000" i="106"/>
  <c r="D7000" i="106" s="1"/>
  <c r="B6983" i="106"/>
  <c r="D6983" i="106" s="1"/>
  <c r="K86" i="29"/>
  <c r="B6984" i="106" s="1"/>
  <c r="D6984" i="106" s="1"/>
  <c r="H72" i="29"/>
  <c r="B1043" i="106" s="1"/>
  <c r="D1043" i="106" s="1"/>
  <c r="B1036" i="106"/>
  <c r="D1036" i="106" s="1"/>
  <c r="B975" i="106"/>
  <c r="D975" i="106" s="1"/>
  <c r="B1033" i="106"/>
  <c r="D1033" i="106" s="1"/>
  <c r="B1028" i="106"/>
  <c r="D1028" i="106" s="1"/>
  <c r="B1025" i="106"/>
  <c r="D1025" i="106" s="1"/>
  <c r="H57" i="29"/>
  <c r="B1027" i="106" s="1"/>
  <c r="D1027" i="106" s="1"/>
  <c r="B1022" i="106"/>
  <c r="D1022" i="106" s="1"/>
  <c r="H53" i="29"/>
  <c r="B1024" i="106" s="1"/>
  <c r="D1024" i="106" s="1"/>
  <c r="H47" i="29"/>
  <c r="B1021" i="106" s="1"/>
  <c r="D1021" i="106" s="1"/>
  <c r="B1018" i="106"/>
  <c r="D1018" i="106" s="1"/>
  <c r="H42" i="29"/>
  <c r="B1011" i="106"/>
  <c r="D1011" i="106" s="1"/>
  <c r="B6896" i="106"/>
  <c r="D6896" i="106" s="1"/>
  <c r="K30" i="29"/>
  <c r="B6880" i="106"/>
  <c r="D6880" i="106" s="1"/>
  <c r="K22" i="29"/>
  <c r="E33" i="29"/>
  <c r="B821" i="106"/>
  <c r="D821" i="106" s="1"/>
  <c r="F98" i="34"/>
  <c r="B5107" i="106"/>
  <c r="D5107" i="106" s="1"/>
  <c r="B7748" i="106"/>
  <c r="D7748" i="106" s="1"/>
  <c r="K94" i="29"/>
  <c r="B6999" i="106" s="1"/>
  <c r="D6999" i="106" s="1"/>
  <c r="B6998" i="106"/>
  <c r="D6998" i="106" s="1"/>
  <c r="H92" i="29"/>
  <c r="B6981" i="106"/>
  <c r="D6981" i="106" s="1"/>
  <c r="K85" i="29"/>
  <c r="B6982" i="106" s="1"/>
  <c r="D6982" i="106" s="1"/>
  <c r="B2951" i="106"/>
  <c r="D2951" i="106" s="1"/>
  <c r="K80" i="29"/>
  <c r="B2975" i="106" s="1"/>
  <c r="D2975" i="106" s="1"/>
  <c r="G72" i="29"/>
  <c r="B985" i="106" s="1"/>
  <c r="D985" i="106" s="1"/>
  <c r="B978" i="106"/>
  <c r="D978" i="106" s="1"/>
  <c r="B970" i="106"/>
  <c r="D970" i="106" s="1"/>
  <c r="B967" i="106"/>
  <c r="D967" i="106" s="1"/>
  <c r="G57" i="29"/>
  <c r="B969" i="106" s="1"/>
  <c r="D969" i="106" s="1"/>
  <c r="B964" i="106"/>
  <c r="D964" i="106" s="1"/>
  <c r="G53" i="29"/>
  <c r="B966" i="106" s="1"/>
  <c r="D966" i="106" s="1"/>
  <c r="G47" i="29"/>
  <c r="B963" i="106" s="1"/>
  <c r="D963" i="106" s="1"/>
  <c r="B960" i="106"/>
  <c r="D960" i="106" s="1"/>
  <c r="B953" i="106"/>
  <c r="D953" i="106" s="1"/>
  <c r="G42" i="29"/>
  <c r="B6894" i="106"/>
  <c r="D6894" i="106" s="1"/>
  <c r="K29" i="29"/>
  <c r="B6878" i="106"/>
  <c r="D6878" i="106" s="1"/>
  <c r="K21" i="29"/>
  <c r="B763" i="106"/>
  <c r="D763" i="106" s="1"/>
  <c r="D33" i="29"/>
  <c r="B2947" i="106"/>
  <c r="D2947" i="106" s="1"/>
  <c r="K101" i="29"/>
  <c r="B7015" i="106" s="1"/>
  <c r="D7015" i="106" s="1"/>
  <c r="K93" i="29"/>
  <c r="H100" i="29"/>
  <c r="B7012" i="106" s="1"/>
  <c r="D7012" i="106" s="1"/>
  <c r="B6996" i="106"/>
  <c r="D6996" i="106" s="1"/>
  <c r="F72" i="29"/>
  <c r="B927" i="106" s="1"/>
  <c r="D927" i="106" s="1"/>
  <c r="B920" i="106"/>
  <c r="D920" i="106" s="1"/>
  <c r="F65" i="29"/>
  <c r="B919" i="106" s="1"/>
  <c r="D919" i="106" s="1"/>
  <c r="B912" i="106"/>
  <c r="D912" i="106" s="1"/>
  <c r="F57" i="29"/>
  <c r="B911" i="106" s="1"/>
  <c r="D911" i="106" s="1"/>
  <c r="B909" i="106"/>
  <c r="D909" i="106" s="1"/>
  <c r="F53" i="29"/>
  <c r="B908" i="106" s="1"/>
  <c r="D908" i="106" s="1"/>
  <c r="B906" i="106"/>
  <c r="D906" i="106" s="1"/>
  <c r="F47" i="29"/>
  <c r="B905" i="106" s="1"/>
  <c r="D905" i="106" s="1"/>
  <c r="B902" i="106"/>
  <c r="D902" i="106" s="1"/>
  <c r="B895" i="106"/>
  <c r="D895" i="106" s="1"/>
  <c r="F42" i="29"/>
  <c r="B6892" i="106"/>
  <c r="D6892" i="106" s="1"/>
  <c r="K28" i="29"/>
  <c r="K20" i="29"/>
  <c r="B6876" i="106"/>
  <c r="D6876" i="106" s="1"/>
  <c r="B3367" i="106"/>
  <c r="D3367" i="106" s="1"/>
  <c r="B712" i="106"/>
  <c r="D712" i="106" s="1"/>
  <c r="K18" i="29"/>
  <c r="B1100" i="106" s="1"/>
  <c r="D1100" i="106" s="1"/>
  <c r="B7263" i="106"/>
  <c r="D7263" i="106" s="1"/>
  <c r="K17" i="29"/>
  <c r="B6871" i="106" s="1"/>
  <c r="D6871" i="106" s="1"/>
  <c r="C33" i="29"/>
  <c r="B706" i="106"/>
  <c r="D706" i="106" s="1"/>
  <c r="K16" i="29"/>
  <c r="B1094" i="106" s="1"/>
  <c r="D1094" i="106" s="1"/>
  <c r="K15" i="29"/>
  <c r="B719" i="106"/>
  <c r="D719" i="106" s="1"/>
  <c r="B718" i="106"/>
  <c r="D718" i="106" s="1"/>
  <c r="K14" i="29"/>
  <c r="B1106" i="106" s="1"/>
  <c r="D1106" i="106" s="1"/>
  <c r="K13" i="29"/>
  <c r="B1105" i="106" s="1"/>
  <c r="D1105" i="106" s="1"/>
  <c r="B717" i="106"/>
  <c r="D717" i="106" s="1"/>
  <c r="B716" i="106"/>
  <c r="D716" i="106" s="1"/>
  <c r="K12" i="29"/>
  <c r="B7257" i="106"/>
  <c r="D7257" i="106" s="1"/>
  <c r="K11" i="29"/>
  <c r="K10" i="29"/>
  <c r="B3062" i="106" s="1"/>
  <c r="D3062" i="106" s="1"/>
  <c r="B3055" i="106"/>
  <c r="D3055" i="106" s="1"/>
  <c r="B7251" i="106"/>
  <c r="D7251" i="106" s="1"/>
  <c r="K9" i="29"/>
  <c r="K8" i="29"/>
  <c r="B3380" i="106" s="1"/>
  <c r="D3380" i="106" s="1"/>
  <c r="B3366" i="106"/>
  <c r="D3366" i="106" s="1"/>
  <c r="K7" i="29"/>
  <c r="B6727" i="106"/>
  <c r="D6727" i="106" s="1"/>
  <c r="B705" i="106"/>
  <c r="D705" i="106" s="1"/>
  <c r="B5072" i="106"/>
  <c r="D5072" i="106" s="1"/>
  <c r="C40" i="5"/>
  <c r="B5087" i="106" s="1"/>
  <c r="D5087" i="106" s="1"/>
  <c r="L92" i="29"/>
  <c r="K111" i="29"/>
  <c r="B7017" i="106" s="1"/>
  <c r="D7017" i="106" s="1"/>
  <c r="B7016" i="106"/>
  <c r="D7016" i="106" s="1"/>
  <c r="B6993" i="106"/>
  <c r="D6993" i="106" s="1"/>
  <c r="K91" i="29"/>
  <c r="B6994" i="106" s="1"/>
  <c r="D6994" i="106" s="1"/>
  <c r="B2954" i="106"/>
  <c r="D2954" i="106" s="1"/>
  <c r="K83" i="29"/>
  <c r="B2978" i="106" s="1"/>
  <c r="D2978" i="106" s="1"/>
  <c r="K79" i="29"/>
  <c r="B2974" i="106" s="1"/>
  <c r="D2974" i="106" s="1"/>
  <c r="B2950" i="106"/>
  <c r="D2950" i="106" s="1"/>
  <c r="B862" i="106"/>
  <c r="D862" i="106" s="1"/>
  <c r="E72" i="29"/>
  <c r="B869" i="106" s="1"/>
  <c r="D869" i="106" s="1"/>
  <c r="B854" i="106"/>
  <c r="D854" i="106" s="1"/>
  <c r="E65" i="29"/>
  <c r="B861" i="106" s="1"/>
  <c r="D861" i="106" s="1"/>
  <c r="B851" i="106"/>
  <c r="D851" i="106" s="1"/>
  <c r="E57" i="29"/>
  <c r="B853" i="106" s="1"/>
  <c r="D853" i="106" s="1"/>
  <c r="B848" i="106"/>
  <c r="D848" i="106" s="1"/>
  <c r="E53" i="29"/>
  <c r="B850" i="106" s="1"/>
  <c r="D850" i="106" s="1"/>
  <c r="E47" i="29"/>
  <c r="B847" i="106" s="1"/>
  <c r="D847" i="106" s="1"/>
  <c r="B844" i="106"/>
  <c r="D844" i="106" s="1"/>
  <c r="E42" i="29"/>
  <c r="B837" i="106"/>
  <c r="D837" i="106" s="1"/>
  <c r="B6890" i="106"/>
  <c r="D6890" i="106" s="1"/>
  <c r="K27" i="29"/>
  <c r="B6845" i="106"/>
  <c r="D6845" i="106" s="1"/>
  <c r="J33" i="29"/>
  <c r="D78" i="36"/>
  <c r="B4113" i="106"/>
  <c r="D4113" i="106" s="1"/>
  <c r="C18" i="4"/>
  <c r="B4131" i="106" s="1"/>
  <c r="D4131" i="106" s="1"/>
  <c r="B5163" i="106"/>
  <c r="D5163" i="106" s="1"/>
  <c r="B6125" i="106"/>
  <c r="D6125" i="106" s="1"/>
  <c r="C34" i="3"/>
  <c r="B1051" i="106"/>
  <c r="D1051" i="106" s="1"/>
  <c r="K109" i="29"/>
  <c r="B1149" i="106" s="1"/>
  <c r="D1149" i="106" s="1"/>
  <c r="E100" i="29"/>
  <c r="B7011" i="106" s="1"/>
  <c r="D7011" i="106" s="1"/>
  <c r="K99" i="29"/>
  <c r="B7010" i="106" s="1"/>
  <c r="D7010" i="106" s="1"/>
  <c r="B7008" i="106"/>
  <c r="D7008" i="106" s="1"/>
  <c r="B6991" i="106"/>
  <c r="D6991" i="106" s="1"/>
  <c r="K90" i="29"/>
  <c r="B6992" i="106" s="1"/>
  <c r="D6992" i="106" s="1"/>
  <c r="B2955" i="106"/>
  <c r="D2955" i="106" s="1"/>
  <c r="H84" i="29"/>
  <c r="B804" i="106"/>
  <c r="D804" i="106" s="1"/>
  <c r="D72" i="29"/>
  <c r="B811" i="106" s="1"/>
  <c r="D811" i="106" s="1"/>
  <c r="B796" i="106"/>
  <c r="D796" i="106" s="1"/>
  <c r="D65" i="29"/>
  <c r="B803" i="106" s="1"/>
  <c r="D803" i="106" s="1"/>
  <c r="B793" i="106"/>
  <c r="D793" i="106" s="1"/>
  <c r="D57" i="29"/>
  <c r="B795" i="106" s="1"/>
  <c r="D795" i="106" s="1"/>
  <c r="B790" i="106"/>
  <c r="D790" i="106" s="1"/>
  <c r="D53" i="29"/>
  <c r="B792" i="106" s="1"/>
  <c r="D792" i="106" s="1"/>
  <c r="D47" i="29"/>
  <c r="B789" i="106" s="1"/>
  <c r="D789" i="106" s="1"/>
  <c r="B786" i="106"/>
  <c r="D786" i="106" s="1"/>
  <c r="D42" i="29"/>
  <c r="B779" i="106"/>
  <c r="D779" i="106" s="1"/>
  <c r="B6888" i="106"/>
  <c r="D6888" i="106" s="1"/>
  <c r="K26" i="29"/>
  <c r="B6844" i="106"/>
  <c r="D6844" i="106" s="1"/>
  <c r="B6031" i="106"/>
  <c r="D6031" i="106" s="1"/>
  <c r="C12" i="5"/>
  <c r="B2792" i="106"/>
  <c r="D2792" i="106" s="1"/>
  <c r="K108" i="29"/>
  <c r="B2796" i="106" s="1"/>
  <c r="D2796" i="106" s="1"/>
  <c r="K98" i="29"/>
  <c r="B7007" i="106" s="1"/>
  <c r="D7007" i="106" s="1"/>
  <c r="B7006" i="106"/>
  <c r="D7006" i="106" s="1"/>
  <c r="K89" i="29"/>
  <c r="B6990" i="106" s="1"/>
  <c r="D6990" i="106" s="1"/>
  <c r="B6989" i="106"/>
  <c r="D6989" i="106" s="1"/>
  <c r="K82" i="29"/>
  <c r="B2977" i="106" s="1"/>
  <c r="D2977" i="106" s="1"/>
  <c r="B2953" i="106"/>
  <c r="D2953" i="106" s="1"/>
  <c r="K78" i="29"/>
  <c r="B2949" i="106"/>
  <c r="D2949" i="106" s="1"/>
  <c r="E84" i="29"/>
  <c r="B756" i="106"/>
  <c r="D756" i="106" s="1"/>
  <c r="K75" i="29"/>
  <c r="B754" i="106"/>
  <c r="D754" i="106" s="1"/>
  <c r="K73" i="29"/>
  <c r="B1142" i="106" s="1"/>
  <c r="D1142" i="106" s="1"/>
  <c r="B751" i="106"/>
  <c r="D751" i="106" s="1"/>
  <c r="K71" i="29"/>
  <c r="B1139" i="106" s="1"/>
  <c r="D1139" i="106" s="1"/>
  <c r="K70" i="29"/>
  <c r="B1137" i="106" s="1"/>
  <c r="D1137" i="106" s="1"/>
  <c r="B749" i="106"/>
  <c r="D749" i="106" s="1"/>
  <c r="B748" i="106"/>
  <c r="D748" i="106" s="1"/>
  <c r="K69" i="29"/>
  <c r="B1136" i="106" s="1"/>
  <c r="D1136" i="106" s="1"/>
  <c r="B747" i="106"/>
  <c r="D747" i="106" s="1"/>
  <c r="K68" i="29"/>
  <c r="B1135" i="106" s="1"/>
  <c r="D1135" i="106" s="1"/>
  <c r="C72" i="29"/>
  <c r="B753" i="106" s="1"/>
  <c r="D753" i="106" s="1"/>
  <c r="B746" i="106"/>
  <c r="D746" i="106" s="1"/>
  <c r="K67" i="29"/>
  <c r="B743" i="106"/>
  <c r="D743" i="106" s="1"/>
  <c r="B742" i="106"/>
  <c r="D742" i="106" s="1"/>
  <c r="K63" i="29"/>
  <c r="B1130" i="106" s="1"/>
  <c r="D1130" i="106" s="1"/>
  <c r="B741" i="106"/>
  <c r="D741" i="106" s="1"/>
  <c r="K62" i="29"/>
  <c r="B1129" i="106" s="1"/>
  <c r="D1129" i="106" s="1"/>
  <c r="B740" i="106"/>
  <c r="D740" i="106" s="1"/>
  <c r="K61" i="29"/>
  <c r="B1128" i="106" s="1"/>
  <c r="D1128" i="106" s="1"/>
  <c r="B739" i="106"/>
  <c r="D739" i="106" s="1"/>
  <c r="K60" i="29"/>
  <c r="B1127" i="106" s="1"/>
  <c r="D1127" i="106" s="1"/>
  <c r="K59" i="29"/>
  <c r="C65" i="29"/>
  <c r="B745" i="106" s="1"/>
  <c r="D745" i="106" s="1"/>
  <c r="B738" i="106"/>
  <c r="D738" i="106" s="1"/>
  <c r="K56" i="29"/>
  <c r="B736" i="106"/>
  <c r="D736" i="106" s="1"/>
  <c r="C57" i="29"/>
  <c r="B737" i="106" s="1"/>
  <c r="D737" i="106" s="1"/>
  <c r="K55" i="29"/>
  <c r="B735" i="106"/>
  <c r="D735" i="106" s="1"/>
  <c r="B6932" i="106"/>
  <c r="D6932" i="106" s="1"/>
  <c r="K52" i="29"/>
  <c r="B6940" i="106" s="1"/>
  <c r="D6940" i="106" s="1"/>
  <c r="B2718" i="106"/>
  <c r="D2718" i="106" s="1"/>
  <c r="K51" i="29"/>
  <c r="B733" i="106"/>
  <c r="D733" i="106" s="1"/>
  <c r="K50" i="29"/>
  <c r="K49"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K44" i="29"/>
  <c r="B726" i="106"/>
  <c r="D726" i="106" s="1"/>
  <c r="K41" i="29"/>
  <c r="B1114" i="106" s="1"/>
  <c r="D1114" i="106" s="1"/>
  <c r="K40" i="29"/>
  <c r="B1113" i="106" s="1"/>
  <c r="D1113" i="106" s="1"/>
  <c r="B725" i="106"/>
  <c r="D725" i="106" s="1"/>
  <c r="K39" i="29"/>
  <c r="B1112" i="106" s="1"/>
  <c r="D1112" i="106" s="1"/>
  <c r="B724" i="106"/>
  <c r="D724" i="106" s="1"/>
  <c r="B723" i="106"/>
  <c r="D723" i="106" s="1"/>
  <c r="K38" i="29"/>
  <c r="B1111" i="106" s="1"/>
  <c r="D1111" i="106" s="1"/>
  <c r="B722" i="106"/>
  <c r="D722" i="106" s="1"/>
  <c r="K37" i="29"/>
  <c r="B1110" i="106" s="1"/>
  <c r="D1110" i="106" s="1"/>
  <c r="C42" i="29"/>
  <c r="B721" i="106"/>
  <c r="D721" i="106" s="1"/>
  <c r="K36" i="29"/>
  <c r="B6886" i="106"/>
  <c r="D6886" i="106" s="1"/>
  <c r="K25" i="29"/>
  <c r="B6874" i="106"/>
  <c r="D6874" i="106" s="1"/>
  <c r="B3377" i="106"/>
  <c r="D3377" i="106" s="1"/>
  <c r="B995" i="106"/>
  <c r="D995" i="106" s="1"/>
  <c r="B4" i="7"/>
  <c r="B5061" i="106"/>
  <c r="D5061" i="106" s="1"/>
  <c r="B5110" i="106"/>
  <c r="D5110" i="106" s="1"/>
  <c r="F99" i="34"/>
  <c r="B5118" i="106"/>
  <c r="D5118" i="106" s="1"/>
  <c r="F104" i="34"/>
  <c r="F163" i="34"/>
  <c r="L33" i="29"/>
  <c r="K107" i="29"/>
  <c r="B2795" i="106" s="1"/>
  <c r="D2795" i="106" s="1"/>
  <c r="B2791" i="106"/>
  <c r="D2791" i="106" s="1"/>
  <c r="K97" i="29"/>
  <c r="B7005" i="106" s="1"/>
  <c r="D7005" i="106" s="1"/>
  <c r="B7004" i="106"/>
  <c r="D7004" i="106" s="1"/>
  <c r="K88" i="29"/>
  <c r="B6988" i="106" s="1"/>
  <c r="D6988" i="106" s="1"/>
  <c r="B6987" i="106"/>
  <c r="D6987" i="106" s="1"/>
  <c r="B6964" i="106"/>
  <c r="D6964" i="106" s="1"/>
  <c r="J72" i="29"/>
  <c r="B6974" i="106" s="1"/>
  <c r="D6974" i="106" s="1"/>
  <c r="B6951" i="106"/>
  <c r="D6951" i="106" s="1"/>
  <c r="J65" i="29"/>
  <c r="B6962" i="106" s="1"/>
  <c r="D6962" i="106" s="1"/>
  <c r="B6945" i="106"/>
  <c r="D6945" i="106" s="1"/>
  <c r="J57" i="29"/>
  <c r="B6949" i="106" s="1"/>
  <c r="D6949"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5088" i="106"/>
  <c r="D5088" i="106" s="1"/>
  <c r="B5067" i="106"/>
  <c r="D5067" i="106" s="1"/>
  <c r="C18" i="5"/>
  <c r="B5071" i="106" s="1"/>
  <c r="D5071" i="106" s="1"/>
  <c r="B1269" i="106"/>
  <c r="D1269" i="106" s="1"/>
  <c r="K143" i="29"/>
  <c r="B1284" i="106" s="1"/>
  <c r="D1284" i="106" s="1"/>
  <c r="K134" i="29"/>
  <c r="B4199" i="106"/>
  <c r="D4199" i="106" s="1"/>
  <c r="E137" i="29"/>
  <c r="K130" i="29"/>
  <c r="B2797" i="106"/>
  <c r="D2797" i="106" s="1"/>
  <c r="B1224" i="106"/>
  <c r="D1224" i="106" s="1"/>
  <c r="K128" i="29"/>
  <c r="B1280" i="106" s="1"/>
  <c r="D1280" i="106" s="1"/>
  <c r="K122" i="29"/>
  <c r="B1235" i="106"/>
  <c r="D1235" i="106" s="1"/>
  <c r="E127" i="29"/>
  <c r="B1239" i="106" s="1"/>
  <c r="D1239" i="106" s="1"/>
  <c r="B4076" i="106"/>
  <c r="D4076" i="106" s="1"/>
  <c r="B5494" i="106"/>
  <c r="D5494" i="106" s="1"/>
  <c r="F33" i="34"/>
  <c r="B4329" i="106"/>
  <c r="D4329" i="106" s="1"/>
  <c r="F124" i="34"/>
  <c r="D154" i="5"/>
  <c r="B5394" i="106" s="1"/>
  <c r="D5394" i="106" s="1"/>
  <c r="B5391" i="106"/>
  <c r="D5391" i="106" s="1"/>
  <c r="B5331" i="106"/>
  <c r="D5331" i="106" s="1"/>
  <c r="B5349" i="106"/>
  <c r="D5349" i="106" s="1"/>
  <c r="D108" i="5"/>
  <c r="B5355" i="106" s="1"/>
  <c r="D5355" i="106" s="1"/>
  <c r="E40" i="4"/>
  <c r="B6288" i="106" s="1"/>
  <c r="D6288" i="106" s="1"/>
  <c r="B6249" i="106"/>
  <c r="D6249" i="106" s="1"/>
  <c r="H147" i="29"/>
  <c r="B1268" i="106"/>
  <c r="D1268" i="106" s="1"/>
  <c r="K142" i="29"/>
  <c r="D127" i="29"/>
  <c r="B1231" i="106" s="1"/>
  <c r="D1231" i="106" s="1"/>
  <c r="B1227" i="106"/>
  <c r="D1227" i="106" s="1"/>
  <c r="B4075" i="106"/>
  <c r="D4075" i="106" s="1"/>
  <c r="B5426" i="106"/>
  <c r="D5426" i="106" s="1"/>
  <c r="D191" i="5"/>
  <c r="D121" i="5"/>
  <c r="B5361" i="106"/>
  <c r="D5361" i="106" s="1"/>
  <c r="D82" i="5"/>
  <c r="B5343" i="106"/>
  <c r="D5343" i="106" s="1"/>
  <c r="D224" i="5"/>
  <c r="B5470" i="106" s="1"/>
  <c r="D5470" i="106" s="1"/>
  <c r="B5458" i="106"/>
  <c r="D5458" i="106" s="1"/>
  <c r="B2092" i="106"/>
  <c r="D2092" i="106" s="1"/>
  <c r="K138" i="29"/>
  <c r="B2094" i="106" s="1"/>
  <c r="D2094" i="106" s="1"/>
  <c r="B1254" i="106"/>
  <c r="D1254" i="106" s="1"/>
  <c r="K126" i="29"/>
  <c r="B1277" i="106" s="1"/>
  <c r="D1277" i="106" s="1"/>
  <c r="B3482" i="106"/>
  <c r="D3482" i="106" s="1"/>
  <c r="K125" i="29"/>
  <c r="B3488" i="106" s="1"/>
  <c r="D3488" i="106" s="1"/>
  <c r="B1221" i="106"/>
  <c r="D1221" i="106" s="1"/>
  <c r="K124" i="29"/>
  <c r="B1276" i="106" s="1"/>
  <c r="D1276" i="106" s="1"/>
  <c r="B1220" i="106"/>
  <c r="D1220" i="106" s="1"/>
  <c r="K123" i="29"/>
  <c r="B1275" i="106" s="1"/>
  <c r="D1275" i="106" s="1"/>
  <c r="C127" i="29"/>
  <c r="B1223" i="106" s="1"/>
  <c r="D1223" i="106" s="1"/>
  <c r="B1219" i="106"/>
  <c r="D1219" i="106" s="1"/>
  <c r="B4074" i="106"/>
  <c r="D4074" i="106" s="1"/>
  <c r="K120" i="29"/>
  <c r="B5485" i="106"/>
  <c r="D5485" i="106" s="1"/>
  <c r="D228" i="5"/>
  <c r="B5488" i="106" s="1"/>
  <c r="D5488" i="106" s="1"/>
  <c r="B5333" i="106"/>
  <c r="D5333" i="106" s="1"/>
  <c r="L149" i="29"/>
  <c r="L147" i="29"/>
  <c r="B7749" i="106"/>
  <c r="D7749" i="106" s="1"/>
  <c r="D44" i="4"/>
  <c r="B7025" i="106"/>
  <c r="D7025" i="106" s="1"/>
  <c r="J127" i="29"/>
  <c r="B7034" i="106" s="1"/>
  <c r="D7034" i="106" s="1"/>
  <c r="B7023" i="106"/>
  <c r="D7023" i="106" s="1"/>
  <c r="F110" i="34"/>
  <c r="B5384" i="106"/>
  <c r="D5384" i="106" s="1"/>
  <c r="B5370" i="106"/>
  <c r="D5370" i="106" s="1"/>
  <c r="D140" i="5"/>
  <c r="B5383" i="106" s="1"/>
  <c r="D5383" i="106" s="1"/>
  <c r="K148" i="29"/>
  <c r="B7050" i="106" s="1"/>
  <c r="D7050" i="106" s="1"/>
  <c r="B7049" i="106"/>
  <c r="D7049" i="106" s="1"/>
  <c r="K136" i="29"/>
  <c r="B2988" i="106" s="1"/>
  <c r="D2988" i="106" s="1"/>
  <c r="B4201" i="106"/>
  <c r="D4201" i="106" s="1"/>
  <c r="I127" i="29"/>
  <c r="B7033" i="106" s="1"/>
  <c r="D7033" i="106" s="1"/>
  <c r="B7024" i="106"/>
  <c r="D7024" i="106" s="1"/>
  <c r="B7022" i="106"/>
  <c r="D7022" i="106" s="1"/>
  <c r="D184" i="5"/>
  <c r="B5425" i="106" s="1"/>
  <c r="D5425" i="106" s="1"/>
  <c r="B5424" i="106"/>
  <c r="D5424" i="106" s="1"/>
  <c r="B5357" i="106"/>
  <c r="D5357" i="106" s="1"/>
  <c r="D114" i="5"/>
  <c r="H41" i="4"/>
  <c r="B6289" i="106" s="1"/>
  <c r="D6289" i="106" s="1"/>
  <c r="B6251" i="106"/>
  <c r="D6251" i="106" s="1"/>
  <c r="E39" i="4"/>
  <c r="B6287" i="106" s="1"/>
  <c r="D6287" i="106" s="1"/>
  <c r="B6247" i="106"/>
  <c r="D6247" i="106" s="1"/>
  <c r="H19" i="118"/>
  <c r="B6241" i="106"/>
  <c r="D6241" i="106" s="1"/>
  <c r="H14" i="118"/>
  <c r="B1270" i="106"/>
  <c r="D1270" i="106" s="1"/>
  <c r="K146" i="29"/>
  <c r="B1285" i="106" s="1"/>
  <c r="D1285" i="106" s="1"/>
  <c r="H127" i="29"/>
  <c r="B1264" i="106" s="1"/>
  <c r="D1264" i="106" s="1"/>
  <c r="B1260" i="106"/>
  <c r="D1260" i="106" s="1"/>
  <c r="B4079" i="106"/>
  <c r="D4079" i="106" s="1"/>
  <c r="B5440" i="106"/>
  <c r="D5440" i="106" s="1"/>
  <c r="D216" i="5"/>
  <c r="B4412" i="106" s="1"/>
  <c r="D4412" i="106" s="1"/>
  <c r="B5431" i="106"/>
  <c r="D5431" i="106" s="1"/>
  <c r="D211" i="5"/>
  <c r="B5444" i="106" s="1"/>
  <c r="D5444" i="106" s="1"/>
  <c r="B5368" i="106"/>
  <c r="D5368" i="106" s="1"/>
  <c r="D131" i="5"/>
  <c r="K52" i="4"/>
  <c r="B3702" i="106" s="1"/>
  <c r="D3702" i="106" s="1"/>
  <c r="B3698" i="106"/>
  <c r="D3698" i="106" s="1"/>
  <c r="B2808" i="106"/>
  <c r="D2808" i="106" s="1"/>
  <c r="K145" i="29"/>
  <c r="B2811" i="106" s="1"/>
  <c r="D2811" i="106" s="1"/>
  <c r="K135" i="29"/>
  <c r="B2987" i="106" s="1"/>
  <c r="D2987" i="106" s="1"/>
  <c r="B4200" i="106"/>
  <c r="D4200" i="106" s="1"/>
  <c r="G127" i="29"/>
  <c r="B1256" i="106" s="1"/>
  <c r="D1256" i="106" s="1"/>
  <c r="B1251" i="106"/>
  <c r="D1251" i="106" s="1"/>
  <c r="B4078" i="106"/>
  <c r="D4078" i="106" s="1"/>
  <c r="B5422" i="106"/>
  <c r="D5422" i="106" s="1"/>
  <c r="D178" i="5"/>
  <c r="D76" i="4"/>
  <c r="B3237" i="106" s="1"/>
  <c r="D3237" i="106" s="1"/>
  <c r="B5023" i="106"/>
  <c r="D5023" i="106" s="1"/>
  <c r="B3161" i="106"/>
  <c r="D3161" i="106" s="1"/>
  <c r="H51" i="4"/>
  <c r="B3170" i="106" s="1"/>
  <c r="D3170" i="106" s="1"/>
  <c r="B2807" i="106"/>
  <c r="D2807" i="106" s="1"/>
  <c r="K144" i="29"/>
  <c r="B2810" i="106" s="1"/>
  <c r="D2810" i="106" s="1"/>
  <c r="B2979" i="106"/>
  <c r="D2979" i="106" s="1"/>
  <c r="H137" i="29"/>
  <c r="B1243" i="106"/>
  <c r="D1243" i="106" s="1"/>
  <c r="F127" i="29"/>
  <c r="B1247" i="106" s="1"/>
  <c r="D1247" i="106" s="1"/>
  <c r="B4077" i="106"/>
  <c r="D4077" i="106" s="1"/>
  <c r="B6615" i="106"/>
  <c r="D6615" i="106" s="1"/>
  <c r="D259" i="5"/>
  <c r="B6834" i="106" s="1"/>
  <c r="D6834" i="106" s="1"/>
  <c r="B5335" i="106"/>
  <c r="D5335" i="106" s="1"/>
  <c r="D18" i="5"/>
  <c r="B5339" i="106" s="1"/>
  <c r="D5339" i="106" s="1"/>
  <c r="E34" i="3"/>
  <c r="B6127" i="106"/>
  <c r="D6127" i="106" s="1"/>
  <c r="B1312" i="106"/>
  <c r="D1312" i="106" s="1"/>
  <c r="K169" i="29"/>
  <c r="B1326" i="106" s="1"/>
  <c r="D1326" i="106" s="1"/>
  <c r="B5519" i="106"/>
  <c r="D5519" i="106" s="1"/>
  <c r="K53" i="4"/>
  <c r="B3703" i="106" s="1"/>
  <c r="D3703" i="106" s="1"/>
  <c r="B3699" i="106"/>
  <c r="D3699" i="106" s="1"/>
  <c r="K167" i="29"/>
  <c r="B1327" i="106" s="1"/>
  <c r="D1327" i="106" s="1"/>
  <c r="B1313" i="106"/>
  <c r="D1313" i="106" s="1"/>
  <c r="E172" i="5"/>
  <c r="B5537" i="106" s="1"/>
  <c r="D5537" i="106" s="1"/>
  <c r="B6368" i="106"/>
  <c r="D6368" i="106" s="1"/>
  <c r="K166" i="29"/>
  <c r="B2819" i="106" s="1"/>
  <c r="D2819" i="106" s="1"/>
  <c r="B2813" i="106"/>
  <c r="D2813" i="106" s="1"/>
  <c r="E259" i="5"/>
  <c r="B6714" i="106"/>
  <c r="D6714" i="106" s="1"/>
  <c r="B15" i="7"/>
  <c r="B5511" i="106"/>
  <c r="D5511" i="106" s="1"/>
  <c r="L168" i="29"/>
  <c r="L172" i="29" s="1"/>
  <c r="L174" i="29" s="1"/>
  <c r="K165" i="29"/>
  <c r="B2818" i="106" s="1"/>
  <c r="D2818" i="106" s="1"/>
  <c r="B2812" i="106"/>
  <c r="D2812" i="106" s="1"/>
  <c r="K164" i="29"/>
  <c r="B1325" i="106" s="1"/>
  <c r="D1325" i="106" s="1"/>
  <c r="B1311" i="106"/>
  <c r="D1311" i="106" s="1"/>
  <c r="E178" i="5"/>
  <c r="B4364" i="106"/>
  <c r="D4364" i="106" s="1"/>
  <c r="E18" i="5"/>
  <c r="B5518" i="106" s="1"/>
  <c r="D5518" i="106" s="1"/>
  <c r="B5514" i="106"/>
  <c r="D5514" i="106" s="1"/>
  <c r="B1310" i="106"/>
  <c r="D1310" i="106" s="1"/>
  <c r="K163" i="29"/>
  <c r="H168" i="29"/>
  <c r="E121" i="5"/>
  <c r="B5528" i="106"/>
  <c r="D5528" i="106" s="1"/>
  <c r="B5509" i="106"/>
  <c r="D5509" i="106" s="1"/>
  <c r="B6" i="7"/>
  <c r="E108" i="5"/>
  <c r="B5526" i="106" s="1"/>
  <c r="D5526" i="106" s="1"/>
  <c r="B5522" i="106"/>
  <c r="D5522" i="106" s="1"/>
  <c r="E13" i="3"/>
  <c r="D36" i="36"/>
  <c r="B3417" i="106"/>
  <c r="D3417" i="106" s="1"/>
  <c r="E76" i="4"/>
  <c r="B3276" i="106" s="1"/>
  <c r="D3276" i="106" s="1"/>
  <c r="B2817" i="106"/>
  <c r="D2817" i="106" s="1"/>
  <c r="K171" i="29"/>
  <c r="B1330" i="106" s="1"/>
  <c r="D1330" i="106" s="1"/>
  <c r="E172" i="29"/>
  <c r="B1307" i="106"/>
  <c r="D1307" i="106" s="1"/>
  <c r="K157" i="29"/>
  <c r="H160" i="29"/>
  <c r="B7777" i="106"/>
  <c r="D7777" i="106" s="1"/>
  <c r="K170" i="29"/>
  <c r="B1315" i="106"/>
  <c r="D1315" i="106" s="1"/>
  <c r="D69" i="36"/>
  <c r="B5512" i="106"/>
  <c r="D5512" i="106" s="1"/>
  <c r="B7751" i="106"/>
  <c r="D7751" i="106" s="1"/>
  <c r="K199" i="29"/>
  <c r="B1371" i="106"/>
  <c r="D1371" i="106" s="1"/>
  <c r="B2992" i="106"/>
  <c r="D2992" i="106" s="1"/>
  <c r="K191" i="29"/>
  <c r="B3010" i="106" s="1"/>
  <c r="D3010" i="106" s="1"/>
  <c r="B5580" i="106"/>
  <c r="D5580" i="106" s="1"/>
  <c r="B5573" i="106"/>
  <c r="D5573" i="106" s="1"/>
  <c r="F91" i="34"/>
  <c r="B5567" i="106"/>
  <c r="D5567" i="106" s="1"/>
  <c r="F19" i="34"/>
  <c r="B7069" i="106"/>
  <c r="D7069" i="106" s="1"/>
  <c r="K207" i="29"/>
  <c r="B7070" i="106" s="1"/>
  <c r="D7070" i="106" s="1"/>
  <c r="B6315" i="106"/>
  <c r="D6315" i="106" s="1"/>
  <c r="F28" i="34"/>
  <c r="F90" i="34"/>
  <c r="B6314" i="106"/>
  <c r="D6314" i="106" s="1"/>
  <c r="B6312" i="106"/>
  <c r="D6312" i="106" s="1"/>
  <c r="F87" i="34"/>
  <c r="F18" i="5"/>
  <c r="B5562" i="106" s="1"/>
  <c r="D5562" i="106" s="1"/>
  <c r="B5558" i="106"/>
  <c r="D5558" i="106" s="1"/>
  <c r="B4210" i="106"/>
  <c r="D4210" i="106" s="1"/>
  <c r="K206" i="29"/>
  <c r="B2824" i="106"/>
  <c r="D2824" i="106" s="1"/>
  <c r="K195" i="29"/>
  <c r="B2839" i="106" s="1"/>
  <c r="D2839" i="106" s="1"/>
  <c r="B2991" i="106"/>
  <c r="D2991" i="106" s="1"/>
  <c r="K190" i="29"/>
  <c r="B3009" i="106" s="1"/>
  <c r="D3009" i="106" s="1"/>
  <c r="B4085" i="106"/>
  <c r="D4085" i="106" s="1"/>
  <c r="B4318" i="106"/>
  <c r="D4318" i="106" s="1"/>
  <c r="B5578" i="106"/>
  <c r="D5578" i="106" s="1"/>
  <c r="F27" i="34"/>
  <c r="B5572" i="106"/>
  <c r="D5572" i="106" s="1"/>
  <c r="F89" i="34"/>
  <c r="B5566" i="106"/>
  <c r="D5566" i="106" s="1"/>
  <c r="F86" i="34"/>
  <c r="B7" i="7"/>
  <c r="B5553" i="106"/>
  <c r="D5553" i="106" s="1"/>
  <c r="B5691" i="106"/>
  <c r="D5691" i="106" s="1"/>
  <c r="F31" i="34"/>
  <c r="F224" i="5"/>
  <c r="B5703" i="106" s="1"/>
  <c r="D5703" i="106" s="1"/>
  <c r="L204" i="29"/>
  <c r="L208" i="29" s="1"/>
  <c r="K205" i="29"/>
  <c r="B7068" i="106" s="1"/>
  <c r="D7068" i="106" s="1"/>
  <c r="B7067" i="106"/>
  <c r="D7067" i="106" s="1"/>
  <c r="B4084" i="106"/>
  <c r="D4084" i="106" s="1"/>
  <c r="B5659" i="106"/>
  <c r="D5659" i="106" s="1"/>
  <c r="F191" i="5"/>
  <c r="B5593" i="106"/>
  <c r="D5593" i="106" s="1"/>
  <c r="F121" i="5"/>
  <c r="F26" i="34"/>
  <c r="B5577" i="106"/>
  <c r="D5577" i="106" s="1"/>
  <c r="B5571" i="106"/>
  <c r="D5571" i="106" s="1"/>
  <c r="F23" i="34"/>
  <c r="B5565" i="106"/>
  <c r="D5565" i="106" s="1"/>
  <c r="F85" i="34"/>
  <c r="F102" i="34"/>
  <c r="B5584" i="106"/>
  <c r="D5584" i="106" s="1"/>
  <c r="K203" i="29"/>
  <c r="B1385" i="106" s="1"/>
  <c r="D1385" i="106" s="1"/>
  <c r="B1373" i="106"/>
  <c r="D1373" i="106" s="1"/>
  <c r="K193" i="29"/>
  <c r="B3012" i="106" s="1"/>
  <c r="D3012" i="106" s="1"/>
  <c r="B2994" i="106"/>
  <c r="D2994" i="106" s="1"/>
  <c r="K189" i="29"/>
  <c r="B3008" i="106" s="1"/>
  <c r="D3008" i="106" s="1"/>
  <c r="B2990" i="106"/>
  <c r="D2990" i="106" s="1"/>
  <c r="B4083" i="106"/>
  <c r="D4083" i="106" s="1"/>
  <c r="E184" i="29"/>
  <c r="B6617" i="106"/>
  <c r="D6617" i="106" s="1"/>
  <c r="F259" i="5"/>
  <c r="B6836" i="106" s="1"/>
  <c r="D6836" i="106" s="1"/>
  <c r="F25" i="34"/>
  <c r="B5576" i="106"/>
  <c r="D5576" i="106" s="1"/>
  <c r="B5570" i="106"/>
  <c r="D5570" i="106" s="1"/>
  <c r="F88" i="34"/>
  <c r="B5564" i="106"/>
  <c r="D5564" i="106" s="1"/>
  <c r="F18" i="34"/>
  <c r="B5556" i="106"/>
  <c r="D5556" i="106" s="1"/>
  <c r="B5583" i="106"/>
  <c r="D5583" i="106" s="1"/>
  <c r="F108" i="5"/>
  <c r="B5587" i="106" s="1"/>
  <c r="D5587" i="106" s="1"/>
  <c r="K202" i="29"/>
  <c r="B2842" i="106" s="1"/>
  <c r="D2842" i="106" s="1"/>
  <c r="B2832" i="106"/>
  <c r="D2832" i="106" s="1"/>
  <c r="B2995" i="106"/>
  <c r="D2995" i="106" s="1"/>
  <c r="H194" i="29"/>
  <c r="B4082" i="106"/>
  <c r="D4082" i="106" s="1"/>
  <c r="D184" i="29"/>
  <c r="B4804" i="106"/>
  <c r="D4804" i="106" s="1"/>
  <c r="F184" i="5"/>
  <c r="B5658" i="106" s="1"/>
  <c r="D5658" i="106" s="1"/>
  <c r="F93" i="34"/>
  <c r="B7764" i="106"/>
  <c r="D7764" i="106" s="1"/>
  <c r="B6313" i="106"/>
  <c r="D6313" i="106" s="1"/>
  <c r="F22" i="34"/>
  <c r="F84" i="34"/>
  <c r="B5563" i="106"/>
  <c r="D5563" i="106" s="1"/>
  <c r="F63" i="5"/>
  <c r="B5579" i="106" s="1"/>
  <c r="D5579" i="106" s="1"/>
  <c r="L194" i="29"/>
  <c r="L196" i="29" s="1"/>
  <c r="B5024" i="106"/>
  <c r="D5024" i="106" s="1"/>
  <c r="B5014" i="106"/>
  <c r="D5014" i="106" s="1"/>
  <c r="D71" i="36"/>
  <c r="B2831" i="106"/>
  <c r="D2831" i="106" s="1"/>
  <c r="K201" i="29"/>
  <c r="B2841" i="106" s="1"/>
  <c r="D2841" i="106" s="1"/>
  <c r="K192" i="29"/>
  <c r="B3011" i="106" s="1"/>
  <c r="D3011" i="106" s="1"/>
  <c r="B2993" i="106"/>
  <c r="D2993" i="106" s="1"/>
  <c r="K188" i="29"/>
  <c r="B2989" i="106"/>
  <c r="D2989" i="106" s="1"/>
  <c r="E194" i="29"/>
  <c r="K185" i="29"/>
  <c r="B2820" i="106"/>
  <c r="D2820" i="106" s="1"/>
  <c r="B1338" i="106"/>
  <c r="D1338" i="106" s="1"/>
  <c r="K183" i="29"/>
  <c r="B1380" i="106" s="1"/>
  <c r="D1380" i="106" s="1"/>
  <c r="B1335" i="106"/>
  <c r="D1335" i="106" s="1"/>
  <c r="F154" i="5"/>
  <c r="B5618" i="106" s="1"/>
  <c r="D5618" i="106" s="1"/>
  <c r="B5615" i="106"/>
  <c r="D5615" i="106" s="1"/>
  <c r="F114" i="5"/>
  <c r="B5589" i="106"/>
  <c r="D5589" i="106" s="1"/>
  <c r="B5575" i="106"/>
  <c r="D5575" i="106" s="1"/>
  <c r="F92" i="34"/>
  <c r="B5569" i="106"/>
  <c r="D5569" i="106" s="1"/>
  <c r="F21" i="34"/>
  <c r="B5692" i="106"/>
  <c r="D5692" i="106" s="1"/>
  <c r="F32" i="34"/>
  <c r="L184" i="29"/>
  <c r="H204" i="29"/>
  <c r="K200" i="29"/>
  <c r="B1384" i="106" s="1"/>
  <c r="D1384" i="106" s="1"/>
  <c r="B1372" i="106"/>
  <c r="D1372" i="106" s="1"/>
  <c r="J184" i="29"/>
  <c r="B7058" i="106"/>
  <c r="D7058" i="106" s="1"/>
  <c r="B5673" i="106"/>
  <c r="D5673" i="106" s="1"/>
  <c r="F216" i="5"/>
  <c r="B4413" i="106" s="1"/>
  <c r="D4413" i="106" s="1"/>
  <c r="F211" i="5"/>
  <c r="B5677" i="106" s="1"/>
  <c r="D5677" i="106" s="1"/>
  <c r="B5664" i="106"/>
  <c r="D5664" i="106" s="1"/>
  <c r="F178" i="5"/>
  <c r="B5654" i="106"/>
  <c r="D5654" i="106" s="1"/>
  <c r="B4354" i="106"/>
  <c r="D4354" i="106" s="1"/>
  <c r="F30" i="34"/>
  <c r="B5600" i="106"/>
  <c r="D5600" i="106" s="1"/>
  <c r="F131" i="5"/>
  <c r="F24" i="34"/>
  <c r="B5574" i="106"/>
  <c r="D5574" i="106" s="1"/>
  <c r="F20" i="34"/>
  <c r="B5568" i="106"/>
  <c r="D5568" i="106" s="1"/>
  <c r="K292" i="29"/>
  <c r="B1514" i="106" s="1"/>
  <c r="D1514" i="106" s="1"/>
  <c r="B1451" i="106"/>
  <c r="D1451" i="106" s="1"/>
  <c r="B1445" i="106"/>
  <c r="D1445" i="106" s="1"/>
  <c r="K278" i="29"/>
  <c r="B1509" i="106" s="1"/>
  <c r="D1509" i="106" s="1"/>
  <c r="B1432" i="106"/>
  <c r="D1432" i="106" s="1"/>
  <c r="K267" i="29"/>
  <c r="B1496" i="106" s="1"/>
  <c r="D1496" i="106" s="1"/>
  <c r="K255" i="29"/>
  <c r="B7096" i="106" s="1"/>
  <c r="D7096" i="106" s="1"/>
  <c r="B7095" i="106"/>
  <c r="D7095" i="106" s="1"/>
  <c r="K247" i="29"/>
  <c r="B2726" i="106" s="1"/>
  <c r="D2726" i="106" s="1"/>
  <c r="B2725" i="106"/>
  <c r="D2725" i="106" s="1"/>
  <c r="K235" i="29"/>
  <c r="B1478" i="106" s="1"/>
  <c r="D1478" i="106" s="1"/>
  <c r="B1414" i="106"/>
  <c r="D1414" i="106" s="1"/>
  <c r="K224" i="29"/>
  <c r="B1409" i="106"/>
  <c r="D1409" i="106" s="1"/>
  <c r="B7073" i="106"/>
  <c r="D7073" i="106" s="1"/>
  <c r="K216" i="29"/>
  <c r="B5858" i="106"/>
  <c r="D5858" i="106" s="1"/>
  <c r="F168" i="34"/>
  <c r="B6805" i="106"/>
  <c r="D6805" i="106" s="1"/>
  <c r="B6741" i="106"/>
  <c r="D6741" i="106" s="1"/>
  <c r="B6678" i="106"/>
  <c r="D6678" i="106" s="1"/>
  <c r="B6618" i="106"/>
  <c r="D6618" i="106" s="1"/>
  <c r="G259" i="5"/>
  <c r="B6837" i="106" s="1"/>
  <c r="D6837" i="106" s="1"/>
  <c r="B6392" i="106"/>
  <c r="D6392" i="106" s="1"/>
  <c r="B5757" i="106"/>
  <c r="D5757" i="106" s="1"/>
  <c r="G144" i="5"/>
  <c r="B5754" i="106"/>
  <c r="D5754" i="106" s="1"/>
  <c r="B5731" i="106"/>
  <c r="D5731" i="106" s="1"/>
  <c r="B5721" i="106"/>
  <c r="D5721" i="106" s="1"/>
  <c r="B8" i="7"/>
  <c r="B3259" i="106"/>
  <c r="D3259" i="106" s="1"/>
  <c r="G76" i="4"/>
  <c r="B3260" i="106" s="1"/>
  <c r="D3260" i="106" s="1"/>
  <c r="B2844" i="106"/>
  <c r="D2844" i="106" s="1"/>
  <c r="K291" i="29"/>
  <c r="B2846" i="106" s="1"/>
  <c r="D2846" i="106" s="1"/>
  <c r="B1442" i="106"/>
  <c r="D1442" i="106" s="1"/>
  <c r="K276" i="29"/>
  <c r="B1506" i="106" s="1"/>
  <c r="D1506" i="106" s="1"/>
  <c r="B1431" i="106"/>
  <c r="D1431" i="106" s="1"/>
  <c r="K266" i="29"/>
  <c r="B1495" i="106" s="1"/>
  <c r="D1495" i="106" s="1"/>
  <c r="F28" i="108"/>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D229" i="29"/>
  <c r="B3387" i="106"/>
  <c r="D3387" i="106" s="1"/>
  <c r="K215" i="29"/>
  <c r="B5856" i="106"/>
  <c r="D5856" i="106" s="1"/>
  <c r="F167" i="34"/>
  <c r="B6797" i="106"/>
  <c r="D6797" i="106" s="1"/>
  <c r="F156" i="34"/>
  <c r="B6733" i="106"/>
  <c r="D6733" i="106" s="1"/>
  <c r="B6670" i="106"/>
  <c r="D6670" i="106" s="1"/>
  <c r="F143" i="34"/>
  <c r="B4919" i="106"/>
  <c r="D4919" i="106" s="1"/>
  <c r="B6349" i="106"/>
  <c r="D6349" i="106" s="1"/>
  <c r="L229" i="29"/>
  <c r="G13" i="3"/>
  <c r="D38" i="36"/>
  <c r="B3422" i="106"/>
  <c r="D3422" i="106" s="1"/>
  <c r="B2843" i="106"/>
  <c r="D2843" i="106" s="1"/>
  <c r="K290" i="29"/>
  <c r="B2845" i="106" s="1"/>
  <c r="D2845" i="106" s="1"/>
  <c r="K275" i="29"/>
  <c r="B1504" i="106" s="1"/>
  <c r="D1504" i="106" s="1"/>
  <c r="B1440" i="106"/>
  <c r="D1440" i="106" s="1"/>
  <c r="D36" i="108"/>
  <c r="F36" i="108"/>
  <c r="B1430" i="106"/>
  <c r="D1430" i="106" s="1"/>
  <c r="K265" i="29"/>
  <c r="B1494" i="106" s="1"/>
  <c r="D1494" i="106" s="1"/>
  <c r="K253" i="29"/>
  <c r="B7092" i="106" s="1"/>
  <c r="D7092" i="106" s="1"/>
  <c r="B7091" i="106"/>
  <c r="D7091" i="106" s="1"/>
  <c r="B1422" i="106"/>
  <c r="D1422" i="106" s="1"/>
  <c r="K245" i="29"/>
  <c r="B1412" i="106"/>
  <c r="D1412" i="106" s="1"/>
  <c r="K233" i="29"/>
  <c r="B1476" i="106" s="1"/>
  <c r="D1476" i="106" s="1"/>
  <c r="B1407" i="106"/>
  <c r="D1407" i="106" s="1"/>
  <c r="K222" i="29"/>
  <c r="B1471" i="106" s="1"/>
  <c r="D1471" i="106" s="1"/>
  <c r="B4864" i="106"/>
  <c r="D4864" i="106" s="1"/>
  <c r="B4417" i="106"/>
  <c r="D4417" i="106" s="1"/>
  <c r="B6724" i="106"/>
  <c r="D6724" i="106" s="1"/>
  <c r="F148" i="34"/>
  <c r="G191" i="5"/>
  <c r="B5785" i="106"/>
  <c r="D5785" i="106" s="1"/>
  <c r="B6387" i="106"/>
  <c r="D6387" i="106" s="1"/>
  <c r="B6129" i="106"/>
  <c r="D6129" i="106" s="1"/>
  <c r="G34" i="3"/>
  <c r="B1450" i="106"/>
  <c r="D1450" i="106" s="1"/>
  <c r="K289" i="29"/>
  <c r="B1513" i="106" s="1"/>
  <c r="D1513" i="106" s="1"/>
  <c r="B1439" i="106"/>
  <c r="D1439" i="106" s="1"/>
  <c r="K274" i="29"/>
  <c r="B1503" i="106" s="1"/>
  <c r="D1503" i="106" s="1"/>
  <c r="E35" i="108"/>
  <c r="G35" i="108"/>
  <c r="D27" i="108"/>
  <c r="B1429" i="106"/>
  <c r="D1429" i="106" s="1"/>
  <c r="F27" i="108"/>
  <c r="K264" i="29"/>
  <c r="B1493" i="106" s="1"/>
  <c r="D1493" i="106" s="1"/>
  <c r="K252" i="29"/>
  <c r="B7090" i="106" s="1"/>
  <c r="D7090" i="106" s="1"/>
  <c r="B7089" i="106"/>
  <c r="D7089" i="106" s="1"/>
  <c r="K242" i="29"/>
  <c r="B1484" i="106" s="1"/>
  <c r="D1484" i="106" s="1"/>
  <c r="B1420" i="106"/>
  <c r="D1420" i="106" s="1"/>
  <c r="K232" i="29"/>
  <c r="D238" i="29"/>
  <c r="B1411" i="106"/>
  <c r="D1411" i="106" s="1"/>
  <c r="B1406" i="106"/>
  <c r="D1406" i="106" s="1"/>
  <c r="K221" i="29"/>
  <c r="D17" i="171"/>
  <c r="B4448" i="106"/>
  <c r="D4448" i="106" s="1"/>
  <c r="F173" i="34"/>
  <c r="B5855" i="106"/>
  <c r="D5855" i="106" s="1"/>
  <c r="B6781" i="106"/>
  <c r="D6781" i="106" s="1"/>
  <c r="F147" i="34"/>
  <c r="B6716" i="106"/>
  <c r="D6716" i="106" s="1"/>
  <c r="B6654" i="106"/>
  <c r="D6654" i="106" s="1"/>
  <c r="F141" i="34"/>
  <c r="B5844" i="106"/>
  <c r="D5844" i="106" s="1"/>
  <c r="G228" i="5"/>
  <c r="F117" i="34"/>
  <c r="B6384" i="106"/>
  <c r="D6384" i="106" s="1"/>
  <c r="B6380" i="106"/>
  <c r="D6380" i="106" s="1"/>
  <c r="G154" i="5"/>
  <c r="B5742" i="106"/>
  <c r="D5742" i="106" s="1"/>
  <c r="G121" i="5"/>
  <c r="G108" i="5"/>
  <c r="B5737" i="106" s="1"/>
  <c r="D5737" i="106" s="1"/>
  <c r="B5734" i="106"/>
  <c r="D5734" i="106" s="1"/>
  <c r="B6402" i="106"/>
  <c r="D6402" i="106" s="1"/>
  <c r="G201" i="5"/>
  <c r="B5823" i="106"/>
  <c r="D5823" i="106" s="1"/>
  <c r="B5821" i="106"/>
  <c r="D5821" i="106" s="1"/>
  <c r="F132" i="34"/>
  <c r="B5817" i="106"/>
  <c r="D5817" i="106" s="1"/>
  <c r="G224" i="5"/>
  <c r="B5829" i="106" s="1"/>
  <c r="D5829" i="106" s="1"/>
  <c r="L238" i="29"/>
  <c r="L257" i="29"/>
  <c r="B1449" i="106"/>
  <c r="D1449" i="106" s="1"/>
  <c r="K288" i="29"/>
  <c r="H293" i="29"/>
  <c r="B1438" i="106"/>
  <c r="D1438" i="106" s="1"/>
  <c r="K273" i="29"/>
  <c r="B1502" i="106" s="1"/>
  <c r="D1502" i="106" s="1"/>
  <c r="K263" i="29"/>
  <c r="B1428" i="106"/>
  <c r="D1428" i="106" s="1"/>
  <c r="D270" i="29"/>
  <c r="B1436" i="106" s="1"/>
  <c r="D1436" i="106" s="1"/>
  <c r="D26" i="108"/>
  <c r="F26" i="108"/>
  <c r="B7087" i="106"/>
  <c r="D7087" i="106" s="1"/>
  <c r="K251" i="29"/>
  <c r="B7088" i="106" s="1"/>
  <c r="D7088" i="106" s="1"/>
  <c r="K241" i="29"/>
  <c r="B1483" i="106" s="1"/>
  <c r="D1483" i="106" s="1"/>
  <c r="B1419" i="106"/>
  <c r="D1419" i="106" s="1"/>
  <c r="K228" i="29"/>
  <c r="B3392" i="106" s="1"/>
  <c r="D3392" i="106" s="1"/>
  <c r="B3389" i="106"/>
  <c r="D3389" i="106" s="1"/>
  <c r="B7077" i="106"/>
  <c r="D7077" i="106" s="1"/>
  <c r="K220" i="29"/>
  <c r="B4361" i="106"/>
  <c r="D4361" i="106" s="1"/>
  <c r="F172" i="34"/>
  <c r="B6843" i="106"/>
  <c r="D6843" i="106" s="1"/>
  <c r="F164" i="34"/>
  <c r="B6773" i="106"/>
  <c r="D6773" i="106" s="1"/>
  <c r="B6646" i="106"/>
  <c r="D6646" i="106" s="1"/>
  <c r="B4810" i="106"/>
  <c r="D4810" i="106" s="1"/>
  <c r="G184" i="5"/>
  <c r="B5768" i="106"/>
  <c r="D5768" i="106" s="1"/>
  <c r="B5726" i="106"/>
  <c r="D5726" i="106" s="1"/>
  <c r="G18" i="5"/>
  <c r="B5730" i="106" s="1"/>
  <c r="D5730" i="106" s="1"/>
  <c r="L277" i="29"/>
  <c r="B4165" i="106"/>
  <c r="D4165" i="106" s="1"/>
  <c r="K284" i="29"/>
  <c r="B4166" i="106" s="1"/>
  <c r="D4166" i="106" s="1"/>
  <c r="E33" i="108"/>
  <c r="G33" i="108"/>
  <c r="B1437" i="106"/>
  <c r="D1437" i="106" s="1"/>
  <c r="K272" i="29"/>
  <c r="D277" i="29"/>
  <c r="B1444" i="106" s="1"/>
  <c r="D1444" i="106" s="1"/>
  <c r="K260" i="29"/>
  <c r="B1490" i="106" s="1"/>
  <c r="D1490" i="106" s="1"/>
  <c r="B1426" i="106"/>
  <c r="D1426" i="106" s="1"/>
  <c r="K250" i="29"/>
  <c r="B7086" i="106" s="1"/>
  <c r="D7086" i="106" s="1"/>
  <c r="B7085" i="106"/>
  <c r="D7085" i="106" s="1"/>
  <c r="B1418" i="106"/>
  <c r="D1418" i="106" s="1"/>
  <c r="D243" i="29"/>
  <c r="K240" i="29"/>
  <c r="K227" i="29"/>
  <c r="B1466" i="106" s="1"/>
  <c r="D1466" i="106" s="1"/>
  <c r="B1402" i="106"/>
  <c r="D1402" i="106" s="1"/>
  <c r="B3064" i="106"/>
  <c r="D3064" i="106" s="1"/>
  <c r="K219" i="29"/>
  <c r="B3065" i="106" s="1"/>
  <c r="D3065" i="106" s="1"/>
  <c r="B4192" i="106"/>
  <c r="D4192" i="106" s="1"/>
  <c r="B6829" i="106"/>
  <c r="D6829" i="106" s="1"/>
  <c r="F160" i="34"/>
  <c r="B6765" i="106"/>
  <c r="D6765" i="106" s="1"/>
  <c r="B6638" i="106"/>
  <c r="D6638" i="106" s="1"/>
  <c r="B5767" i="106"/>
  <c r="D5767" i="106" s="1"/>
  <c r="B5739" i="106"/>
  <c r="D5739" i="106" s="1"/>
  <c r="L293" i="29"/>
  <c r="B3721" i="106"/>
  <c r="D3721" i="106" s="1"/>
  <c r="K283" i="29"/>
  <c r="D285" i="29"/>
  <c r="B3722" i="106" s="1"/>
  <c r="D3722" i="106" s="1"/>
  <c r="B1434" i="106"/>
  <c r="D1434" i="106" s="1"/>
  <c r="K269" i="29"/>
  <c r="B1498" i="106" s="1"/>
  <c r="D1498" i="106" s="1"/>
  <c r="B1425" i="106"/>
  <c r="D1425" i="106" s="1"/>
  <c r="D261" i="29"/>
  <c r="K259" i="29"/>
  <c r="K249" i="29"/>
  <c r="B7084" i="106" s="1"/>
  <c r="D7084" i="106" s="1"/>
  <c r="B7083" i="106"/>
  <c r="D7083" i="106" s="1"/>
  <c r="B1416" i="106"/>
  <c r="D1416" i="106" s="1"/>
  <c r="K237" i="29"/>
  <c r="B1480" i="106" s="1"/>
  <c r="D1480" i="106" s="1"/>
  <c r="K226" i="29"/>
  <c r="B7080" i="106" s="1"/>
  <c r="D7080" i="106" s="1"/>
  <c r="B7079" i="106"/>
  <c r="D7079" i="106" s="1"/>
  <c r="B7075" i="106"/>
  <c r="D7075" i="106" s="1"/>
  <c r="K218" i="29"/>
  <c r="B4421" i="106"/>
  <c r="D4421" i="106" s="1"/>
  <c r="F159" i="34"/>
  <c r="B6821" i="106"/>
  <c r="D6821" i="106" s="1"/>
  <c r="B6757" i="106"/>
  <c r="D6757" i="106" s="1"/>
  <c r="F151" i="34"/>
  <c r="B6693" i="106"/>
  <c r="D6693" i="106" s="1"/>
  <c r="B6630" i="106"/>
  <c r="D6630" i="106" s="1"/>
  <c r="G216" i="5"/>
  <c r="B5799" i="106"/>
  <c r="D5799" i="106" s="1"/>
  <c r="B5790" i="106"/>
  <c r="D5790" i="106" s="1"/>
  <c r="G211" i="5"/>
  <c r="G178" i="5"/>
  <c r="B5779" i="106"/>
  <c r="D5779" i="106" s="1"/>
  <c r="F109" i="34"/>
  <c r="B4353" i="106"/>
  <c r="D4353" i="106" s="1"/>
  <c r="B5738" i="106"/>
  <c r="D5738" i="106" s="1"/>
  <c r="G114" i="5"/>
  <c r="L243" i="29"/>
  <c r="L270" i="29"/>
  <c r="G44" i="4"/>
  <c r="B7752" i="106"/>
  <c r="D7752" i="106" s="1"/>
  <c r="B1447" i="106"/>
  <c r="D1447" i="106" s="1"/>
  <c r="K280" i="29"/>
  <c r="E39" i="108"/>
  <c r="B1433" i="106"/>
  <c r="D1433" i="106" s="1"/>
  <c r="K268" i="29"/>
  <c r="B1497" i="106" s="1"/>
  <c r="D1497" i="106" s="1"/>
  <c r="E30" i="108"/>
  <c r="G30" i="108"/>
  <c r="B7097" i="106"/>
  <c r="D7097" i="106" s="1"/>
  <c r="K256" i="29"/>
  <c r="B7098" i="106" s="1"/>
  <c r="D7098" i="106" s="1"/>
  <c r="D257" i="29"/>
  <c r="B1424" i="106" s="1"/>
  <c r="D1424" i="106" s="1"/>
  <c r="B7081" i="106"/>
  <c r="D7081" i="106" s="1"/>
  <c r="K248" i="29"/>
  <c r="B7082" i="106" s="1"/>
  <c r="D7082" i="106" s="1"/>
  <c r="B1415" i="106"/>
  <c r="D1415" i="106" s="1"/>
  <c r="K236" i="29"/>
  <c r="B1479" i="106" s="1"/>
  <c r="D1479" i="106" s="1"/>
  <c r="K225" i="29"/>
  <c r="B1460" i="106" s="1"/>
  <c r="D1460" i="106" s="1"/>
  <c r="B1396" i="106"/>
  <c r="D1396" i="106" s="1"/>
  <c r="K217" i="29"/>
  <c r="B3391" i="106" s="1"/>
  <c r="D3391" i="106" s="1"/>
  <c r="B3388" i="106"/>
  <c r="D3388" i="106" s="1"/>
  <c r="B5860" i="106"/>
  <c r="D5860" i="106" s="1"/>
  <c r="F158" i="34"/>
  <c r="B6813" i="106"/>
  <c r="D6813" i="106" s="1"/>
  <c r="B6686" i="106"/>
  <c r="D6686" i="106" s="1"/>
  <c r="B6625" i="106"/>
  <c r="D6625" i="106" s="1"/>
  <c r="F137" i="34"/>
  <c r="B5763" i="106"/>
  <c r="D5763" i="106" s="1"/>
  <c r="G140" i="5"/>
  <c r="B5749" i="106"/>
  <c r="D5749" i="106" s="1"/>
  <c r="B5724" i="106"/>
  <c r="D5724" i="106" s="1"/>
  <c r="F135" i="34"/>
  <c r="B4343" i="106"/>
  <c r="D4343" i="106" s="1"/>
  <c r="B5822" i="106"/>
  <c r="D5822" i="106" s="1"/>
  <c r="L310" i="29"/>
  <c r="H310" i="29"/>
  <c r="B7115" i="106" s="1"/>
  <c r="D7115" i="106" s="1"/>
  <c r="B7106" i="106"/>
  <c r="D7106" i="106" s="1"/>
  <c r="B1525" i="106"/>
  <c r="D1525" i="106" s="1"/>
  <c r="D303" i="29"/>
  <c r="H184" i="5"/>
  <c r="B5908" i="106" s="1"/>
  <c r="D5908" i="106" s="1"/>
  <c r="B5907" i="106"/>
  <c r="D5907" i="106" s="1"/>
  <c r="B5871" i="106"/>
  <c r="D5871" i="106" s="1"/>
  <c r="B9" i="7"/>
  <c r="B6245" i="106"/>
  <c r="D6245" i="106" s="1"/>
  <c r="E38" i="4"/>
  <c r="B6286" i="106" s="1"/>
  <c r="D6286" i="106" s="1"/>
  <c r="B7753" i="106"/>
  <c r="D7753" i="106" s="1"/>
  <c r="H44" i="4"/>
  <c r="K306" i="29"/>
  <c r="E310" i="29"/>
  <c r="B7114" i="106" s="1"/>
  <c r="D7114" i="106" s="1"/>
  <c r="B7105" i="106"/>
  <c r="D7105" i="106" s="1"/>
  <c r="B1522" i="106"/>
  <c r="D1522" i="106" s="1"/>
  <c r="K302" i="29"/>
  <c r="B1558" i="106" s="1"/>
  <c r="D1558" i="106" s="1"/>
  <c r="C303" i="29"/>
  <c r="B1519" i="106"/>
  <c r="D1519" i="106" s="1"/>
  <c r="K301" i="29"/>
  <c r="B6371" i="106"/>
  <c r="D6371" i="106" s="1"/>
  <c r="H172" i="5"/>
  <c r="B5899" i="106" s="1"/>
  <c r="D5899" i="106" s="1"/>
  <c r="J303" i="29"/>
  <c r="B7100" i="106"/>
  <c r="D7100" i="106" s="1"/>
  <c r="B4365" i="106"/>
  <c r="D4365" i="106" s="1"/>
  <c r="H178" i="5"/>
  <c r="B7043" i="106"/>
  <c r="D7043" i="106" s="1"/>
  <c r="B6130" i="106"/>
  <c r="D6130" i="106" s="1"/>
  <c r="H34" i="3"/>
  <c r="K309" i="29"/>
  <c r="B3717" i="106" s="1"/>
  <c r="D3717" i="106" s="1"/>
  <c r="B7112" i="106"/>
  <c r="D7112" i="106" s="1"/>
  <c r="B7099" i="106"/>
  <c r="D7099" i="106" s="1"/>
  <c r="I303" i="29"/>
  <c r="H303" i="29"/>
  <c r="B1549" i="106"/>
  <c r="D1549" i="106" s="1"/>
  <c r="H18" i="5"/>
  <c r="B5878" i="106" s="1"/>
  <c r="D5878" i="106" s="1"/>
  <c r="B5874" i="106"/>
  <c r="D5874" i="106" s="1"/>
  <c r="B5882" i="106"/>
  <c r="D5882" i="106" s="1"/>
  <c r="H108" i="5"/>
  <c r="B5886" i="106" s="1"/>
  <c r="D5886" i="106" s="1"/>
  <c r="E37" i="4"/>
  <c r="B6242" i="106"/>
  <c r="D6242" i="106" s="1"/>
  <c r="K308" i="29"/>
  <c r="B4100" i="106" s="1"/>
  <c r="D4100" i="106" s="1"/>
  <c r="B7110" i="106"/>
  <c r="D7110" i="106" s="1"/>
  <c r="B1543" i="106"/>
  <c r="D1543" i="106" s="1"/>
  <c r="G303" i="29"/>
  <c r="B6619" i="106"/>
  <c r="D6619" i="106" s="1"/>
  <c r="H259" i="5"/>
  <c r="H121" i="5"/>
  <c r="B5887" i="106"/>
  <c r="D5887" i="106" s="1"/>
  <c r="B14" i="7"/>
  <c r="B6299" i="106"/>
  <c r="D6299" i="106" s="1"/>
  <c r="L303" i="29"/>
  <c r="B1537" i="106"/>
  <c r="D1537" i="106" s="1"/>
  <c r="F303" i="29"/>
  <c r="B2848" i="106"/>
  <c r="D2848" i="106" s="1"/>
  <c r="H76" i="4"/>
  <c r="B3298" i="106" s="1"/>
  <c r="D3298" i="106" s="1"/>
  <c r="B7108" i="106"/>
  <c r="D7108" i="106" s="1"/>
  <c r="K307" i="29"/>
  <c r="B4099" i="106" s="1"/>
  <c r="D4099" i="106" s="1"/>
  <c r="E303" i="29"/>
  <c r="B1531" i="106"/>
  <c r="D1531" i="106" s="1"/>
  <c r="B5872" i="106"/>
  <c r="D5872" i="106" s="1"/>
  <c r="I34" i="3"/>
  <c r="B6139" i="106"/>
  <c r="D6139" i="106" s="1"/>
  <c r="I18" i="5"/>
  <c r="B5923" i="106" s="1"/>
  <c r="D5923" i="106" s="1"/>
  <c r="B5919" i="106"/>
  <c r="D5919" i="106" s="1"/>
  <c r="I172" i="5"/>
  <c r="B4215" i="106"/>
  <c r="D4215" i="106" s="1"/>
  <c r="B5927" i="106"/>
  <c r="D5927" i="106" s="1"/>
  <c r="I108" i="5"/>
  <c r="B5930" i="106" s="1"/>
  <c r="D5930" i="106" s="1"/>
  <c r="B5917" i="106"/>
  <c r="D5917" i="106" s="1"/>
  <c r="I44" i="4"/>
  <c r="B3317" i="106" s="1"/>
  <c r="D3317" i="106" s="1"/>
  <c r="B2772" i="106"/>
  <c r="D2772" i="106" s="1"/>
  <c r="J34" i="3"/>
  <c r="B6131" i="106"/>
  <c r="D6131" i="106" s="1"/>
  <c r="I330" i="29"/>
  <c r="B7124" i="106"/>
  <c r="D7124" i="106" s="1"/>
  <c r="B6398" i="106"/>
  <c r="D6398" i="106" s="1"/>
  <c r="J178" i="5"/>
  <c r="B7125" i="106"/>
  <c r="D7125" i="106" s="1"/>
  <c r="J330" i="29"/>
  <c r="B7123" i="106"/>
  <c r="D7123" i="106" s="1"/>
  <c r="H330" i="29"/>
  <c r="B6395" i="106"/>
  <c r="D6395" i="106" s="1"/>
  <c r="B6300" i="106"/>
  <c r="D6300" i="106" s="1"/>
  <c r="J108" i="5"/>
  <c r="B6351" i="106" s="1"/>
  <c r="D6351" i="106" s="1"/>
  <c r="B6319" i="106"/>
  <c r="D6319" i="106" s="1"/>
  <c r="G330" i="29"/>
  <c r="B7122" i="106"/>
  <c r="D7122" i="106" s="1"/>
  <c r="J76" i="4"/>
  <c r="B6261" i="106" s="1"/>
  <c r="D6261" i="106" s="1"/>
  <c r="B6239" i="106"/>
  <c r="D6239" i="106" s="1"/>
  <c r="B7754" i="106"/>
  <c r="D7754" i="106" s="1"/>
  <c r="J44" i="4"/>
  <c r="F330" i="29"/>
  <c r="B7121" i="106"/>
  <c r="D7121" i="106" s="1"/>
  <c r="J172" i="5"/>
  <c r="B6396" i="106" s="1"/>
  <c r="D6396" i="106" s="1"/>
  <c r="B6373" i="106"/>
  <c r="D6373" i="106" s="1"/>
  <c r="B7212" i="106"/>
  <c r="D7212" i="106" s="1"/>
  <c r="K339" i="29"/>
  <c r="B7213" i="106" s="1"/>
  <c r="D7213" i="106" s="1"/>
  <c r="E330" i="29"/>
  <c r="B7120" i="106"/>
  <c r="D7120" i="106" s="1"/>
  <c r="B6353" i="106"/>
  <c r="D6353" i="106" s="1"/>
  <c r="J121" i="5"/>
  <c r="B7210" i="106"/>
  <c r="D7210" i="106" s="1"/>
  <c r="K338" i="29"/>
  <c r="B7211" i="106" s="1"/>
  <c r="D7211" i="106" s="1"/>
  <c r="B7119" i="106"/>
  <c r="D7119" i="106" s="1"/>
  <c r="D330" i="29"/>
  <c r="K337" i="29"/>
  <c r="H340" i="29"/>
  <c r="B7214" i="106" s="1"/>
  <c r="D7214" i="106" s="1"/>
  <c r="B7208" i="106"/>
  <c r="D7208" i="106" s="1"/>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B7163" i="106"/>
  <c r="D7163" i="106" s="1"/>
  <c r="K324" i="29"/>
  <c r="B7171" i="106" s="1"/>
  <c r="D7171" i="106" s="1"/>
  <c r="B7154" i="106"/>
  <c r="D7154" i="106" s="1"/>
  <c r="K323" i="29"/>
  <c r="B7162" i="106" s="1"/>
  <c r="D7162" i="106" s="1"/>
  <c r="B7145" i="106"/>
  <c r="D7145" i="106" s="1"/>
  <c r="K322" i="29"/>
  <c r="B7153" i="106" s="1"/>
  <c r="D7153" i="106" s="1"/>
  <c r="K321" i="29"/>
  <c r="B7144" i="106" s="1"/>
  <c r="D7144" i="106" s="1"/>
  <c r="B7136" i="106"/>
  <c r="D7136" i="106" s="1"/>
  <c r="B7127" i="106"/>
  <c r="D7127" i="106" s="1"/>
  <c r="K320" i="29"/>
  <c r="B7135" i="106" s="1"/>
  <c r="D7135" i="106" s="1"/>
  <c r="K319" i="29"/>
  <c r="B7118" i="106"/>
  <c r="D7118" i="106" s="1"/>
  <c r="C330" i="29"/>
  <c r="J18" i="5"/>
  <c r="B6306" i="106" s="1"/>
  <c r="D6306" i="106" s="1"/>
  <c r="B6302" i="106"/>
  <c r="D6302" i="106" s="1"/>
  <c r="K18" i="5"/>
  <c r="B5992" i="106" s="1"/>
  <c r="D5992" i="106" s="1"/>
  <c r="B5988" i="106"/>
  <c r="D5988" i="106" s="1"/>
  <c r="L362" i="29"/>
  <c r="L365" i="29" s="1"/>
  <c r="L350" i="29"/>
  <c r="K361" i="29"/>
  <c r="B7239" i="106" s="1"/>
  <c r="D7239" i="106" s="1"/>
  <c r="B7238" i="106"/>
  <c r="D7238" i="106" s="1"/>
  <c r="B3631" i="106"/>
  <c r="D3631" i="106" s="1"/>
  <c r="E350" i="29"/>
  <c r="B6000" i="106"/>
  <c r="D6000" i="106" s="1"/>
  <c r="K121" i="5"/>
  <c r="B5996" i="106"/>
  <c r="D5996" i="106" s="1"/>
  <c r="K108" i="5"/>
  <c r="B5999" i="106" s="1"/>
  <c r="D5999" i="106" s="1"/>
  <c r="B7240" i="106"/>
  <c r="D7240" i="106" s="1"/>
  <c r="K363" i="29"/>
  <c r="B7241" i="106" s="1"/>
  <c r="D7241" i="106" s="1"/>
  <c r="H362" i="29"/>
  <c r="B3657" i="106"/>
  <c r="D3657" i="106" s="1"/>
  <c r="K360" i="29"/>
  <c r="B3624" i="106"/>
  <c r="D3624" i="106" s="1"/>
  <c r="D350" i="29"/>
  <c r="B3546" i="106"/>
  <c r="D3546" i="106" s="1"/>
  <c r="D42" i="36"/>
  <c r="K13" i="3"/>
  <c r="B6132" i="106"/>
  <c r="D6132" i="106" s="1"/>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3638" i="106"/>
  <c r="D3638" i="106" s="1"/>
  <c r="F350" i="29"/>
  <c r="B6257" i="106"/>
  <c r="D6257" i="106" s="1"/>
  <c r="B3579" i="106"/>
  <c r="D3579" i="106" s="1"/>
  <c r="D68" i="36"/>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B3577" i="106"/>
  <c r="D3577" i="106" s="1"/>
  <c r="I48" i="4"/>
  <c r="B2106" i="106" s="1"/>
  <c r="D2106" i="106" s="1"/>
  <c r="B3652" i="106"/>
  <c r="D3652" i="106" s="1"/>
  <c r="H350" i="29"/>
  <c r="K12" i="5"/>
  <c r="B12" i="7"/>
  <c r="B5985" i="106"/>
  <c r="D5985" i="106" s="1"/>
  <c r="B6296" i="106"/>
  <c r="D6296" i="106" s="1"/>
  <c r="D73" i="36"/>
  <c r="I47" i="4"/>
  <c r="B7755" i="106"/>
  <c r="D7755" i="106" s="1"/>
  <c r="K44" i="4"/>
  <c r="B3645" i="106"/>
  <c r="D3645" i="106" s="1"/>
  <c r="G350" i="29"/>
  <c r="K178" i="5"/>
  <c r="B4368" i="106"/>
  <c r="D4368" i="106" s="1"/>
  <c r="B5732" i="106"/>
  <c r="D5732"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6410" i="106"/>
  <c r="D6410" i="106" s="1"/>
  <c r="B4375" i="106"/>
  <c r="D4375" i="106" s="1"/>
  <c r="B4792" i="106"/>
  <c r="D4792" i="106" s="1"/>
  <c r="B5199" i="106"/>
  <c r="D5199"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F101" i="34"/>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1354" i="106"/>
  <c r="D1354"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H33" i="29" l="1"/>
  <c r="D37" i="108"/>
  <c r="F37" i="108"/>
  <c r="E129" i="29"/>
  <c r="K76" i="4"/>
  <c r="B3586" i="106" s="1"/>
  <c r="D3586" i="106" s="1"/>
  <c r="E28" i="108"/>
  <c r="G39" i="108"/>
  <c r="B18" i="7"/>
  <c r="D18" i="7" s="1"/>
  <c r="B4105" i="106" s="1"/>
  <c r="D4105" i="106" s="1"/>
  <c r="G65" i="29"/>
  <c r="B977" i="106" s="1"/>
  <c r="D977" i="106" s="1"/>
  <c r="G129" i="29"/>
  <c r="H129" i="29"/>
  <c r="L352" i="29"/>
  <c r="L367" i="29" s="1"/>
  <c r="E34" i="108"/>
  <c r="K64" i="29"/>
  <c r="B1131" i="106" s="1"/>
  <c r="D1131" i="106" s="1"/>
  <c r="G38" i="108"/>
  <c r="E38" i="108"/>
  <c r="G34" i="108"/>
  <c r="I129" i="29"/>
  <c r="I151" i="29" s="1"/>
  <c r="L57" i="29"/>
  <c r="J129" i="29"/>
  <c r="B7038" i="106" s="1"/>
  <c r="D7038" i="106" s="1"/>
  <c r="L65" i="29"/>
  <c r="L42" i="29"/>
  <c r="C129" i="29"/>
  <c r="L53" i="29"/>
  <c r="H65" i="29"/>
  <c r="B1035" i="106" s="1"/>
  <c r="D1035" i="106" s="1"/>
  <c r="B937" i="106"/>
  <c r="D937" i="106" s="1"/>
  <c r="G33" i="29"/>
  <c r="C216" i="5"/>
  <c r="B4411" i="106" s="1"/>
  <c r="D4411" i="106" s="1"/>
  <c r="B5256" i="106"/>
  <c r="D5256" i="106" s="1"/>
  <c r="C201" i="5"/>
  <c r="B5246" i="106" s="1"/>
  <c r="D5246" i="106" s="1"/>
  <c r="B6401" i="106"/>
  <c r="D6401" i="106" s="1"/>
  <c r="B5167" i="106"/>
  <c r="D5167" i="106" s="1"/>
  <c r="F108" i="34"/>
  <c r="C114" i="5"/>
  <c r="B5122" i="106"/>
  <c r="D5122" i="106" s="1"/>
  <c r="F115" i="34"/>
  <c r="F171" i="34"/>
  <c r="F149" i="34"/>
  <c r="F29" i="34" s="1"/>
  <c r="F144" i="34"/>
  <c r="F51" i="34"/>
  <c r="B6901" i="106"/>
  <c r="D6901" i="106" s="1"/>
  <c r="K47" i="29"/>
  <c r="B1119" i="106" s="1"/>
  <c r="D1119" i="106" s="1"/>
  <c r="B1116" i="106"/>
  <c r="D1116" i="106" s="1"/>
  <c r="E16" i="145"/>
  <c r="G16" i="145" s="1"/>
  <c r="F36" i="34"/>
  <c r="B6858" i="106"/>
  <c r="D6858" i="106" s="1"/>
  <c r="B778" i="106"/>
  <c r="D778" i="106" s="1"/>
  <c r="C154" i="5"/>
  <c r="B5178" i="106" s="1"/>
  <c r="D5178" i="106" s="1"/>
  <c r="B5175" i="106"/>
  <c r="D5175" i="106" s="1"/>
  <c r="B5181" i="106"/>
  <c r="D5181" i="106" s="1"/>
  <c r="F112" i="34"/>
  <c r="B5233" i="106"/>
  <c r="D5233" i="106" s="1"/>
  <c r="C191" i="5"/>
  <c r="C228" i="5"/>
  <c r="B5304" i="106" s="1"/>
  <c r="D5304" i="106" s="1"/>
  <c r="B5301" i="106"/>
  <c r="D5301" i="106" s="1"/>
  <c r="F138" i="34"/>
  <c r="F170" i="34"/>
  <c r="F165" i="34"/>
  <c r="B6887" i="106"/>
  <c r="D6887" i="106" s="1"/>
  <c r="F44" i="34"/>
  <c r="B1120" i="106"/>
  <c r="D1120" i="106" s="1"/>
  <c r="K53" i="29"/>
  <c r="B1122" i="106" s="1"/>
  <c r="D1122" i="106" s="1"/>
  <c r="K57" i="29"/>
  <c r="B1125" i="106" s="1"/>
  <c r="D1125" i="106" s="1"/>
  <c r="B1123" i="106"/>
  <c r="D1123" i="106" s="1"/>
  <c r="E102" i="29"/>
  <c r="B2790" i="106" s="1"/>
  <c r="D2790" i="106" s="1"/>
  <c r="B2789" i="106"/>
  <c r="D2789" i="106" s="1"/>
  <c r="I33" i="29"/>
  <c r="H102" i="29"/>
  <c r="B1047" i="106" s="1"/>
  <c r="D1047" i="106" s="1"/>
  <c r="B2081" i="106"/>
  <c r="D2081" i="106" s="1"/>
  <c r="B6848" i="106"/>
  <c r="D6848" i="106" s="1"/>
  <c r="F34" i="34"/>
  <c r="B1107" i="106"/>
  <c r="D1107" i="106" s="1"/>
  <c r="F38" i="34"/>
  <c r="K19" i="29"/>
  <c r="B3381" i="106" s="1"/>
  <c r="D3381" i="106" s="1"/>
  <c r="C44" i="4"/>
  <c r="B6897" i="106"/>
  <c r="D6897" i="106" s="1"/>
  <c r="F49" i="34"/>
  <c r="B5148" i="106"/>
  <c r="D5148" i="106" s="1"/>
  <c r="C140" i="5"/>
  <c r="B5161" i="106" s="1"/>
  <c r="D5161" i="106" s="1"/>
  <c r="F139" i="34"/>
  <c r="F166" i="34"/>
  <c r="F103" i="34"/>
  <c r="F113" i="34"/>
  <c r="F150" i="34"/>
  <c r="B5066" i="106"/>
  <c r="D5066" i="106" s="1"/>
  <c r="B1121" i="106"/>
  <c r="D1121" i="106" s="1"/>
  <c r="E12" i="145"/>
  <c r="B1134" i="106"/>
  <c r="D1134" i="106" s="1"/>
  <c r="E17" i="145"/>
  <c r="G17" i="145" s="1"/>
  <c r="K72" i="29"/>
  <c r="B1141" i="106" s="1"/>
  <c r="D1141" i="106" s="1"/>
  <c r="B6903" i="106"/>
  <c r="D6903" i="106" s="1"/>
  <c r="B1104" i="106"/>
  <c r="D1104" i="106" s="1"/>
  <c r="F37" i="34"/>
  <c r="B6879" i="106"/>
  <c r="D6879" i="106" s="1"/>
  <c r="F40" i="34"/>
  <c r="F50" i="34"/>
  <c r="B6899" i="106"/>
  <c r="D6899" i="106" s="1"/>
  <c r="C178" i="5"/>
  <c r="B5224" i="106"/>
  <c r="D5224" i="106" s="1"/>
  <c r="B5106" i="106"/>
  <c r="D5106" i="106" s="1"/>
  <c r="F97" i="34"/>
  <c r="C224" i="5"/>
  <c r="B5286" i="106" s="1"/>
  <c r="D5286" i="106" s="1"/>
  <c r="B5274" i="106"/>
  <c r="D5274" i="106" s="1"/>
  <c r="F145" i="34"/>
  <c r="F146" i="34"/>
  <c r="F140" i="34"/>
  <c r="J74" i="29"/>
  <c r="B6978" i="106" s="1"/>
  <c r="D6978" i="106" s="1"/>
  <c r="B6917" i="106"/>
  <c r="D6917" i="106" s="1"/>
  <c r="K42" i="29"/>
  <c r="B1109" i="106"/>
  <c r="D1109" i="106" s="1"/>
  <c r="B2973" i="106"/>
  <c r="D2973" i="106" s="1"/>
  <c r="K84" i="29"/>
  <c r="B6889" i="106"/>
  <c r="D6889" i="106" s="1"/>
  <c r="F45" i="34"/>
  <c r="B91" i="106"/>
  <c r="D91" i="106" s="1"/>
  <c r="F125" i="34"/>
  <c r="F152" i="34"/>
  <c r="F118" i="34"/>
  <c r="F174" i="34"/>
  <c r="F121" i="34"/>
  <c r="F122" i="34"/>
  <c r="F157" i="34"/>
  <c r="C67" i="5"/>
  <c r="B5090" i="106" s="1"/>
  <c r="D5090" i="106" s="1"/>
  <c r="D4" i="7"/>
  <c r="B1760" i="106" s="1"/>
  <c r="D1760" i="106" s="1"/>
  <c r="B1744" i="106"/>
  <c r="D1744" i="106" s="1"/>
  <c r="B2724" i="106"/>
  <c r="D2724" i="106" s="1"/>
  <c r="E13" i="145"/>
  <c r="G13" i="145" s="1"/>
  <c r="B1124" i="106"/>
  <c r="D1124" i="106" s="1"/>
  <c r="E14" i="145"/>
  <c r="G14" i="145" s="1"/>
  <c r="B6891" i="106"/>
  <c r="D6891" i="106" s="1"/>
  <c r="F46" i="34"/>
  <c r="F35" i="34"/>
  <c r="B6853" i="106"/>
  <c r="D6853" i="106" s="1"/>
  <c r="B720" i="106"/>
  <c r="D720" i="106" s="1"/>
  <c r="B6877" i="106"/>
  <c r="D6877" i="106" s="1"/>
  <c r="F39" i="34"/>
  <c r="B6895" i="106"/>
  <c r="D6895" i="106" s="1"/>
  <c r="F48" i="34"/>
  <c r="B1017" i="106"/>
  <c r="D1017" i="106" s="1"/>
  <c r="B6916" i="106"/>
  <c r="D6916" i="106" s="1"/>
  <c r="I74" i="29"/>
  <c r="B6977" i="106" s="1"/>
  <c r="D6977" i="106" s="1"/>
  <c r="B5103" i="106"/>
  <c r="D5103" i="106" s="1"/>
  <c r="C93" i="5"/>
  <c r="B5112" i="106" s="1"/>
  <c r="D5112" i="106" s="1"/>
  <c r="F96" i="34"/>
  <c r="F100" i="34"/>
  <c r="B5111" i="106"/>
  <c r="D5111" i="106" s="1"/>
  <c r="C121" i="5"/>
  <c r="B5126" i="106"/>
  <c r="D5126" i="106" s="1"/>
  <c r="F153" i="34"/>
  <c r="F134" i="34"/>
  <c r="B1010" i="106"/>
  <c r="D1010" i="106" s="1"/>
  <c r="B727" i="106"/>
  <c r="D727" i="106" s="1"/>
  <c r="C74" i="29"/>
  <c r="B755" i="106" s="1"/>
  <c r="D755" i="106" s="1"/>
  <c r="C144" i="5"/>
  <c r="B5165" i="106" s="1"/>
  <c r="D5165" i="106" s="1"/>
  <c r="F47" i="34"/>
  <c r="B6893" i="106"/>
  <c r="D6893" i="106" s="1"/>
  <c r="B6997" i="106"/>
  <c r="D6997" i="106" s="1"/>
  <c r="K100" i="29"/>
  <c r="B7013" i="106" s="1"/>
  <c r="D7013" i="106" s="1"/>
  <c r="B1053" i="106"/>
  <c r="D1053" i="106" s="1"/>
  <c r="H112" i="29"/>
  <c r="B7018" i="106" s="1"/>
  <c r="D7018" i="106" s="1"/>
  <c r="B894" i="106"/>
  <c r="D894" i="106" s="1"/>
  <c r="L84" i="29"/>
  <c r="L102" i="29" s="1"/>
  <c r="C259" i="5"/>
  <c r="B6833" i="106" s="1"/>
  <c r="D6833" i="106" s="1"/>
  <c r="B6614" i="106"/>
  <c r="D6614" i="106" s="1"/>
  <c r="B5230" i="106"/>
  <c r="D5230" i="106" s="1"/>
  <c r="C184" i="5"/>
  <c r="B5232" i="106" s="1"/>
  <c r="D5232" i="106" s="1"/>
  <c r="F126" i="34"/>
  <c r="B5133" i="106"/>
  <c r="D5133" i="106" s="1"/>
  <c r="C131" i="5"/>
  <c r="F105" i="34" s="1"/>
  <c r="B5113" i="106"/>
  <c r="D5113" i="106" s="1"/>
  <c r="C108" i="5"/>
  <c r="B5120" i="106" s="1"/>
  <c r="D5120" i="106" s="1"/>
  <c r="F114" i="34"/>
  <c r="F169" i="34"/>
  <c r="D12" i="171"/>
  <c r="F43" i="34"/>
  <c r="B6885" i="106"/>
  <c r="D6885" i="106" s="1"/>
  <c r="B17" i="7"/>
  <c r="B5064" i="106"/>
  <c r="D5064" i="106" s="1"/>
  <c r="B785" i="106"/>
  <c r="D785" i="106" s="1"/>
  <c r="D74" i="29"/>
  <c r="B813" i="106" s="1"/>
  <c r="D813" i="106" s="1"/>
  <c r="K5" i="29"/>
  <c r="B959" i="106"/>
  <c r="D959" i="106" s="1"/>
  <c r="B6995" i="106"/>
  <c r="D6995" i="106" s="1"/>
  <c r="K92" i="29"/>
  <c r="B2089" i="106" s="1"/>
  <c r="D2089" i="106" s="1"/>
  <c r="B836" i="106"/>
  <c r="D836" i="106" s="1"/>
  <c r="B1146" i="106"/>
  <c r="D1146" i="106" s="1"/>
  <c r="K110" i="29"/>
  <c r="L72" i="29"/>
  <c r="C211" i="5"/>
  <c r="B5260" i="106" s="1"/>
  <c r="D5260" i="106" s="1"/>
  <c r="B5247" i="106"/>
  <c r="D5247" i="106" s="1"/>
  <c r="B5097" i="106"/>
  <c r="D5097" i="106" s="1"/>
  <c r="C82" i="5"/>
  <c r="B5102" i="106" s="1"/>
  <c r="D5102" i="106" s="1"/>
  <c r="F133" i="34"/>
  <c r="F116" i="34"/>
  <c r="F154" i="34"/>
  <c r="F123" i="34"/>
  <c r="E15" i="145"/>
  <c r="B1126" i="106"/>
  <c r="D1126" i="106" s="1"/>
  <c r="B1144" i="106"/>
  <c r="D1144" i="106" s="1"/>
  <c r="C14" i="4"/>
  <c r="B2558" i="106" s="1"/>
  <c r="D2558" i="106" s="1"/>
  <c r="F52" i="34"/>
  <c r="C75" i="5"/>
  <c r="B843" i="106"/>
  <c r="D843" i="106" s="1"/>
  <c r="E74" i="29"/>
  <c r="B871" i="106" s="1"/>
  <c r="D871" i="106" s="1"/>
  <c r="B901" i="106"/>
  <c r="D901" i="106" s="1"/>
  <c r="F74" i="29"/>
  <c r="B929" i="106" s="1"/>
  <c r="D929" i="106" s="1"/>
  <c r="B6881" i="106"/>
  <c r="D6881" i="106" s="1"/>
  <c r="F41" i="34"/>
  <c r="B6883" i="106"/>
  <c r="D6883" i="106" s="1"/>
  <c r="F42" i="34"/>
  <c r="L47" i="29"/>
  <c r="C13" i="3"/>
  <c r="B3411" i="106"/>
  <c r="D3411" i="106" s="1"/>
  <c r="D34" i="36"/>
  <c r="B5360" i="106"/>
  <c r="D5360" i="106" s="1"/>
  <c r="D5" i="4"/>
  <c r="B3406" i="106" s="1"/>
  <c r="D3406" i="106" s="1"/>
  <c r="B5340" i="106"/>
  <c r="D5340" i="106" s="1"/>
  <c r="D67" i="5"/>
  <c r="B5342" i="106" s="1"/>
  <c r="D5342" i="106" s="1"/>
  <c r="F129" i="29"/>
  <c r="B1258" i="106"/>
  <c r="D1258" i="106" s="1"/>
  <c r="G151" i="29"/>
  <c r="B1266" i="106"/>
  <c r="D1266" i="106" s="1"/>
  <c r="J151" i="29"/>
  <c r="B7052" i="106" s="1"/>
  <c r="D7052" i="106" s="1"/>
  <c r="F95" i="34"/>
  <c r="B5348" i="106"/>
  <c r="D5348" i="106" s="1"/>
  <c r="K147" i="29"/>
  <c r="B1283" i="106"/>
  <c r="D1283" i="106" s="1"/>
  <c r="B1241" i="106"/>
  <c r="D1241" i="106" s="1"/>
  <c r="B2805" i="106"/>
  <c r="D2805" i="106" s="1"/>
  <c r="D14" i="4"/>
  <c r="B2570" i="106" s="1"/>
  <c r="D2570" i="106" s="1"/>
  <c r="F56" i="34"/>
  <c r="B5369" i="106"/>
  <c r="D5369" i="106" s="1"/>
  <c r="D172" i="5"/>
  <c r="B5412" i="106" s="1"/>
  <c r="D5412" i="106" s="1"/>
  <c r="B5367" i="106"/>
  <c r="D5367" i="106" s="1"/>
  <c r="E139" i="29"/>
  <c r="B4203" i="106" s="1"/>
  <c r="D4203" i="106" s="1"/>
  <c r="B4202" i="106"/>
  <c r="D4202" i="106" s="1"/>
  <c r="B7037" i="106"/>
  <c r="D7037" i="106" s="1"/>
  <c r="B5330" i="106"/>
  <c r="D5330" i="106" s="1"/>
  <c r="B13" i="7"/>
  <c r="B4396" i="106"/>
  <c r="D4396" i="106" s="1"/>
  <c r="D273" i="5"/>
  <c r="B5501" i="106" s="1"/>
  <c r="D5501" i="106" s="1"/>
  <c r="B7047" i="106"/>
  <c r="D7047" i="106" s="1"/>
  <c r="H149" i="29"/>
  <c r="B1272" i="106" s="1"/>
  <c r="D1272" i="106" s="1"/>
  <c r="B2091" i="106"/>
  <c r="D2091" i="106" s="1"/>
  <c r="H139" i="29"/>
  <c r="B1267" i="106" s="1"/>
  <c r="D1267" i="106" s="1"/>
  <c r="D77" i="4"/>
  <c r="B3238" i="106" s="1"/>
  <c r="D3238" i="106" s="1"/>
  <c r="B3235" i="106"/>
  <c r="D3235" i="106" s="1"/>
  <c r="L127" i="29"/>
  <c r="L129" i="29" s="1"/>
  <c r="L151" i="29" s="1"/>
  <c r="B2986" i="106"/>
  <c r="D2986" i="106" s="1"/>
  <c r="K137" i="29"/>
  <c r="B6126" i="106"/>
  <c r="D6126" i="106" s="1"/>
  <c r="D34" i="3"/>
  <c r="B5328" i="106"/>
  <c r="D5328" i="106" s="1"/>
  <c r="B5" i="7"/>
  <c r="D12" i="5"/>
  <c r="C151" i="29"/>
  <c r="B1226" i="106" s="1"/>
  <c r="D1226" i="106" s="1"/>
  <c r="B1225" i="106"/>
  <c r="D1225" i="106" s="1"/>
  <c r="D129" i="29"/>
  <c r="F15" i="145"/>
  <c r="E26" i="108"/>
  <c r="B1274" i="106"/>
  <c r="D1274" i="106" s="1"/>
  <c r="G26" i="108"/>
  <c r="K127" i="29"/>
  <c r="B1279" i="106" s="1"/>
  <c r="D1279" i="106" s="1"/>
  <c r="B5423" i="106"/>
  <c r="D5423" i="106" s="1"/>
  <c r="D274" i="5"/>
  <c r="D35" i="36"/>
  <c r="D13" i="3"/>
  <c r="B3414" i="106"/>
  <c r="D3414" i="106" s="1"/>
  <c r="B4080" i="106"/>
  <c r="D4080" i="106" s="1"/>
  <c r="E173" i="5"/>
  <c r="B5534" i="106"/>
  <c r="D5534" i="106" s="1"/>
  <c r="B6835" i="106"/>
  <c r="D6835" i="106" s="1"/>
  <c r="E273" i="5"/>
  <c r="B7747" i="106" s="1"/>
  <c r="D7747" i="106" s="1"/>
  <c r="B4372" i="106"/>
  <c r="D4372" i="106" s="1"/>
  <c r="B7778" i="106"/>
  <c r="D7778" i="106" s="1"/>
  <c r="K160" i="29"/>
  <c r="B131" i="106"/>
  <c r="D131" i="106" s="1"/>
  <c r="B1314" i="106"/>
  <c r="D1314" i="106" s="1"/>
  <c r="H172" i="29"/>
  <c r="B1317" i="106" s="1"/>
  <c r="D1317" i="106" s="1"/>
  <c r="E67" i="5"/>
  <c r="B5521" i="106" s="1"/>
  <c r="D5521" i="106" s="1"/>
  <c r="K168" i="29"/>
  <c r="B1324" i="106"/>
  <c r="D1324" i="106" s="1"/>
  <c r="B1308" i="106"/>
  <c r="D1308" i="106" s="1"/>
  <c r="E174" i="29"/>
  <c r="B1309" i="106" s="1"/>
  <c r="D1309" i="106" s="1"/>
  <c r="E12" i="5"/>
  <c r="D6" i="7"/>
  <c r="B1762" i="106" s="1"/>
  <c r="D1762" i="106" s="1"/>
  <c r="B1746" i="106"/>
  <c r="D1746" i="106" s="1"/>
  <c r="B1329" i="106"/>
  <c r="D1329" i="106" s="1"/>
  <c r="F61" i="34"/>
  <c r="B1756" i="106"/>
  <c r="D1756" i="106" s="1"/>
  <c r="D15" i="7"/>
  <c r="B1772" i="106" s="1"/>
  <c r="D1772" i="106" s="1"/>
  <c r="B139" i="106"/>
  <c r="D139" i="106" s="1"/>
  <c r="L210" i="29"/>
  <c r="K182" i="29"/>
  <c r="B3007" i="106"/>
  <c r="D3007" i="106" s="1"/>
  <c r="K194" i="29"/>
  <c r="B4397" i="106"/>
  <c r="D4397" i="106" s="1"/>
  <c r="F273" i="5"/>
  <c r="B5713" i="106" s="1"/>
  <c r="D5713" i="106" s="1"/>
  <c r="I184" i="29"/>
  <c r="B7057" i="106"/>
  <c r="D7057" i="106" s="1"/>
  <c r="F67" i="5"/>
  <c r="B5582" i="106" s="1"/>
  <c r="D5582" i="106" s="1"/>
  <c r="B7064" i="106"/>
  <c r="D7064" i="106" s="1"/>
  <c r="J210" i="29"/>
  <c r="B7072" i="106" s="1"/>
  <c r="D7072" i="106" s="1"/>
  <c r="F13" i="3"/>
  <c r="D37" i="36"/>
  <c r="B3419" i="106"/>
  <c r="D3419" i="106" s="1"/>
  <c r="F184" i="29"/>
  <c r="D72" i="36"/>
  <c r="B5655" i="106"/>
  <c r="D5655" i="106" s="1"/>
  <c r="H208" i="29"/>
  <c r="B1375" i="106" s="1"/>
  <c r="D1375" i="106" s="1"/>
  <c r="B4156" i="106"/>
  <c r="D4156" i="106" s="1"/>
  <c r="D210" i="29"/>
  <c r="B1346" i="106" s="1"/>
  <c r="D1346" i="106" s="1"/>
  <c r="B1345" i="106"/>
  <c r="D1345" i="106" s="1"/>
  <c r="F34" i="3"/>
  <c r="B6128" i="106"/>
  <c r="D6128" i="106" s="1"/>
  <c r="B5592" i="106"/>
  <c r="D5592" i="106" s="1"/>
  <c r="F5" i="4"/>
  <c r="B3408" i="106" s="1"/>
  <c r="D3408" i="106" s="1"/>
  <c r="F14" i="4"/>
  <c r="B2597" i="106" s="1"/>
  <c r="D2597" i="106" s="1"/>
  <c r="F62" i="34"/>
  <c r="B2836" i="106"/>
  <c r="D2836" i="106" s="1"/>
  <c r="B1351" i="106"/>
  <c r="D1351" i="106" s="1"/>
  <c r="F12" i="5"/>
  <c r="B4211" i="106"/>
  <c r="D4211" i="106" s="1"/>
  <c r="F64" i="34"/>
  <c r="B1383" i="106"/>
  <c r="D1383" i="106" s="1"/>
  <c r="K204" i="29"/>
  <c r="B5614" i="106"/>
  <c r="D5614" i="106" s="1"/>
  <c r="F172" i="5"/>
  <c r="B5644" i="106" s="1"/>
  <c r="D5644" i="106" s="1"/>
  <c r="E196" i="29"/>
  <c r="B1352" i="106" s="1"/>
  <c r="D1352" i="106" s="1"/>
  <c r="B2823" i="106"/>
  <c r="D2823" i="106" s="1"/>
  <c r="H196" i="29"/>
  <c r="B2830" i="106" s="1"/>
  <c r="D2830" i="106" s="1"/>
  <c r="B2828" i="106"/>
  <c r="D2828" i="106" s="1"/>
  <c r="B5599" i="106"/>
  <c r="D5599" i="106" s="1"/>
  <c r="B1747" i="106"/>
  <c r="D1747" i="106" s="1"/>
  <c r="D7" i="7"/>
  <c r="B1763" i="106" s="1"/>
  <c r="D1763" i="106" s="1"/>
  <c r="F44" i="4"/>
  <c r="C184" i="29"/>
  <c r="K180" i="29"/>
  <c r="E21" i="108" s="1"/>
  <c r="B4081" i="106"/>
  <c r="D4081" i="106" s="1"/>
  <c r="F76" i="4"/>
  <c r="B3254" i="106" s="1"/>
  <c r="D3254" i="106" s="1"/>
  <c r="G184" i="29"/>
  <c r="H184" i="29"/>
  <c r="B4086" i="106"/>
  <c r="D4086" i="106" s="1"/>
  <c r="B1482" i="106"/>
  <c r="D1482" i="106" s="1"/>
  <c r="K243" i="29"/>
  <c r="B1485" i="106" s="1"/>
  <c r="D1485" i="106" s="1"/>
  <c r="B1501" i="106"/>
  <c r="D1501" i="106" s="1"/>
  <c r="K277" i="29"/>
  <c r="B1508" i="106" s="1"/>
  <c r="D1508" i="106" s="1"/>
  <c r="B1470" i="106"/>
  <c r="D1470" i="106" s="1"/>
  <c r="F70" i="34"/>
  <c r="B3390" i="106"/>
  <c r="D3390" i="106" s="1"/>
  <c r="K229" i="29"/>
  <c r="B1748" i="106"/>
  <c r="D1748" i="106" s="1"/>
  <c r="D8" i="7"/>
  <c r="B1764" i="106" s="1"/>
  <c r="D1764" i="106" s="1"/>
  <c r="B5741" i="106"/>
  <c r="D5741" i="106" s="1"/>
  <c r="G5" i="4"/>
  <c r="B3409" i="106" s="1"/>
  <c r="D3409" i="106" s="1"/>
  <c r="B1421" i="106"/>
  <c r="D1421" i="106" s="1"/>
  <c r="B1492" i="106"/>
  <c r="D1492" i="106" s="1"/>
  <c r="K270" i="29"/>
  <c r="B1500" i="106" s="1"/>
  <c r="D1500" i="106" s="1"/>
  <c r="B6409" i="106"/>
  <c r="D6409" i="106" s="1"/>
  <c r="F129" i="34"/>
  <c r="B4398" i="106"/>
  <c r="D4398" i="106" s="1"/>
  <c r="F128" i="34"/>
  <c r="G273" i="5"/>
  <c r="B5863" i="106" s="1"/>
  <c r="D5863" i="106" s="1"/>
  <c r="B4414" i="106"/>
  <c r="D4414" i="106" s="1"/>
  <c r="L279" i="29"/>
  <c r="L295" i="29" s="1"/>
  <c r="B180" i="106"/>
  <c r="D180" i="106" s="1"/>
  <c r="B1410" i="106"/>
  <c r="D1410" i="106" s="1"/>
  <c r="G67" i="5"/>
  <c r="B5733" i="106" s="1"/>
  <c r="D5733" i="106" s="1"/>
  <c r="B1511" i="106"/>
  <c r="D1511" i="106" s="1"/>
  <c r="F72" i="34"/>
  <c r="G14" i="4"/>
  <c r="B2609" i="106" s="1"/>
  <c r="D2609" i="106" s="1"/>
  <c r="B5784" i="106"/>
  <c r="D5784" i="106" s="1"/>
  <c r="B5847" i="106"/>
  <c r="D5847" i="106" s="1"/>
  <c r="F136" i="34"/>
  <c r="B1417" i="106"/>
  <c r="D1417" i="106" s="1"/>
  <c r="D279" i="29"/>
  <c r="B1446" i="106" s="1"/>
  <c r="D1446" i="106" s="1"/>
  <c r="G21" i="108"/>
  <c r="B188" i="106"/>
  <c r="D188" i="106" s="1"/>
  <c r="B1475" i="106"/>
  <c r="D1475" i="106" s="1"/>
  <c r="K238" i="29"/>
  <c r="B1486" i="106"/>
  <c r="D1486" i="106" s="1"/>
  <c r="K257" i="29"/>
  <c r="B1488" i="106" s="1"/>
  <c r="D1488" i="106" s="1"/>
  <c r="F67" i="34"/>
  <c r="B7074" i="106"/>
  <c r="D7074" i="106" s="1"/>
  <c r="B7076" i="106"/>
  <c r="D7076" i="106" s="1"/>
  <c r="F68" i="34"/>
  <c r="B1489" i="106"/>
  <c r="D1489" i="106" s="1"/>
  <c r="K261" i="29"/>
  <c r="B1491" i="106" s="1"/>
  <c r="D1491" i="106" s="1"/>
  <c r="B3723" i="106"/>
  <c r="D3723" i="106" s="1"/>
  <c r="K285" i="29"/>
  <c r="F69" i="34"/>
  <c r="B7078" i="106"/>
  <c r="D7078" i="106" s="1"/>
  <c r="B5748" i="106"/>
  <c r="D5748" i="106" s="1"/>
  <c r="B16" i="7"/>
  <c r="B5723" i="106"/>
  <c r="D5723" i="106" s="1"/>
  <c r="B5756" i="106"/>
  <c r="D5756" i="106" s="1"/>
  <c r="F107" i="34"/>
  <c r="B3258" i="106"/>
  <c r="D3258" i="106" s="1"/>
  <c r="G77" i="4"/>
  <c r="B3261" i="106" s="1"/>
  <c r="D3261" i="106" s="1"/>
  <c r="B5780" i="106"/>
  <c r="D5780" i="106" s="1"/>
  <c r="B1427" i="106"/>
  <c r="D1427" i="106" s="1"/>
  <c r="B1452" i="106"/>
  <c r="D1452" i="106" s="1"/>
  <c r="H295" i="29"/>
  <c r="B1454" i="106" s="1"/>
  <c r="D1454" i="106" s="1"/>
  <c r="B5752" i="106"/>
  <c r="D5752" i="106" s="1"/>
  <c r="F106" i="34"/>
  <c r="G172" i="5"/>
  <c r="B5770" i="106" s="1"/>
  <c r="D5770" i="106" s="1"/>
  <c r="B5803" i="106"/>
  <c r="D5803" i="106" s="1"/>
  <c r="B1512" i="106"/>
  <c r="D1512" i="106" s="1"/>
  <c r="K293" i="29"/>
  <c r="B4357" i="106"/>
  <c r="D4357" i="106" s="1"/>
  <c r="G12" i="5"/>
  <c r="B1473" i="106"/>
  <c r="D1473" i="106" s="1"/>
  <c r="F71" i="34"/>
  <c r="D39" i="36"/>
  <c r="B3425" i="106"/>
  <c r="D3425" i="106" s="1"/>
  <c r="H13" i="3"/>
  <c r="G312" i="29"/>
  <c r="B1548" i="106" s="1"/>
  <c r="D1548" i="106" s="1"/>
  <c r="B1547" i="106"/>
  <c r="D1547" i="106" s="1"/>
  <c r="E312" i="29"/>
  <c r="B1536" i="106" s="1"/>
  <c r="D1536" i="106" s="1"/>
  <c r="B1535" i="106"/>
  <c r="D1535" i="106" s="1"/>
  <c r="B211" i="106"/>
  <c r="D211" i="106" s="1"/>
  <c r="B7107" i="106"/>
  <c r="D7107" i="106" s="1"/>
  <c r="K310" i="29"/>
  <c r="K303" i="29"/>
  <c r="B1555" i="106"/>
  <c r="D1555" i="106" s="1"/>
  <c r="B3296" i="106"/>
  <c r="D3296" i="106" s="1"/>
  <c r="H77" i="4"/>
  <c r="B3299" i="106" s="1"/>
  <c r="D3299" i="106" s="1"/>
  <c r="B1754" i="106"/>
  <c r="D1754" i="106" s="1"/>
  <c r="D14" i="7"/>
  <c r="B1770" i="106" s="1"/>
  <c r="D1770" i="106" s="1"/>
  <c r="H312" i="29"/>
  <c r="B1554" i="106" s="1"/>
  <c r="D1554" i="106" s="1"/>
  <c r="B1553" i="106"/>
  <c r="D1553" i="106" s="1"/>
  <c r="B1529" i="106"/>
  <c r="D1529" i="106" s="1"/>
  <c r="D312" i="29"/>
  <c r="B1530" i="106" s="1"/>
  <c r="D1530" i="106" s="1"/>
  <c r="L312" i="29"/>
  <c r="B4950" i="106"/>
  <c r="D4950" i="106" s="1"/>
  <c r="B1523" i="106"/>
  <c r="D1523" i="106" s="1"/>
  <c r="C312" i="29"/>
  <c r="B1524" i="106" s="1"/>
  <c r="D1524" i="106" s="1"/>
  <c r="H67" i="5"/>
  <c r="B5881" i="106" s="1"/>
  <c r="D5881" i="106" s="1"/>
  <c r="B5879" i="106"/>
  <c r="D5879" i="106" s="1"/>
  <c r="B5893" i="106"/>
  <c r="D5893" i="106" s="1"/>
  <c r="H173" i="5"/>
  <c r="B6285" i="106"/>
  <c r="D6285" i="106" s="1"/>
  <c r="E44" i="4"/>
  <c r="I312" i="29"/>
  <c r="B7116" i="106" s="1"/>
  <c r="D7116" i="106" s="1"/>
  <c r="B7103" i="106"/>
  <c r="D7103" i="106" s="1"/>
  <c r="B1541" i="106"/>
  <c r="D1541" i="106" s="1"/>
  <c r="F312" i="29"/>
  <c r="B1542" i="106" s="1"/>
  <c r="D1542" i="106" s="1"/>
  <c r="B6838" i="106"/>
  <c r="D6838" i="106" s="1"/>
  <c r="H273" i="5"/>
  <c r="B4441" i="106" s="1"/>
  <c r="D4441" i="106" s="1"/>
  <c r="H12" i="5"/>
  <c r="B7104" i="106"/>
  <c r="D7104" i="106" s="1"/>
  <c r="J312" i="29"/>
  <c r="B7117" i="106" s="1"/>
  <c r="D7117" i="106" s="1"/>
  <c r="D9" i="7"/>
  <c r="B1767" i="106" s="1"/>
  <c r="D1767" i="106" s="1"/>
  <c r="B1751" i="106"/>
  <c r="D1751" i="106" s="1"/>
  <c r="I173" i="5"/>
  <c r="B4363" i="106"/>
  <c r="D4363" i="106" s="1"/>
  <c r="B5916" i="106"/>
  <c r="D5916" i="106" s="1"/>
  <c r="I12" i="5"/>
  <c r="B10" i="7"/>
  <c r="D40" i="36"/>
  <c r="B3427" i="106"/>
  <c r="D3427" i="106" s="1"/>
  <c r="H24" i="118"/>
  <c r="I13" i="3"/>
  <c r="B5924" i="106"/>
  <c r="D5924" i="106" s="1"/>
  <c r="I67" i="5"/>
  <c r="B5926" i="106" s="1"/>
  <c r="D5926" i="106" s="1"/>
  <c r="B2910" i="106"/>
  <c r="D2910" i="106" s="1"/>
  <c r="B6217" i="106"/>
  <c r="D6217" i="106" s="1"/>
  <c r="J13" i="3"/>
  <c r="D41" i="36"/>
  <c r="K330" i="29"/>
  <c r="B7126" i="106"/>
  <c r="D7126" i="106" s="1"/>
  <c r="B6400" i="106"/>
  <c r="D6400" i="106" s="1"/>
  <c r="J274" i="5"/>
  <c r="B11" i="7"/>
  <c r="J12" i="5"/>
  <c r="B6298" i="106"/>
  <c r="D6298" i="106" s="1"/>
  <c r="L330" i="29"/>
  <c r="L342" i="29" s="1"/>
  <c r="D342" i="29"/>
  <c r="B7217" i="106" s="1"/>
  <c r="D7217" i="106" s="1"/>
  <c r="B7200" i="106"/>
  <c r="D7200" i="106" s="1"/>
  <c r="B6316" i="106"/>
  <c r="D6316" i="106" s="1"/>
  <c r="J67" i="5"/>
  <c r="B6318" i="106" s="1"/>
  <c r="D6318" i="106" s="1"/>
  <c r="B7201" i="106"/>
  <c r="D7201" i="106" s="1"/>
  <c r="E342" i="29"/>
  <c r="B7218" i="106" s="1"/>
  <c r="D7218" i="106" s="1"/>
  <c r="B7203" i="106"/>
  <c r="D7203" i="106" s="1"/>
  <c r="G342" i="29"/>
  <c r="B7220" i="106" s="1"/>
  <c r="D7220" i="106" s="1"/>
  <c r="B7204" i="106"/>
  <c r="D7204" i="106" s="1"/>
  <c r="H342" i="29"/>
  <c r="B7221" i="106" s="1"/>
  <c r="D7221" i="106" s="1"/>
  <c r="I342" i="29"/>
  <c r="B7222" i="106" s="1"/>
  <c r="D7222" i="106" s="1"/>
  <c r="B7205" i="106"/>
  <c r="D7205" i="106" s="1"/>
  <c r="B6357" i="106"/>
  <c r="D6357" i="106" s="1"/>
  <c r="J173" i="5"/>
  <c r="B7202" i="106"/>
  <c r="D7202" i="106" s="1"/>
  <c r="F342" i="29"/>
  <c r="B7219" i="106" s="1"/>
  <c r="D7219" i="106" s="1"/>
  <c r="B6238" i="106"/>
  <c r="D6238" i="106" s="1"/>
  <c r="J77" i="4"/>
  <c r="B6262" i="106" s="1"/>
  <c r="D6262" i="106" s="1"/>
  <c r="B6191" i="106"/>
  <c r="D6191" i="106" s="1"/>
  <c r="K340" i="29"/>
  <c r="B7209" i="106"/>
  <c r="D7209" i="106" s="1"/>
  <c r="B7199" i="106"/>
  <c r="D7199" i="106" s="1"/>
  <c r="C342" i="29"/>
  <c r="B7216" i="106" s="1"/>
  <c r="D7216" i="106" s="1"/>
  <c r="B7206" i="106"/>
  <c r="D7206" i="106" s="1"/>
  <c r="J342" i="29"/>
  <c r="B7223" i="106" s="1"/>
  <c r="D7223" i="106" s="1"/>
  <c r="B5987" i="106"/>
  <c r="D5987" i="106" s="1"/>
  <c r="F352" i="29"/>
  <c r="B3640" i="106"/>
  <c r="D3640" i="106" s="1"/>
  <c r="B3658" i="106"/>
  <c r="D3658" i="106" s="1"/>
  <c r="H365" i="29"/>
  <c r="B7242" i="106" s="1"/>
  <c r="D7242" i="106" s="1"/>
  <c r="B3584" i="106"/>
  <c r="D3584" i="106" s="1"/>
  <c r="K77" i="4"/>
  <c r="B3587" i="106" s="1"/>
  <c r="D3587" i="106" s="1"/>
  <c r="B3654" i="106"/>
  <c r="D3654" i="106" s="1"/>
  <c r="H352" i="29"/>
  <c r="B3552" i="106"/>
  <c r="D3552" i="106" s="1"/>
  <c r="I352" i="29"/>
  <c r="B7230" i="106"/>
  <c r="D7230" i="106" s="1"/>
  <c r="B4103" i="106"/>
  <c r="D4103" i="106" s="1"/>
  <c r="B2105" i="106"/>
  <c r="D2105" i="106" s="1"/>
  <c r="I76" i="4"/>
  <c r="B7231" i="106"/>
  <c r="D7231" i="106" s="1"/>
  <c r="J352" i="29"/>
  <c r="B3626" i="106"/>
  <c r="D3626" i="106" s="1"/>
  <c r="D352" i="29"/>
  <c r="B3619" i="106"/>
  <c r="D3619" i="106" s="1"/>
  <c r="C352" i="29"/>
  <c r="B6006" i="106"/>
  <c r="D6006" i="106" s="1"/>
  <c r="K173" i="5"/>
  <c r="K274" i="5"/>
  <c r="B4951" i="106"/>
  <c r="D4951" i="106" s="1"/>
  <c r="K67" i="5"/>
  <c r="B5995" i="106" s="1"/>
  <c r="D5995" i="106" s="1"/>
  <c r="K350" i="29"/>
  <c r="B3668" i="106"/>
  <c r="D3668" i="106" s="1"/>
  <c r="B3675" i="106"/>
  <c r="D3675" i="106" s="1"/>
  <c r="K362" i="29"/>
  <c r="B3647" i="106"/>
  <c r="D3647" i="106" s="1"/>
  <c r="G352" i="29"/>
  <c r="B1753" i="106"/>
  <c r="D1753" i="106" s="1"/>
  <c r="D12" i="7"/>
  <c r="K34" i="3"/>
  <c r="B3633" i="106"/>
  <c r="D3633" i="106" s="1"/>
  <c r="E352" i="29"/>
  <c r="B1617" i="106"/>
  <c r="D1617" i="106" s="1"/>
  <c r="F111" i="34" l="1"/>
  <c r="G74" i="29"/>
  <c r="B987" i="106" s="1"/>
  <c r="D987" i="106" s="1"/>
  <c r="H74" i="29"/>
  <c r="B1045" i="106" s="1"/>
  <c r="D1045" i="106" s="1"/>
  <c r="F131" i="34"/>
  <c r="K65" i="29"/>
  <c r="B1133" i="106" s="1"/>
  <c r="D1133" i="106" s="1"/>
  <c r="L74" i="29"/>
  <c r="L114" i="29" s="1"/>
  <c r="G274" i="5"/>
  <c r="G7" i="4" s="1"/>
  <c r="B2605" i="106" s="1"/>
  <c r="D2605" i="106" s="1"/>
  <c r="F31" i="108"/>
  <c r="F41" i="108" s="1"/>
  <c r="G43" i="108" s="1"/>
  <c r="D31" i="108"/>
  <c r="D41" i="108" s="1"/>
  <c r="E43" i="108" s="1"/>
  <c r="E22" i="108"/>
  <c r="H114" i="29"/>
  <c r="B1054" i="106" s="1"/>
  <c r="D1054" i="106" s="1"/>
  <c r="F161" i="34"/>
  <c r="G22" i="108"/>
  <c r="B19" i="7"/>
  <c r="B1759" i="106" s="1"/>
  <c r="D1759" i="106" s="1"/>
  <c r="C114" i="29"/>
  <c r="B757" i="106" s="1"/>
  <c r="D757" i="106" s="1"/>
  <c r="D114" i="29"/>
  <c r="B815" i="106" s="1"/>
  <c r="D815" i="106" s="1"/>
  <c r="E114" i="29"/>
  <c r="B873" i="106" s="1"/>
  <c r="D873" i="106" s="1"/>
  <c r="F130" i="34"/>
  <c r="D173" i="5"/>
  <c r="B5421" i="106" s="1"/>
  <c r="D5421" i="106" s="1"/>
  <c r="E151" i="29"/>
  <c r="B1242" i="106" s="1"/>
  <c r="D1242" i="106" s="1"/>
  <c r="C109" i="5"/>
  <c r="G24" i="108"/>
  <c r="F94" i="34"/>
  <c r="B5096" i="106"/>
  <c r="D5096" i="106" s="1"/>
  <c r="K112" i="29"/>
  <c r="B1151" i="106"/>
  <c r="D1151" i="106" s="1"/>
  <c r="K33" i="29"/>
  <c r="B1093" i="106"/>
  <c r="D1093" i="106" s="1"/>
  <c r="J114" i="29"/>
  <c r="B7021" i="106" s="1"/>
  <c r="D7021" i="106" s="1"/>
  <c r="E24" i="108"/>
  <c r="B5225" i="106"/>
  <c r="D5225" i="106" s="1"/>
  <c r="B4395" i="106"/>
  <c r="D4395" i="106" s="1"/>
  <c r="C273" i="5"/>
  <c r="B5320" i="106" s="1"/>
  <c r="D5320" i="106" s="1"/>
  <c r="F127" i="34"/>
  <c r="K102" i="29"/>
  <c r="B2088" i="106"/>
  <c r="D2088" i="106" s="1"/>
  <c r="B3229" i="106"/>
  <c r="D3229" i="106" s="1"/>
  <c r="C77" i="4"/>
  <c r="B3232" i="106" s="1"/>
  <c r="D3232" i="106" s="1"/>
  <c r="B6902" i="106"/>
  <c r="D6902" i="106" s="1"/>
  <c r="I114" i="29"/>
  <c r="B4102" i="106"/>
  <c r="D4102" i="106" s="1"/>
  <c r="D17" i="7"/>
  <c r="B4104" i="106" s="1"/>
  <c r="D4104" i="106" s="1"/>
  <c r="B5147" i="106"/>
  <c r="D5147" i="106" s="1"/>
  <c r="C172" i="5"/>
  <c r="B5214" i="106" s="1"/>
  <c r="D5214" i="106" s="1"/>
  <c r="B5132" i="106"/>
  <c r="D5132" i="106" s="1"/>
  <c r="F114" i="29"/>
  <c r="B931" i="106" s="1"/>
  <c r="D931" i="106" s="1"/>
  <c r="G12" i="145"/>
  <c r="E19" i="145"/>
  <c r="G114" i="29"/>
  <c r="B952" i="106"/>
  <c r="D952" i="106" s="1"/>
  <c r="B77" i="106"/>
  <c r="D77" i="106" s="1"/>
  <c r="K74" i="29"/>
  <c r="B1115" i="106"/>
  <c r="D1115" i="106" s="1"/>
  <c r="B5125" i="106"/>
  <c r="D5125" i="106" s="1"/>
  <c r="C5" i="4"/>
  <c r="B3405" i="106" s="1"/>
  <c r="D3405" i="106" s="1"/>
  <c r="B5507" i="106"/>
  <c r="D5507" i="106" s="1"/>
  <c r="D7" i="4"/>
  <c r="B2567" i="106" s="1"/>
  <c r="D2567" i="106" s="1"/>
  <c r="D6" i="4"/>
  <c r="B2566" i="106" s="1"/>
  <c r="D2566" i="106" s="1"/>
  <c r="F58" i="34"/>
  <c r="B1259" i="106"/>
  <c r="D1259" i="106" s="1"/>
  <c r="B5334" i="106"/>
  <c r="D5334" i="106" s="1"/>
  <c r="D109" i="5"/>
  <c r="D13" i="7"/>
  <c r="B3726" i="106" s="1"/>
  <c r="D3726" i="106" s="1"/>
  <c r="B3725" i="106"/>
  <c r="D3725" i="106" s="1"/>
  <c r="B7048" i="106"/>
  <c r="D7048" i="106" s="1"/>
  <c r="K149" i="29"/>
  <c r="K129" i="29"/>
  <c r="B1745" i="106"/>
  <c r="D1745" i="106" s="1"/>
  <c r="D5" i="7"/>
  <c r="B1761" i="106" s="1"/>
  <c r="D1761" i="106" s="1"/>
  <c r="F151" i="29"/>
  <c r="B1250" i="106" s="1"/>
  <c r="D1250" i="106" s="1"/>
  <c r="B1249" i="106"/>
  <c r="D1249" i="106" s="1"/>
  <c r="F59" i="34"/>
  <c r="B7051" i="106"/>
  <c r="D7051" i="106" s="1"/>
  <c r="B122" i="106"/>
  <c r="D122" i="106" s="1"/>
  <c r="B109" i="106"/>
  <c r="D109" i="106" s="1"/>
  <c r="F19" i="145"/>
  <c r="G15" i="145"/>
  <c r="D151" i="29"/>
  <c r="B1234" i="106" s="1"/>
  <c r="D1234" i="106" s="1"/>
  <c r="B1233" i="106"/>
  <c r="D1233" i="106" s="1"/>
  <c r="K139" i="29"/>
  <c r="B2093" i="106"/>
  <c r="D2093" i="106" s="1"/>
  <c r="H151" i="29"/>
  <c r="B1273" i="106" s="1"/>
  <c r="D1273" i="106" s="1"/>
  <c r="B1328" i="106"/>
  <c r="D1328" i="106" s="1"/>
  <c r="K172" i="29"/>
  <c r="E274" i="5"/>
  <c r="B5513" i="106"/>
  <c r="D5513" i="106" s="1"/>
  <c r="E109" i="5"/>
  <c r="B5544" i="106"/>
  <c r="D5544" i="106" s="1"/>
  <c r="E6" i="4"/>
  <c r="B2631" i="106" s="1"/>
  <c r="D2631" i="106" s="1"/>
  <c r="E15" i="4"/>
  <c r="F60" i="34"/>
  <c r="K174" i="29"/>
  <c r="H174" i="29"/>
  <c r="B1318" i="106" s="1"/>
  <c r="D1318" i="106" s="1"/>
  <c r="B3252" i="106"/>
  <c r="D3252" i="106" s="1"/>
  <c r="F77" i="4"/>
  <c r="B3255" i="106" s="1"/>
  <c r="D3255" i="106" s="1"/>
  <c r="B5557" i="106"/>
  <c r="D5557" i="106" s="1"/>
  <c r="F109" i="5"/>
  <c r="E210" i="29"/>
  <c r="B1353" i="106" s="1"/>
  <c r="D1353" i="106" s="1"/>
  <c r="B169" i="106"/>
  <c r="D169" i="106" s="1"/>
  <c r="F210" i="29"/>
  <c r="B1359" i="106" s="1"/>
  <c r="D1359" i="106" s="1"/>
  <c r="B1358" i="106"/>
  <c r="D1358" i="106" s="1"/>
  <c r="I210" i="29"/>
  <c r="B7063" i="106"/>
  <c r="D7063" i="106" s="1"/>
  <c r="B1370" i="106"/>
  <c r="D1370" i="106" s="1"/>
  <c r="H210" i="29"/>
  <c r="B1376" i="106" s="1"/>
  <c r="D1376" i="106" s="1"/>
  <c r="B1364" i="106"/>
  <c r="D1364" i="106" s="1"/>
  <c r="G210" i="29"/>
  <c r="F173" i="5"/>
  <c r="K208" i="29"/>
  <c r="B4157" i="106"/>
  <c r="D4157" i="106" s="1"/>
  <c r="B157" i="106"/>
  <c r="D157" i="106" s="1"/>
  <c r="K196" i="29"/>
  <c r="B2837" i="106"/>
  <c r="D2837" i="106" s="1"/>
  <c r="B4087" i="106"/>
  <c r="D4087" i="106" s="1"/>
  <c r="K184" i="29"/>
  <c r="F274" i="5"/>
  <c r="B1377" i="106"/>
  <c r="D1377" i="106" s="1"/>
  <c r="G29" i="108"/>
  <c r="E29" i="108"/>
  <c r="B1339" i="106"/>
  <c r="D1339" i="106" s="1"/>
  <c r="C210" i="29"/>
  <c r="B1340" i="106" s="1"/>
  <c r="D1340" i="106" s="1"/>
  <c r="G173" i="5"/>
  <c r="G12" i="4"/>
  <c r="B1474" i="106"/>
  <c r="D1474" i="106" s="1"/>
  <c r="B1515" i="106"/>
  <c r="D1515" i="106" s="1"/>
  <c r="G16" i="4"/>
  <c r="B2611" i="106" s="1"/>
  <c r="D2611" i="106" s="1"/>
  <c r="D295" i="29"/>
  <c r="B1448" i="106" s="1"/>
  <c r="D1448" i="106" s="1"/>
  <c r="B3724" i="106"/>
  <c r="D3724" i="106" s="1"/>
  <c r="F73" i="34"/>
  <c r="G15" i="4"/>
  <c r="B6032" i="106" s="1"/>
  <c r="D6032" i="106" s="1"/>
  <c r="B5725" i="106"/>
  <c r="D5725" i="106" s="1"/>
  <c r="G109" i="5"/>
  <c r="D16" i="7"/>
  <c r="B3447" i="106" s="1"/>
  <c r="D3447" i="106" s="1"/>
  <c r="B3446" i="106"/>
  <c r="D3446" i="106" s="1"/>
  <c r="B1481" i="106"/>
  <c r="D1481" i="106" s="1"/>
  <c r="K279" i="29"/>
  <c r="K295" i="29" s="1"/>
  <c r="B3274" i="106"/>
  <c r="D3274" i="106" s="1"/>
  <c r="E77" i="4"/>
  <c r="B5873" i="106"/>
  <c r="D5873" i="106" s="1"/>
  <c r="H109" i="5"/>
  <c r="H274" i="5"/>
  <c r="B5906" i="106"/>
  <c r="D5906" i="106" s="1"/>
  <c r="H6" i="4"/>
  <c r="B2656" i="106" s="1"/>
  <c r="D2656" i="106" s="1"/>
  <c r="K312" i="29"/>
  <c r="B1560" i="106" s="1"/>
  <c r="D1560" i="106" s="1"/>
  <c r="B1559" i="106"/>
  <c r="D1559" i="106" s="1"/>
  <c r="H13" i="4"/>
  <c r="B2102" i="106"/>
  <c r="D2102" i="106" s="1"/>
  <c r="H15" i="4"/>
  <c r="B2660" i="106" s="1"/>
  <c r="D2660" i="106" s="1"/>
  <c r="B203" i="106"/>
  <c r="D203" i="106" s="1"/>
  <c r="B1749" i="106"/>
  <c r="D1749" i="106" s="1"/>
  <c r="D10" i="7"/>
  <c r="B1765" i="106" s="1"/>
  <c r="D1765" i="106" s="1"/>
  <c r="B5918" i="106"/>
  <c r="D5918" i="106" s="1"/>
  <c r="I109" i="5"/>
  <c r="B2888" i="106"/>
  <c r="D2888" i="106" s="1"/>
  <c r="I6" i="4"/>
  <c r="B5011" i="106" s="1"/>
  <c r="D5011" i="106" s="1"/>
  <c r="B4216" i="106"/>
  <c r="D4216" i="106" s="1"/>
  <c r="J7" i="4"/>
  <c r="B6222" i="106" s="1"/>
  <c r="D6222" i="106" s="1"/>
  <c r="B7054" i="106"/>
  <c r="D7054" i="106" s="1"/>
  <c r="K342" i="29"/>
  <c r="J13" i="4"/>
  <c r="B7207" i="106"/>
  <c r="D7207" i="106" s="1"/>
  <c r="G23" i="108"/>
  <c r="E23" i="108"/>
  <c r="J16" i="4"/>
  <c r="B6226" i="106" s="1"/>
  <c r="D6226" i="106" s="1"/>
  <c r="B7215" i="106"/>
  <c r="D7215" i="106" s="1"/>
  <c r="B6397" i="106"/>
  <c r="D6397" i="106" s="1"/>
  <c r="J6" i="4"/>
  <c r="B6221" i="106" s="1"/>
  <c r="D6221" i="106" s="1"/>
  <c r="B6301" i="106"/>
  <c r="D6301" i="106" s="1"/>
  <c r="J109" i="5"/>
  <c r="B6124" i="106"/>
  <c r="D6124" i="106" s="1"/>
  <c r="B1752" i="106"/>
  <c r="D1752" i="106" s="1"/>
  <c r="D11" i="7"/>
  <c r="B1768" i="106" s="1"/>
  <c r="D1768" i="106" s="1"/>
  <c r="B3670" i="106"/>
  <c r="D3670" i="106" s="1"/>
  <c r="K352" i="29"/>
  <c r="B3628" i="106"/>
  <c r="D3628" i="106" s="1"/>
  <c r="D367" i="29"/>
  <c r="B3629" i="106" s="1"/>
  <c r="D3629" i="106" s="1"/>
  <c r="B1769" i="106"/>
  <c r="D1769" i="106" s="1"/>
  <c r="B7234" i="106"/>
  <c r="D7234" i="106" s="1"/>
  <c r="I367" i="29"/>
  <c r="J367" i="29"/>
  <c r="B7245" i="106" s="1"/>
  <c r="D7245" i="106" s="1"/>
  <c r="B7235" i="106"/>
  <c r="D7235" i="106" s="1"/>
  <c r="B3565" i="106"/>
  <c r="D3565" i="106" s="1"/>
  <c r="B3649" i="106"/>
  <c r="D3649" i="106" s="1"/>
  <c r="G367" i="29"/>
  <c r="B3650" i="106" s="1"/>
  <c r="D3650" i="106" s="1"/>
  <c r="K7" i="4"/>
  <c r="B6022" i="106"/>
  <c r="D6022" i="106" s="1"/>
  <c r="B3642" i="106"/>
  <c r="D3642" i="106" s="1"/>
  <c r="F367" i="29"/>
  <c r="B3643" i="106" s="1"/>
  <c r="D3643" i="106" s="1"/>
  <c r="B3621" i="106"/>
  <c r="D3621" i="106" s="1"/>
  <c r="C367" i="29"/>
  <c r="B3622" i="106" s="1"/>
  <c r="D3622" i="106" s="1"/>
  <c r="K6" i="4"/>
  <c r="B3570" i="106" s="1"/>
  <c r="D3570" i="106" s="1"/>
  <c r="B6014" i="106"/>
  <c r="D6014" i="106" s="1"/>
  <c r="I77" i="4"/>
  <c r="B3318" i="106"/>
  <c r="D3318" i="106" s="1"/>
  <c r="B3656" i="106"/>
  <c r="D3656" i="106" s="1"/>
  <c r="H367" i="29"/>
  <c r="B3660" i="106" s="1"/>
  <c r="D3660" i="106" s="1"/>
  <c r="K109" i="5"/>
  <c r="E367" i="29"/>
  <c r="B3636" i="106" s="1"/>
  <c r="D3636" i="106" s="1"/>
  <c r="B3635" i="106"/>
  <c r="D3635" i="106" s="1"/>
  <c r="K365" i="29"/>
  <c r="B3676" i="106"/>
  <c r="D3676" i="106" s="1"/>
  <c r="B5869" i="106" l="1"/>
  <c r="D5869" i="106" s="1"/>
  <c r="F178" i="34"/>
  <c r="G19" i="145"/>
  <c r="J20" i="145" s="1"/>
  <c r="F54" i="34"/>
  <c r="B989" i="106"/>
  <c r="D989" i="106" s="1"/>
  <c r="B1108" i="106"/>
  <c r="D1108" i="106" s="1"/>
  <c r="C12" i="4"/>
  <c r="K114" i="29"/>
  <c r="E19" i="108"/>
  <c r="E41" i="108" s="1"/>
  <c r="E44" i="108" s="1"/>
  <c r="E45" i="108" s="1"/>
  <c r="G19" i="108"/>
  <c r="G41" i="108" s="1"/>
  <c r="G44" i="108" s="1"/>
  <c r="G45" i="108" s="1"/>
  <c r="B7020" i="106"/>
  <c r="D7020" i="106" s="1"/>
  <c r="F55" i="34"/>
  <c r="B7019" i="106"/>
  <c r="D7019" i="106" s="1"/>
  <c r="C16" i="4"/>
  <c r="B2560" i="106" s="1"/>
  <c r="D2560" i="106" s="1"/>
  <c r="C274" i="5"/>
  <c r="C13" i="4"/>
  <c r="B2557" i="106" s="1"/>
  <c r="D2557" i="106" s="1"/>
  <c r="B1143" i="106"/>
  <c r="D1143" i="106" s="1"/>
  <c r="C173" i="5"/>
  <c r="C15" i="4"/>
  <c r="B2559" i="106" s="1"/>
  <c r="D2559" i="106" s="1"/>
  <c r="F53" i="34"/>
  <c r="B1145" i="106"/>
  <c r="D1145" i="106" s="1"/>
  <c r="B5121" i="106"/>
  <c r="D5121" i="106" s="1"/>
  <c r="C4" i="4"/>
  <c r="D4" i="4"/>
  <c r="D275" i="5"/>
  <c r="B5356" i="106"/>
  <c r="D5356" i="106" s="1"/>
  <c r="K151" i="29"/>
  <c r="B1281" i="106"/>
  <c r="D1281" i="106" s="1"/>
  <c r="D13" i="4"/>
  <c r="F57" i="34"/>
  <c r="B1282" i="106"/>
  <c r="D1282" i="106" s="1"/>
  <c r="D15" i="4"/>
  <c r="B2571" i="106" s="1"/>
  <c r="D2571" i="106" s="1"/>
  <c r="B1287" i="106"/>
  <c r="D1287" i="106" s="1"/>
  <c r="D16" i="4"/>
  <c r="B2572" i="106" s="1"/>
  <c r="D2572" i="106" s="1"/>
  <c r="B2633" i="106"/>
  <c r="D2633" i="106" s="1"/>
  <c r="B5527" i="106"/>
  <c r="D5527" i="106" s="1"/>
  <c r="E275" i="5"/>
  <c r="E4" i="4"/>
  <c r="E7" i="4"/>
  <c r="B4443" i="106" s="1"/>
  <c r="D4443" i="106" s="1"/>
  <c r="B4434" i="106"/>
  <c r="D4434" i="106" s="1"/>
  <c r="B1332" i="106"/>
  <c r="D1332" i="106" s="1"/>
  <c r="F10" i="34"/>
  <c r="B1331" i="106"/>
  <c r="D1331" i="106" s="1"/>
  <c r="E16" i="4"/>
  <c r="B2634" i="106" s="1"/>
  <c r="D2634" i="106" s="1"/>
  <c r="B1365" i="106"/>
  <c r="D1365" i="106" s="1"/>
  <c r="F65" i="34"/>
  <c r="F15" i="4"/>
  <c r="B2598" i="106" s="1"/>
  <c r="D2598" i="106" s="1"/>
  <c r="F63" i="34"/>
  <c r="B1382" i="106"/>
  <c r="D1382" i="106" s="1"/>
  <c r="F4" i="4"/>
  <c r="F275" i="5"/>
  <c r="B5588" i="106"/>
  <c r="D5588" i="106" s="1"/>
  <c r="B7071" i="106"/>
  <c r="D7071" i="106" s="1"/>
  <c r="F66" i="34"/>
  <c r="F7" i="4"/>
  <c r="B2594" i="106" s="1"/>
  <c r="D2594" i="106" s="1"/>
  <c r="B5719" i="106"/>
  <c r="D5719" i="106" s="1"/>
  <c r="B1387" i="106"/>
  <c r="D1387" i="106" s="1"/>
  <c r="F16" i="4"/>
  <c r="B2599" i="106" s="1"/>
  <c r="D2599" i="106" s="1"/>
  <c r="F13" i="4"/>
  <c r="B1381" i="106"/>
  <c r="D1381" i="106" s="1"/>
  <c r="K210" i="29"/>
  <c r="F6" i="4"/>
  <c r="B2593" i="106" s="1"/>
  <c r="D2593" i="106" s="1"/>
  <c r="B5653" i="106"/>
  <c r="D5653" i="106" s="1"/>
  <c r="G4" i="4"/>
  <c r="G275" i="5"/>
  <c r="B6024" i="106"/>
  <c r="D6024" i="106" s="1"/>
  <c r="B1517" i="106"/>
  <c r="D1517" i="106" s="1"/>
  <c r="F12" i="34"/>
  <c r="B1510" i="106"/>
  <c r="D1510" i="106" s="1"/>
  <c r="G13" i="4"/>
  <c r="B2608" i="106" s="1"/>
  <c r="D2608" i="106" s="1"/>
  <c r="B2607" i="106"/>
  <c r="D2607" i="106" s="1"/>
  <c r="G6" i="4"/>
  <c r="B2604" i="106" s="1"/>
  <c r="D2604" i="106" s="1"/>
  <c r="B5778" i="106"/>
  <c r="D5778" i="106" s="1"/>
  <c r="B5914" i="106"/>
  <c r="D5914" i="106" s="1"/>
  <c r="H7" i="4"/>
  <c r="B2657" i="106" s="1"/>
  <c r="D2657" i="106" s="1"/>
  <c r="B6025" i="106"/>
  <c r="D6025" i="106" s="1"/>
  <c r="H4" i="4"/>
  <c r="H275" i="5"/>
  <c r="B2659" i="106"/>
  <c r="D2659" i="106" s="1"/>
  <c r="H17" i="4"/>
  <c r="B3277" i="106"/>
  <c r="D3277" i="106" s="1"/>
  <c r="I275" i="5"/>
  <c r="B5946" i="106" s="1"/>
  <c r="D5946" i="106" s="1"/>
  <c r="I4" i="4"/>
  <c r="B6026" i="106"/>
  <c r="D6026" i="106" s="1"/>
  <c r="J17" i="4"/>
  <c r="B7042" i="106"/>
  <c r="D7042" i="106" s="1"/>
  <c r="J275" i="5"/>
  <c r="J4" i="4"/>
  <c r="B6352" i="106"/>
  <c r="D6352" i="106" s="1"/>
  <c r="B7224" i="106"/>
  <c r="D7224" i="106" s="1"/>
  <c r="F13" i="34"/>
  <c r="D19" i="7"/>
  <c r="B1775" i="106" s="1"/>
  <c r="D1775" i="106" s="1"/>
  <c r="F17" i="11"/>
  <c r="B7244" i="106"/>
  <c r="D7244" i="106" s="1"/>
  <c r="B3319" i="106"/>
  <c r="D3319" i="106" s="1"/>
  <c r="B3718" i="106"/>
  <c r="D3718" i="106" s="1"/>
  <c r="B7243" i="106"/>
  <c r="D7243" i="106" s="1"/>
  <c r="K16" i="4"/>
  <c r="B3574" i="106" s="1"/>
  <c r="D3574" i="106" s="1"/>
  <c r="K275" i="5"/>
  <c r="B6028" i="106"/>
  <c r="D6028" i="106" s="1"/>
  <c r="K4" i="4"/>
  <c r="K367" i="29"/>
  <c r="B3678" i="106" s="1"/>
  <c r="D3678" i="106" s="1"/>
  <c r="B3672" i="106"/>
  <c r="D3672" i="106" s="1"/>
  <c r="K13" i="4"/>
  <c r="F76" i="34" l="1"/>
  <c r="C275" i="5"/>
  <c r="C6" i="4"/>
  <c r="B2553" i="106" s="1"/>
  <c r="D2553" i="106" s="1"/>
  <c r="B5223" i="106"/>
  <c r="D5223" i="106" s="1"/>
  <c r="B5327" i="106"/>
  <c r="D5327" i="106" s="1"/>
  <c r="K115" i="29"/>
  <c r="B1153" i="106" s="1"/>
  <c r="D1153" i="106" s="1"/>
  <c r="B1152" i="106"/>
  <c r="D1152" i="106" s="1"/>
  <c r="F8" i="34"/>
  <c r="B2551" i="106"/>
  <c r="D2551" i="106" s="1"/>
  <c r="B5326" i="106"/>
  <c r="D5326" i="106" s="1"/>
  <c r="C7" i="4"/>
  <c r="B2556" i="106"/>
  <c r="D2556" i="106" s="1"/>
  <c r="C17" i="4"/>
  <c r="D17" i="4"/>
  <c r="B2569" i="106"/>
  <c r="D2569" i="106" s="1"/>
  <c r="F9" i="34"/>
  <c r="B1288" i="106"/>
  <c r="D1288" i="106" s="1"/>
  <c r="B5508" i="106"/>
  <c r="D5508" i="106" s="1"/>
  <c r="K152" i="29"/>
  <c r="B1289" i="106" s="1"/>
  <c r="D1289" i="106" s="1"/>
  <c r="B2564" i="106"/>
  <c r="D2564" i="106" s="1"/>
  <c r="D8" i="4"/>
  <c r="E8" i="4"/>
  <c r="B2630" i="106"/>
  <c r="D2630" i="106" s="1"/>
  <c r="K175" i="29"/>
  <c r="B1333" i="106" s="1"/>
  <c r="D1333" i="106" s="1"/>
  <c r="B5552" i="106"/>
  <c r="D5552" i="106" s="1"/>
  <c r="B140" i="106"/>
  <c r="D140" i="106" s="1"/>
  <c r="E41" i="3"/>
  <c r="E17" i="4"/>
  <c r="F17" i="4"/>
  <c r="B2596" i="106"/>
  <c r="D2596" i="106" s="1"/>
  <c r="B5720" i="106"/>
  <c r="D5720" i="106" s="1"/>
  <c r="K211" i="29"/>
  <c r="B1389" i="106" s="1"/>
  <c r="D1389" i="106" s="1"/>
  <c r="F8" i="4"/>
  <c r="B2591" i="106"/>
  <c r="D2591" i="106" s="1"/>
  <c r="B1388" i="106"/>
  <c r="D1388" i="106" s="1"/>
  <c r="F11" i="34"/>
  <c r="K296" i="29"/>
  <c r="B1518" i="106" s="1"/>
  <c r="D1518" i="106" s="1"/>
  <c r="B5870" i="106"/>
  <c r="D5870" i="106" s="1"/>
  <c r="G17" i="4"/>
  <c r="B2603" i="106"/>
  <c r="D2603" i="106" s="1"/>
  <c r="G8" i="4"/>
  <c r="H19" i="4"/>
  <c r="B4141" i="106" s="1"/>
  <c r="D4141" i="106" s="1"/>
  <c r="B2661" i="106"/>
  <c r="D2661" i="106" s="1"/>
  <c r="B5915" i="106"/>
  <c r="D5915" i="106" s="1"/>
  <c r="K313" i="29"/>
  <c r="B1561" i="106" s="1"/>
  <c r="D1561" i="106" s="1"/>
  <c r="B2655" i="106"/>
  <c r="D2655" i="106" s="1"/>
  <c r="H8" i="4"/>
  <c r="B3225" i="106"/>
  <c r="D3225" i="106" s="1"/>
  <c r="I8" i="4"/>
  <c r="B2912" i="106"/>
  <c r="D2912" i="106" s="1"/>
  <c r="I41" i="3"/>
  <c r="B6215" i="106"/>
  <c r="D6215" i="106" s="1"/>
  <c r="J41" i="3"/>
  <c r="J8" i="4"/>
  <c r="B6220" i="106"/>
  <c r="D6220" i="106" s="1"/>
  <c r="B7055" i="106"/>
  <c r="D7055" i="106" s="1"/>
  <c r="K343" i="29"/>
  <c r="B7225" i="106" s="1"/>
  <c r="D7225" i="106" s="1"/>
  <c r="B6227" i="106"/>
  <c r="D6227" i="106" s="1"/>
  <c r="J19" i="4"/>
  <c r="B6229" i="106" s="1"/>
  <c r="D6229" i="106" s="1"/>
  <c r="K17" i="4"/>
  <c r="B3572" i="106"/>
  <c r="D3572" i="106" s="1"/>
  <c r="B3569" i="106"/>
  <c r="D3569" i="106" s="1"/>
  <c r="K8" i="4"/>
  <c r="B6023" i="106"/>
  <c r="D6023" i="106" s="1"/>
  <c r="K368" i="29"/>
  <c r="B3681" i="106" s="1"/>
  <c r="D3681" i="106" s="1"/>
  <c r="B7624" i="106"/>
  <c r="D7624" i="106" s="1"/>
  <c r="I17" i="11"/>
  <c r="F14" i="34" l="1"/>
  <c r="F77" i="34" s="1"/>
  <c r="F179" i="34" s="1"/>
  <c r="C8" i="4"/>
  <c r="C10" i="4"/>
  <c r="B4122" i="106" s="1"/>
  <c r="D4122" i="106" s="1"/>
  <c r="B8" i="146"/>
  <c r="B2555" i="106"/>
  <c r="D2555" i="106" s="1"/>
  <c r="C20" i="4"/>
  <c r="B9" i="146"/>
  <c r="C19" i="4"/>
  <c r="B4136" i="106" s="1"/>
  <c r="D4136" i="106" s="1"/>
  <c r="B2561" i="106"/>
  <c r="D2561" i="106" s="1"/>
  <c r="B2554" i="106"/>
  <c r="D2554" i="106" s="1"/>
  <c r="D10" i="171"/>
  <c r="D19" i="171" s="1"/>
  <c r="D32" i="171" s="1"/>
  <c r="D49" i="171" s="1"/>
  <c r="D10" i="4"/>
  <c r="B4123" i="106" s="1"/>
  <c r="D4123" i="106" s="1"/>
  <c r="C8" i="146"/>
  <c r="B2568" i="106"/>
  <c r="D2568" i="106" s="1"/>
  <c r="D20" i="4"/>
  <c r="D19" i="4"/>
  <c r="B4137" i="106" s="1"/>
  <c r="D4137" i="106" s="1"/>
  <c r="C9" i="146"/>
  <c r="B2573" i="106"/>
  <c r="D2573" i="106" s="1"/>
  <c r="E19" i="4"/>
  <c r="B4138" i="106" s="1"/>
  <c r="D4138" i="106" s="1"/>
  <c r="B2635" i="106"/>
  <c r="D2635" i="106" s="1"/>
  <c r="B141" i="106"/>
  <c r="D141" i="106" s="1"/>
  <c r="D46" i="36"/>
  <c r="E20" i="4"/>
  <c r="B2632" i="106"/>
  <c r="D2632" i="106" s="1"/>
  <c r="E10" i="4"/>
  <c r="B4124" i="106" s="1"/>
  <c r="D4124" i="106" s="1"/>
  <c r="F10" i="4"/>
  <c r="B4125" i="106" s="1"/>
  <c r="D4125" i="106" s="1"/>
  <c r="F20" i="4"/>
  <c r="D8" i="146"/>
  <c r="B2595" i="106"/>
  <c r="D2595" i="106" s="1"/>
  <c r="H17" i="118"/>
  <c r="H25" i="118" s="1"/>
  <c r="K24" i="118" s="1"/>
  <c r="O23" i="118" s="1"/>
  <c r="O25" i="118" s="1"/>
  <c r="D9" i="146"/>
  <c r="F16" i="37"/>
  <c r="F19" i="4"/>
  <c r="B4139" i="106" s="1"/>
  <c r="D4139" i="106" s="1"/>
  <c r="B2600" i="106"/>
  <c r="D2600" i="106" s="1"/>
  <c r="G20" i="4"/>
  <c r="B2606" i="106"/>
  <c r="D2606" i="106" s="1"/>
  <c r="G10" i="4"/>
  <c r="B4126" i="106" s="1"/>
  <c r="D4126" i="106" s="1"/>
  <c r="B189" i="106"/>
  <c r="D189" i="106" s="1"/>
  <c r="G41" i="3"/>
  <c r="B2612" i="106"/>
  <c r="D2612" i="106" s="1"/>
  <c r="G19" i="4"/>
  <c r="B4140" i="106" s="1"/>
  <c r="D4140" i="106" s="1"/>
  <c r="B2658" i="106"/>
  <c r="D2658" i="106" s="1"/>
  <c r="H20" i="4"/>
  <c r="H10" i="4"/>
  <c r="B4127" i="106" s="1"/>
  <c r="D4127" i="106" s="1"/>
  <c r="B2913" i="106"/>
  <c r="D2913" i="106" s="1"/>
  <c r="D50" i="36"/>
  <c r="H18" i="118"/>
  <c r="D16" i="37"/>
  <c r="H13" i="118"/>
  <c r="I10" i="4"/>
  <c r="B4128" i="106" s="1"/>
  <c r="D4128" i="106" s="1"/>
  <c r="I20" i="4"/>
  <c r="B3226" i="106"/>
  <c r="D3226" i="106" s="1"/>
  <c r="E8" i="146"/>
  <c r="B6223" i="106"/>
  <c r="D6223" i="106" s="1"/>
  <c r="J20" i="4"/>
  <c r="J10" i="4"/>
  <c r="B6225" i="106" s="1"/>
  <c r="D6225" i="106" s="1"/>
  <c r="B6216" i="106"/>
  <c r="D6216" i="106" s="1"/>
  <c r="D51" i="36"/>
  <c r="B3571" i="106"/>
  <c r="D3571" i="106" s="1"/>
  <c r="K20" i="4"/>
  <c r="K10" i="4"/>
  <c r="B4130" i="106" s="1"/>
  <c r="D4130" i="106" s="1"/>
  <c r="B7625" i="106"/>
  <c r="D7625" i="106" s="1"/>
  <c r="I18" i="11"/>
  <c r="B3575" i="106"/>
  <c r="D3575" i="106" s="1"/>
  <c r="K19" i="4"/>
  <c r="B4144" i="106" s="1"/>
  <c r="D4144" i="106" s="1"/>
  <c r="F79" i="34" l="1"/>
  <c r="C10" i="146"/>
  <c r="K17" i="118"/>
  <c r="B2562" i="106"/>
  <c r="D2562" i="106" s="1"/>
  <c r="C78" i="4"/>
  <c r="B10" i="146"/>
  <c r="F9" i="146"/>
  <c r="B2574" i="106"/>
  <c r="D2574" i="106" s="1"/>
  <c r="D78" i="4"/>
  <c r="B123" i="106"/>
  <c r="D123" i="106" s="1"/>
  <c r="D41" i="3"/>
  <c r="N23" i="3"/>
  <c r="B282" i="106"/>
  <c r="D282" i="106" s="1"/>
  <c r="B2636" i="106"/>
  <c r="D2636" i="106" s="1"/>
  <c r="E78" i="4"/>
  <c r="D10" i="146"/>
  <c r="H16" i="37"/>
  <c r="F78" i="4"/>
  <c r="B2601" i="106"/>
  <c r="D2601" i="106" s="1"/>
  <c r="B190" i="106"/>
  <c r="D190" i="106" s="1"/>
  <c r="D48" i="36"/>
  <c r="G78" i="4"/>
  <c r="B2613" i="106"/>
  <c r="D2613" i="106" s="1"/>
  <c r="B212" i="106"/>
  <c r="D212" i="106" s="1"/>
  <c r="H41" i="3"/>
  <c r="B2662" i="106"/>
  <c r="D2662" i="106" s="1"/>
  <c r="H78" i="4"/>
  <c r="B3227" i="106"/>
  <c r="D3227" i="106" s="1"/>
  <c r="I78" i="4"/>
  <c r="K20" i="118"/>
  <c r="J20" i="118"/>
  <c r="O16" i="118"/>
  <c r="E10" i="146"/>
  <c r="F8" i="146"/>
  <c r="B6230" i="106"/>
  <c r="D6230" i="106" s="1"/>
  <c r="J78" i="4"/>
  <c r="B3567" i="106"/>
  <c r="D3567" i="106" s="1"/>
  <c r="K41" i="3"/>
  <c r="B7631" i="106"/>
  <c r="D7631" i="106" s="1"/>
  <c r="F180" i="34"/>
  <c r="F181" i="34" s="1"/>
  <c r="F183" i="34" s="1"/>
  <c r="B3576" i="106"/>
  <c r="D3576" i="106" s="1"/>
  <c r="K78" i="4"/>
  <c r="D76" i="36" l="1"/>
  <c r="F10" i="146"/>
  <c r="O17" i="118"/>
  <c r="O20" i="118" s="1"/>
  <c r="C81" i="4"/>
  <c r="D57" i="36" s="1"/>
  <c r="B3233" i="106"/>
  <c r="D3233" i="106" s="1"/>
  <c r="B92" i="106"/>
  <c r="D92" i="106" s="1"/>
  <c r="C41" i="3"/>
  <c r="B124" i="106"/>
  <c r="D124" i="106" s="1"/>
  <c r="D45" i="36"/>
  <c r="B3239" i="106"/>
  <c r="D3239" i="106" s="1"/>
  <c r="D81" i="4"/>
  <c r="E81" i="4"/>
  <c r="B3278" i="106"/>
  <c r="D3278" i="106" s="1"/>
  <c r="D55" i="36"/>
  <c r="B284" i="106"/>
  <c r="D284" i="106" s="1"/>
  <c r="B3256" i="106"/>
  <c r="D3256" i="106" s="1"/>
  <c r="F81" i="4"/>
  <c r="D60" i="36" s="1"/>
  <c r="B170" i="106"/>
  <c r="D170" i="106" s="1"/>
  <c r="F41" i="3"/>
  <c r="B3262" i="106"/>
  <c r="D3262" i="106" s="1"/>
  <c r="G81" i="4"/>
  <c r="B3300" i="106"/>
  <c r="D3300" i="106" s="1"/>
  <c r="H81" i="4"/>
  <c r="B213" i="106"/>
  <c r="D213" i="106" s="1"/>
  <c r="D49" i="36"/>
  <c r="I81" i="4"/>
  <c r="B3320" i="106"/>
  <c r="D3320" i="106" s="1"/>
  <c r="J81" i="4"/>
  <c r="B6263" i="106"/>
  <c r="D6263" i="106" s="1"/>
  <c r="B3588" i="106"/>
  <c r="D3588" i="106" s="1"/>
  <c r="K81" i="4"/>
  <c r="B3568" i="106"/>
  <c r="D3568" i="106" s="1"/>
  <c r="D52" i="36"/>
  <c r="B93" i="106" l="1"/>
  <c r="D93" i="106" s="1"/>
  <c r="D44" i="36"/>
  <c r="B11" i="146"/>
  <c r="C82" i="4"/>
  <c r="B1630" i="106"/>
  <c r="D1630" i="106" s="1"/>
  <c r="D82" i="4"/>
  <c r="B1644" i="106"/>
  <c r="D1644" i="106" s="1"/>
  <c r="C11" i="146"/>
  <c r="D58" i="36"/>
  <c r="E82" i="4"/>
  <c r="B1658" i="106"/>
  <c r="D1658" i="106" s="1"/>
  <c r="D59" i="36"/>
  <c r="B171" i="106"/>
  <c r="D171" i="106" s="1"/>
  <c r="D47" i="36"/>
  <c r="F82" i="4"/>
  <c r="B1672" i="106"/>
  <c r="D1672" i="106" s="1"/>
  <c r="D11" i="146"/>
  <c r="G82" i="4"/>
  <c r="B1686" i="106"/>
  <c r="D1686" i="106" s="1"/>
  <c r="D61" i="36"/>
  <c r="D62" i="36"/>
  <c r="H82" i="4"/>
  <c r="B1700" i="106"/>
  <c r="D1700" i="106" s="1"/>
  <c r="B3323" i="106"/>
  <c r="D3323" i="106" s="1"/>
  <c r="I82" i="4"/>
  <c r="D63" i="36"/>
  <c r="E11" i="146"/>
  <c r="J16" i="37"/>
  <c r="B4269" i="106" s="1"/>
  <c r="D4269" i="106" s="1"/>
  <c r="J82" i="4"/>
  <c r="B6266" i="106"/>
  <c r="D6266" i="106" s="1"/>
  <c r="D64" i="36"/>
  <c r="H12" i="118"/>
  <c r="K12" i="118" s="1"/>
  <c r="O11" i="118" s="1"/>
  <c r="O13" i="118" s="1"/>
  <c r="O35" i="118" s="1"/>
  <c r="O37" i="118" s="1"/>
  <c r="K82" i="4"/>
  <c r="B3591" i="106"/>
  <c r="D3591" i="106" s="1"/>
  <c r="D65" i="36"/>
  <c r="F11" i="146" l="1"/>
  <c r="C12" i="146" s="1"/>
  <c r="C83" i="4"/>
  <c r="B6276" i="106" s="1"/>
  <c r="D6276" i="106" s="1"/>
  <c r="B6267" i="106"/>
  <c r="D6267" i="106" s="1"/>
  <c r="B6268" i="106"/>
  <c r="D6268" i="106" s="1"/>
  <c r="D83" i="4"/>
  <c r="B6277" i="106" s="1"/>
  <c r="D6277" i="106" s="1"/>
  <c r="B6269" i="106"/>
  <c r="D6269" i="106" s="1"/>
  <c r="E83" i="4"/>
  <c r="B6278" i="106" s="1"/>
  <c r="D6278" i="106" s="1"/>
  <c r="F83" i="4"/>
  <c r="B6279" i="106" s="1"/>
  <c r="D6279" i="106" s="1"/>
  <c r="B6270" i="106"/>
  <c r="D6270" i="106" s="1"/>
  <c r="G83" i="4"/>
  <c r="B6280" i="106" s="1"/>
  <c r="D6280" i="106" s="1"/>
  <c r="B6271" i="106"/>
  <c r="D6271" i="106" s="1"/>
  <c r="B6272" i="106"/>
  <c r="D6272" i="106" s="1"/>
  <c r="H83" i="4"/>
  <c r="B6281" i="106" s="1"/>
  <c r="D6281" i="106" s="1"/>
  <c r="B6273" i="106"/>
  <c r="D6273" i="106" s="1"/>
  <c r="I83" i="4"/>
  <c r="B6282" i="106" s="1"/>
  <c r="D6282" i="106" s="1"/>
  <c r="J83" i="4"/>
  <c r="B6283" i="106" s="1"/>
  <c r="D6283" i="106" s="1"/>
  <c r="B6274" i="106"/>
  <c r="D6274" i="106" s="1"/>
  <c r="K83" i="4"/>
  <c r="B6284" i="106" s="1"/>
  <c r="D6284" i="106" s="1"/>
  <c r="B6275" i="106"/>
  <c r="D6275" i="106" s="1"/>
  <c r="D29" i="36" l="1"/>
  <c r="J24" i="24"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<sst xmlns="http://schemas.openxmlformats.org/spreadsheetml/2006/main" count="5391" uniqueCount="2284">
  <si>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</si>
  <si>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</si>
  <si>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</si>
  <si>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</si>
  <si>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</si>
  <si>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</si>
  <si>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</si>
  <si>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</si>
  <si>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</si>
  <si>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</si>
  <si>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</si>
  <si>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</si>
  <si>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</si>
  <si>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</si>
  <si>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</si>
  <si>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</si>
  <si>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</si>
  <si>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</si>
  <si>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</si>
  <si>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</si>
  <si>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</si>
  <si>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</si>
  <si>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</si>
  <si>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</si>
  <si>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</si>
  <si>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</si>
  <si>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</si>
  <si>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</si>
  <si>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</si>
  <si>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</si>
  <si>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</si>
  <si>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</si>
  <si>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</si>
  <si>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</si>
  <si>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</si>
  <si>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</si>
  <si>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</si>
  <si>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</si>
  <si>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</si>
  <si>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</si>
  <si>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</si>
  <si>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</si>
  <si>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</si>
  <si>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</si>
  <si>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</si>
  <si>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</si>
  <si>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</si>
  <si>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</si>
  <si>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</si>
  <si>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</si>
  <si>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</si>
  <si>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</si>
  <si>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</si>
  <si>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</si>
  <si>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</si>
  <si>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</si>
  <si>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</si>
  <si>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</si>
  <si>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</si>
  <si>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</si>
  <si>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</si>
  <si>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</si>
  <si>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</si>
  <si>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</si>
  <si>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</si>
  <si>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</si>
  <si>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</si>
  <si>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</si>
  <si>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</si>
  <si>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</si>
  <si>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</si>
  <si>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</si>
  <si>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</si>
  <si>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</si>
  <si>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</si>
  <si>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</si>
  <si>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</si>
  <si>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</si>
  <si>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</si>
  <si>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</si>
  <si>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</si>
  <si>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</si>
  <si>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</si>
  <si>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</si>
  <si>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</si>
  <si>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</si>
  <si>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</si>
  <si>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</si>
  <si>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</si>
  <si>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</si>
  <si>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</si>
  <si>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</si>
  <si>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</si>
  <si>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</si>
  <si>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</si>
  <si>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</si>
  <si>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</si>
  <si>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</si>
  <si>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</si>
  <si>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</si>
  <si>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</si>
  <si>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</si>
  <si>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</si>
  <si>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</si>
  <si>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</si>
  <si>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</si>
  <si>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</si>
  <si>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</si>
  <si>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</si>
  <si>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</si>
  <si>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</si>
  <si>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</si>
  <si>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</si>
  <si>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</si>
  <si>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</si>
  <si>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</si>
  <si>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</si>
  <si>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</si>
  <si>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</si>
  <si>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</si>
  <si>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</si>
  <si>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</si>
  <si>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</si>
  <si>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</si>
  <si>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</si>
  <si>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</si>
  <si>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</si>
  <si>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</si>
  <si>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</si>
  <si>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</si>
  <si>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</si>
  <si>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</si>
  <si>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</si>
  <si>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</si>
  <si>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</si>
  <si>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</si>
  <si>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</si>
  <si>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</si>
  <si>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</si>
  <si>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</si>
  <si>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</si>
  <si>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</si>
  <si>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</si>
  <si>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</si>
  <si>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</si>
  <si>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</si>
  <si>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</si>
  <si>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</si>
  <si>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</si>
  <si>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</si>
  <si>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</si>
  <si>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</si>
  <si>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</si>
  <si>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</si>
  <si>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</si>
  <si>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</si>
  <si>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</si>
  <si>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</si>
  <si>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</si>
  <si>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</si>
  <si>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</si>
  <si>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</si>
  <si>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</si>
  <si>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</si>
  <si>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</si>
  <si>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</si>
  <si>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</si>
  <si>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</si>
  <si>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</si>
  <si>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</si>
  <si>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</si>
  <si>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</si>
  <si>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</si>
  <si>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</si>
  <si>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</si>
  <si>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</si>
  <si>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</si>
  <si>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</si>
  <si>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</si>
  <si>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</si>
  <si>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</si>
  <si>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</si>
  <si>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</si>
  <si>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</si>
  <si>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</si>
  <si>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</si>
  <si>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</si>
  <si>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</si>
  <si>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</si>
  <si>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</si>
  <si>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</si>
  <si>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</si>
  <si>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</si>
  <si>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</si>
  <si>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</si>
  <si>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</si>
  <si>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</si>
  <si>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</si>
  <si>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</si>
  <si>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</si>
  <si>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</si>
  <si>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</si>
  <si>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</si>
  <si>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</si>
  <si>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</si>
  <si>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</si>
  <si>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</si>
  <si>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</si>
  <si>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</si>
  <si>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</si>
  <si>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</si>
  <si>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</si>
  <si>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</si>
  <si>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</si>
  <si>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</si>
  <si>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</si>
  <si>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</si>
  <si>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</si>
  <si>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</si>
  <si>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</si>
  <si>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</si>
  <si>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</si>
  <si>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</si>
  <si>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</si>
  <si>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</si>
  <si>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</si>
  <si>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</si>
  <si>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</si>
  <si>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</si>
  <si>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</si>
  <si>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</si>
  <si>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</si>
  <si>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</si>
  <si>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</si>
  <si>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</si>
  <si>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</si>
  <si>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</si>
  <si>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</si>
  <si>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</si>
  <si>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</si>
  <si>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</si>
  <si>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</si>
  <si>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</si>
  <si>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</si>
  <si>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</si>
  <si>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</si>
  <si>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</si>
  <si>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</si>
  <si>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</si>
  <si>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</si>
  <si>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</si>
  <si>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</si>
  <si>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</si>
  <si>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</si>
  <si>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</si>
  <si>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</si>
  <si>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</si>
  <si>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</si>
  <si>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</si>
  <si>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</si>
  <si>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</si>
  <si>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</si>
  <si>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</si>
  <si>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</si>
  <si>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</si>
  <si>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</si>
  <si>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</si>
  <si>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</si>
  <si>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</si>
  <si>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</si>
  <si>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</si>
  <si>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</si>
  <si>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</si>
  <si>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</si>
  <si>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</si>
  <si>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</si>
  <si>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</si>
  <si>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</si>
  <si>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</si>
  <si>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</si>
  <si>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</si>
  <si>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</si>
  <si>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</si>
  <si>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</si>
  <si>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</si>
  <si>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</si>
  <si>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</si>
  <si>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</si>
  <si>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</si>
  <si>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</si>
  <si>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</si>
  <si>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</si>
  <si>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</si>
  <si>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</si>
  <si>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</si>
  <si>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</si>
  <si>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</si>
  <si>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</si>
  <si>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</si>
  <si>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</si>
  <si>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</si>
  <si>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</si>
  <si>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</si>
  <si>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</si>
  <si>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</si>
  <si>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</si>
  <si>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</si>
  <si>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</si>
  <si>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</si>
  <si>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</si>
  <si>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</si>
  <si>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</si>
  <si>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</si>
  <si>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</si>
  <si>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</si>
  <si>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</si>
  <si>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</si>
  <si>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</si>
  <si>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</si>
  <si>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</si>
  <si>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</si>
  <si>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</si>
  <si>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</si>
  <si>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</si>
  <si>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</si>
  <si>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</si>
  <si>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</si>
  <si>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</si>
  <si>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</si>
  <si>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</si>
  <si>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</si>
  <si>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</si>
  <si>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</si>
  <si>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</si>
  <si>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</si>
  <si>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</si>
  <si>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</si>
  <si>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</si>
  <si>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</si>
  <si>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</si>
  <si>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</si>
  <si>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</si>
  <si>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</si>
  <si>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</si>
  <si>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</si>
  <si>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</si>
  <si>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</si>
  <si>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</si>
  <si>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</si>
  <si>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</si>
  <si>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</si>
  <si>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</si>
  <si>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</si>
  <si>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</si>
  <si>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</si>
  <si>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</si>
  <si>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</si>
  <si>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</si>
  <si>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</si>
  <si>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</si>
  <si>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</si>
  <si>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</si>
  <si>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</si>
  <si>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</si>
  <si>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</si>
  <si>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</si>
  <si>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</si>
  <si>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</si>
  <si>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</si>
  <si>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</si>
  <si>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</si>
  <si>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</si>
  <si>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</si>
  <si>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</si>
  <si>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</si>
  <si>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</si>
  <si>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</si>
  <si>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</si>
  <si>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</si>
  <si>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</si>
  <si>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</si>
  <si>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</si>
  <si>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</si>
  <si>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</si>
  <si>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</si>
  <si>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</si>
  <si>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</si>
  <si>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</si>
  <si>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</si>
  <si>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</si>
  <si>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</si>
  <si>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</si>
  <si>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</si>
  <si>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</si>
  <si>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</si>
  <si>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</si>
  <si>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</si>
  <si>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</si>
  <si>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</si>
  <si>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</si>
  <si>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</si>
  <si>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</si>
  <si>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</si>
  <si>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</si>
  <si>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</si>
  <si>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</si>
  <si>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</si>
  <si>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</si>
  <si>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</si>
  <si>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</si>
  <si>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</si>
  <si>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</si>
  <si>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</si>
  <si>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</si>
  <si>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</si>
  <si>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</si>
  <si>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</si>
  <si>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</si>
  <si>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</si>
  <si>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</si>
  <si>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</si>
  <si>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</si>
  <si>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</si>
  <si>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</si>
  <si>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</si>
  <si>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</si>
  <si>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</si>
  <si>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</si>
  <si>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</si>
  <si>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</si>
  <si>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</si>
  <si>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</si>
  <si>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</si>
  <si>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</si>
  <si>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</si>
  <si>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</si>
  <si>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</si>
  <si>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</si>
  <si>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</si>
  <si>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</si>
  <si>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</si>
  <si>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</si>
  <si>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</si>
  <si>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</si>
  <si>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</si>
  <si>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</si>
  <si>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</si>
  <si>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</si>
  <si>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</si>
  <si>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</si>
  <si>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</si>
  <si>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</si>
  <si>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</si>
  <si>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</si>
  <si>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</si>
  <si>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</si>
  <si>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</si>
  <si>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</si>
  <si>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</si>
  <si>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</si>
  <si>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</si>
  <si>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</si>
  <si>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</si>
  <si>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</si>
  <si>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</si>
  <si>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</si>
  <si>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</si>
  <si>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</si>
  <si>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</si>
  <si>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</si>
  <si>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</si>
  <si>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</si>
  <si>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</si>
  <si>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</si>
  <si>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</si>
  <si>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</si>
  <si>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</si>
  <si>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</si>
  <si>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</si>
  <si>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</si>
  <si>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</si>
  <si>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</si>
  <si>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</si>
  <si>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</si>
  <si>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</si>
  <si>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</si>
  <si>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</si>
  <si>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</si>
  <si>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</si>
  <si>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</si>
  <si>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</si>
  <si>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</si>
  <si>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</si>
  <si>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</si>
  <si>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</si>
  <si>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</si>
  <si>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</si>
  <si>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</si>
  <si>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</si>
  <si>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</si>
  <si>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</si>
  <si>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</si>
  <si>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</si>
  <si>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</si>
  <si>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</si>
  <si>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</si>
  <si>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</si>
  <si>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</si>
  <si>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</si>
  <si>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</si>
  <si>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</si>
  <si>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</si>
  <si>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</si>
  <si>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</si>
  <si>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</si>
  <si>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</si>
  <si>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</si>
  <si>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</si>
  <si>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</si>
  <si>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</si>
  <si>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</si>
  <si>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</si>
  <si>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</si>
  <si>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</si>
  <si>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</si>
  <si>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</si>
  <si>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</si>
  <si>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</si>
  <si>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</si>
  <si>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</si>
  <si>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</si>
  <si>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</si>
  <si>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</si>
  <si>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</si>
  <si>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</si>
  <si>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</si>
  <si>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</si>
  <si>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</si>
  <si>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</si>
  <si>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</si>
  <si>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</si>
  <si>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</si>
  <si>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</si>
  <si>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</si>
  <si>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</si>
  <si>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</si>
  <si>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</si>
  <si>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</si>
  <si>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</si>
  <si>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</si>
  <si>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</si>
  <si>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</si>
  <si>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</si>
  <si>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</si>
  <si>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</si>
  <si>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</si>
  <si>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</si>
  <si>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</si>
  <si>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</si>
  <si>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</si>
  <si>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</si>
  <si>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</si>
  <si>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</si>
  <si>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</si>
  <si>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</si>
  <si>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</si>
  <si>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</si>
  <si>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</si>
  <si>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</si>
  <si>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</si>
  <si>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</si>
  <si>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</si>
  <si>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</si>
  <si>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</si>
  <si>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</si>
  <si>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</si>
  <si>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</si>
  <si>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</si>
  <si>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</si>
  <si>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</si>
  <si>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</si>
  <si>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</si>
  <si>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</si>
  <si>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</si>
  <si>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</si>
  <si>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</si>
  <si>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</si>
  <si>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</si>
  <si>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</si>
  <si>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</si>
  <si>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</si>
  <si>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</si>
  <si>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</si>
  <si>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</si>
  <si>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</si>
  <si>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</si>
  <si>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</si>
  <si>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</si>
  <si>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</si>
  <si>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</si>
  <si>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</si>
  <si>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</si>
  <si>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</si>
  <si>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</si>
  <si>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</si>
  <si>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</si>
  <si>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</si>
  <si>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</si>
  <si>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</si>
  <si>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</si>
  <si>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</si>
  <si>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</si>
  <si>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</si>
  <si>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</si>
  <si>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</si>
  <si>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</si>
  <si>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</si>
  <si>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</si>
  <si>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</si>
  <si>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</si>
  <si>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</si>
  <si>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</si>
  <si>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</si>
  <si>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</si>
  <si>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</si>
  <si>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</si>
  <si>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</si>
  <si>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</si>
  <si>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</si>
  <si>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</si>
  <si>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</si>
  <si>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</si>
  <si>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</si>
  <si>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</si>
  <si>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</si>
  <si>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</si>
  <si>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</si>
  <si>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</si>
  <si>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</si>
  <si>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</si>
  <si>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</si>
  <si>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</si>
  <si>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</si>
  <si>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</si>
  <si>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</si>
  <si>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</si>
  <si>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</si>
  <si>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</si>
  <si>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</si>
  <si>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</si>
  <si>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</si>
  <si>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</si>
  <si>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</si>
  <si>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</si>
  <si>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</si>
  <si>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</si>
  <si>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</si>
  <si>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</si>
  <si>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</si>
  <si>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</si>
  <si>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</si>
  <si>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</si>
  <si>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</si>
  <si>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</si>
  <si>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</si>
  <si>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</si>
  <si>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</si>
  <si>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</si>
  <si>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</si>
  <si>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</si>
  <si>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</si>
  <si>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</si>
  <si>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</si>
  <si>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</si>
  <si>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</si>
  <si>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</si>
  <si>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</si>
  <si>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</si>
  <si>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</si>
  <si>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</si>
  <si>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</si>
  <si>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</si>
  <si>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</si>
  <si>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</si>
  <si>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</si>
  <si>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</si>
  <si>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</si>
  <si>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</si>
  <si>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</si>
  <si>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</si>
  <si>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</si>
  <si>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</si>
  <si>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</si>
  <si>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</si>
  <si>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</si>
  <si>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</si>
  <si>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</si>
  <si>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</si>
  <si>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</si>
  <si>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</si>
  <si>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</si>
  <si>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</si>
  <si>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</si>
  <si>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</si>
  <si>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</si>
  <si>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</si>
  <si>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</si>
  <si>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</si>
  <si>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</si>
  <si>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</si>
  <si>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</si>
  <si>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</si>
  <si>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</si>
  <si>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</si>
  <si>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</si>
  <si>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</si>
  <si>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</si>
  <si>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</si>
  <si>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</si>
  <si>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</si>
  <si>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</si>
  <si>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</si>
  <si>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</si>
  <si>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</si>
  <si>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</si>
  <si>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</si>
  <si>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</si>
  <si>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</si>
  <si>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</si>
  <si>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</si>
  <si>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</si>
  <si>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</si>
  <si>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</si>
  <si>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</si>
  <si>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</si>
  <si>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</si>
  <si>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</si>
  <si>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</si>
  <si>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</si>
  <si>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</si>
  <si>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</si>
  <si>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</si>
  <si>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</si>
  <si>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</si>
  <si>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</si>
  <si>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</si>
  <si>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</si>
  <si>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</si>
  <si>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</si>
  <si>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</si>
  <si>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</si>
  <si>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</si>
  <si>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</si>
  <si>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</si>
  <si>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</si>
  <si>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</si>
  <si>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</si>
  <si>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</si>
  <si>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</si>
  <si>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</si>
  <si>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</si>
  <si>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</si>
  <si>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</si>
  <si>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</si>
  <si>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</si>
  <si>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</si>
  <si>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</si>
  <si>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</si>
  <si>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</si>
  <si>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</si>
  <si>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</si>
  <si>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</si>
  <si>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</si>
  <si>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</si>
  <si>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</si>
  <si>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</si>
  <si>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</si>
  <si>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</si>
  <si>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</si>
  <si>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</si>
  <si>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</si>
  <si>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</si>
  <si>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</si>
  <si>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</si>
  <si>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</si>
  <si>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</si>
  <si>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</si>
  <si>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</si>
  <si>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</si>
  <si>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</si>
  <si>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</si>
  <si>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</si>
  <si>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</si>
  <si>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</si>
  <si>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</si>
  <si>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</si>
  <si>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</si>
  <si>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</si>
  <si>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</si>
  <si>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</si>
  <si>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</si>
  <si>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</si>
  <si>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</si>
  <si>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</si>
  <si>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</si>
  <si>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</si>
  <si>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</si>
  <si>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</si>
  <si>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</si>
  <si>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</si>
  <si>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</si>
  <si>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</si>
  <si>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</si>
  <si>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</si>
  <si>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</si>
  <si>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</si>
  <si>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</si>
  <si>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</si>
  <si>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</si>
  <si>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</si>
  <si>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</si>
  <si>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</si>
  <si>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</si>
  <si>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</si>
  <si>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</si>
  <si>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</si>
  <si>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</si>
  <si>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</si>
  <si>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</si>
  <si>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</si>
  <si>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</si>
  <si>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</si>
  <si>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</si>
  <si>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</si>
  <si>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</si>
  <si>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</si>
  <si>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</si>
  <si>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</si>
  <si>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</si>
  <si>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</si>
  <si>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</si>
  <si>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</si>
  <si>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</si>
  <si>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</si>
  <si>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</si>
  <si>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</si>
  <si>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</si>
  <si>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</si>
  <si>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</si>
  <si>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</si>
  <si>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</si>
  <si>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</si>
  <si>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</si>
  <si>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</si>
  <si>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</si>
  <si>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</si>
  <si>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</si>
  <si>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</si>
  <si>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</si>
  <si>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</si>
  <si>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</si>
  <si>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</si>
  <si>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</si>
  <si>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</si>
  <si>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</si>
  <si>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</si>
  <si>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</si>
  <si>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</si>
  <si>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</si>
  <si>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</si>
  <si>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</si>
  <si>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</si>
  <si>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</si>
  <si>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</si>
  <si>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</si>
  <si>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</si>
  <si>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</si>
  <si>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</si>
  <si>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</si>
  <si>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</si>
  <si>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</si>
  <si>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</si>
  <si>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</si>
  <si>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</si>
  <si>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</si>
  <si>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</si>
  <si>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</si>
  <si>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</si>
  <si>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</si>
  <si>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</si>
  <si>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</si>
  <si>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</si>
  <si>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</si>
  <si>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</si>
  <si>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</si>
  <si>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</si>
  <si>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</si>
  <si>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</si>
  <si>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</si>
  <si>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</si>
  <si>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</si>
  <si>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</si>
  <si>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</si>
  <si>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</si>
  <si>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</si>
  <si>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</si>
  <si>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</si>
  <si>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</si>
  <si>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</si>
  <si>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</si>
  <si>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</si>
  <si>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</si>
  <si>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</si>
  <si>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</si>
  <si>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</si>
  <si>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</si>
  <si>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</si>
  <si>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</si>
  <si>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</si>
  <si>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</si>
  <si>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</si>
  <si>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</si>
  <si>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</si>
  <si>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</si>
  <si>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</si>
  <si>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</si>
  <si>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</si>
  <si>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</si>
  <si>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</si>
  <si>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</si>
  <si>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</si>
  <si>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</si>
  <si>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</si>
  <si>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</si>
  <si>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</si>
  <si>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</si>
  <si>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</si>
  <si>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</si>
  <si>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</si>
  <si>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</si>
  <si>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</si>
  <si>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</si>
  <si>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</si>
  <si>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</si>
  <si>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</si>
  <si>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</si>
  <si>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</si>
  <si>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</si>
  <si>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</si>
  <si>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</si>
  <si>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</si>
  <si>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</si>
  <si>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</si>
  <si>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</si>
  <si>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</si>
  <si>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</si>
  <si>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</si>
  <si>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</si>
  <si>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</si>
  <si>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</si>
  <si>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</si>
  <si>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</si>
  <si>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</si>
  <si>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</si>
  <si>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</si>
  <si>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</si>
  <si>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</si>
  <si>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</si>
  <si>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</si>
  <si>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</si>
  <si>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</si>
  <si>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</si>
  <si>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</si>
  <si>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</si>
  <si>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</si>
  <si>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</si>
  <si>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</si>
  <si>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</si>
  <si>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</si>
  <si>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</si>
  <si>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</si>
  <si>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</si>
  <si>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</si>
  <si>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</si>
  <si>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</si>
  <si>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</si>
  <si>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</si>
  <si>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</si>
  <si>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</si>
  <si>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</si>
  <si>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</si>
  <si>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</si>
  <si>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</si>
  <si>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</si>
  <si>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</si>
  <si>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</si>
  <si>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</si>
  <si>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</si>
  <si>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</si>
  <si>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</si>
  <si>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</si>
  <si>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</si>
  <si>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</si>
  <si>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</si>
  <si>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</si>
  <si>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</si>
  <si>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</si>
  <si>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</si>
  <si>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</si>
  <si>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</si>
  <si>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</si>
  <si>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</si>
  <si>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</si>
  <si>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</si>
  <si>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</si>
  <si>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</si>
  <si>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</si>
  <si>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</si>
  <si>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</si>
  <si>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</si>
  <si>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</si>
  <si>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</si>
  <si>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</si>
  <si>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</si>
  <si>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</si>
  <si>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</si>
  <si>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</si>
  <si>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</si>
  <si>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</si>
  <si>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</si>
  <si>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</si>
  <si>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</si>
  <si>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</si>
  <si>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</si>
  <si>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</si>
  <si>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</si>
  <si>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</si>
  <si>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</si>
  <si>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</si>
  <si>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</si>
  <si>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</si>
  <si>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</si>
  <si>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</si>
  <si>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</si>
  <si>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</si>
  <si>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</si>
  <si>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</si>
  <si>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</si>
  <si>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</si>
  <si>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</si>
  <si>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</si>
  <si>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</si>
  <si>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</si>
  <si>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</si>
  <si>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</si>
  <si>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</si>
  <si>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</si>
  <si>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</si>
  <si>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</si>
  <si>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</si>
  <si>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</si>
  <si>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</si>
  <si>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</si>
  <si>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</si>
  <si>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</si>
  <si>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</si>
  <si>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</si>
  <si>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</si>
  <si>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</si>
  <si>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</si>
  <si>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</si>
  <si>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</si>
  <si>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</si>
  <si>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</si>
  <si>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</si>
  <si>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</si>
  <si>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</si>
  <si>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</si>
  <si>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</si>
  <si>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</si>
  <si>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</si>
  <si>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</si>
  <si>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</si>
  <si>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</si>
  <si>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</si>
  <si>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</si>
  <si>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</si>
  <si>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</si>
  <si>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</si>
  <si>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</si>
  <si>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</si>
  <si>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</si>
  <si>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</si>
  <si>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</si>
  <si>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</si>
  <si>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</si>
  <si>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</si>
  <si>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</si>
  <si>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</si>
  <si>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</si>
  <si>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</si>
  <si>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</si>
  <si>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</si>
  <si>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</si>
  <si>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</si>
  <si>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</si>
  <si>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</si>
  <si>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</si>
  <si>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</si>
  <si>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</si>
  <si>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</si>
  <si>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</si>
  <si>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</si>
  <si>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</si>
  <si>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</si>
  <si>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</si>
  <si>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</si>
  <si>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</si>
  <si>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</si>
  <si>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</si>
  <si>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</si>
  <si>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</si>
  <si>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</si>
  <si>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</si>
  <si>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</si>
  <si>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</si>
  <si>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</si>
  <si>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</si>
  <si>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</si>
  <si>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</si>
  <si>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</si>
  <si>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</si>
  <si>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</si>
  <si>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</si>
  <si>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</si>
  <si>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</si>
  <si>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</si>
  <si>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</si>
  <si>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</si>
  <si>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</si>
  <si>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</si>
  <si>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</si>
  <si>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</si>
  <si>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</si>
  <si>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</si>
  <si>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</si>
  <si>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</si>
  <si>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</si>
  <si>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</si>
  <si>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</si>
  <si>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</si>
  <si>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</si>
  <si>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</si>
  <si>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</si>
  <si>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</si>
  <si>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</si>
  <si>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</si>
  <si>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</si>
  <si>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</si>
  <si>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</si>
  <si>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</si>
  <si>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</si>
  <si>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</si>
  <si>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</si>
  <si>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</si>
  <si>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</si>
  <si>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</si>
  <si>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</si>
  <si>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</si>
  <si>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</si>
  <si>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</si>
  <si>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</si>
  <si>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</si>
  <si>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</si>
  <si>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</si>
  <si>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</si>
  <si>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</si>
  <si>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</si>
  <si>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</si>
  <si>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</si>
  <si>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</si>
  <si>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</si>
  <si>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</si>
  <si>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</si>
  <si>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</si>
  <si>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</si>
  <si>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</si>
  <si>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</si>
  <si>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</si>
  <si>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</si>
  <si>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</si>
  <si>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</si>
  <si>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</si>
  <si>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</si>
  <si>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</si>
  <si>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</si>
  <si>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</si>
  <si>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</si>
  <si>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</si>
  <si>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</si>
  <si>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</si>
  <si>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</si>
  <si>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</si>
  <si>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</si>
  <si>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</si>
  <si>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</si>
  <si>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</si>
  <si>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</si>
  <si>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</si>
  <si>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</si>
  <si>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</si>
  <si>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</si>
  <si>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</si>
  <si>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</si>
  <si>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</si>
  <si>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</si>
  <si>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</si>
  <si>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</si>
  <si>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</si>
  <si>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</si>
  <si>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</si>
  <si>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</si>
  <si>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</si>
  <si>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</si>
  <si>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</si>
  <si>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</si>
  <si>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</si>
  <si>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</si>
  <si>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</si>
  <si>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</si>
  <si>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</si>
  <si>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</si>
  <si>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</si>
  <si>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</si>
  <si>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</si>
  <si>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</si>
  <si>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</si>
  <si>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</si>
  <si>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</si>
  <si>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</si>
  <si>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</si>
  <si>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</si>
  <si>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</si>
  <si>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</si>
  <si>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</si>
  <si>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</si>
  <si>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</si>
  <si>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</si>
  <si>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</si>
  <si>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</si>
  <si>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</si>
  <si>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</si>
  <si>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</si>
  <si>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</si>
  <si>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</si>
  <si>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</si>
  <si>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</si>
  <si>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</si>
  <si>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</si>
  <si>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</si>
  <si>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</si>
  <si>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</si>
  <si>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</si>
  <si>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</si>
  <si>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</si>
  <si>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</si>
  <si>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</si>
  <si>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</si>
  <si>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</si>
  <si>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</si>
  <si>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</si>
  <si>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</si>
  <si>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</si>
  <si>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</si>
  <si>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</si>
  <si>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</si>
  <si>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</si>
  <si>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</si>
  <si>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</si>
  <si>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</si>
  <si>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</si>
  <si>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</si>
  <si>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</si>
  <si>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</si>
  <si>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</si>
  <si>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</si>
  <si>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</si>
  <si>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</si>
  <si>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</si>
  <si>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</si>
  <si>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</si>
  <si>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</si>
  <si>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</si>
  <si>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</si>
  <si>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</si>
  <si>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</si>
  <si>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</si>
  <si>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</si>
  <si>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</si>
  <si>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</si>
  <si>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</si>
  <si>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</si>
  <si>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</si>
  <si>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</si>
  <si>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</si>
  <si>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</si>
  <si>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</si>
  <si>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</si>
  <si>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</si>
  <si>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</si>
  <si>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</si>
  <si>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</si>
  <si>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</si>
  <si>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</si>
  <si>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</si>
  <si>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</si>
  <si>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</si>
  <si>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</si>
  <si>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</si>
  <si>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</si>
  <si>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</si>
  <si>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</si>
  <si>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</si>
  <si>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</si>
  <si>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</si>
  <si>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</si>
  <si>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</si>
  <si>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</si>
  <si>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</si>
  <si>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</si>
  <si>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</si>
  <si>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</si>
  <si>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</si>
  <si>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</si>
  <si>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</si>
  <si>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</si>
  <si>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</si>
  <si>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</si>
  <si>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</si>
  <si>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</si>
  <si>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</si>
  <si>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</si>
  <si>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</si>
  <si>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</si>
  <si>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</si>
  <si>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</si>
  <si>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</si>
  <si>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</si>
  <si>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</si>
  <si>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</si>
  <si>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</si>
  <si>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</si>
  <si>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</si>
  <si>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</si>
  <si>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</si>
  <si>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</si>
  <si>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</si>
  <si>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</si>
  <si>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</si>
  <si>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</si>
  <si>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</si>
  <si>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</si>
  <si>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</si>
  <si>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</si>
  <si>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</si>
  <si>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</si>
  <si>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</si>
  <si>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</si>
  <si>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</si>
  <si>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</si>
  <si>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</si>
  <si>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</si>
  <si>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</si>
  <si>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</si>
  <si>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</si>
  <si>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</si>
  <si>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</si>
  <si>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</si>
  <si>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</si>
  <si>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</si>
  <si>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</si>
  <si>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</si>
  <si>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</si>
  <si>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</si>
  <si>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</si>
  <si>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</si>
  <si>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</si>
  <si>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</si>
  <si>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</si>
  <si>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</si>
  <si>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</si>
  <si>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</si>
  <si>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</si>
  <si>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</si>
  <si>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</si>
  <si>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</si>
  <si>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</si>
  <si>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</si>
  <si>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</si>
  <si>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</si>
  <si>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</si>
  <si>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</si>
  <si>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</si>
  <si>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</si>
  <si>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</si>
  <si>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</si>
  <si>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</si>
  <si>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</si>
  <si>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</si>
  <si>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</si>
  <si>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</si>
  <si>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</si>
  <si>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</si>
  <si>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</si>
  <si>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</si>
  <si>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</si>
  <si>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</si>
  <si>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</si>
  <si>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</si>
  <si>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</si>
  <si>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</si>
  <si>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</si>
  <si>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</si>
  <si>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</si>
  <si>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</si>
  <si>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</si>
  <si>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</si>
  <si>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</si>
  <si>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</si>
  <si>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</si>
  <si>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</si>
  <si>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</si>
  <si>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</si>
  <si>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</si>
  <si>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</si>
  <si>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</si>
  <si>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</si>
  <si>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</si>
  <si>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</si>
  <si>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</si>
  <si>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</si>
  <si>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</si>
  <si>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</si>
  <si>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</si>
  <si>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</si>
  <si>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</si>
  <si>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</si>
  <si>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</si>
  <si>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</si>
  <si>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</si>
  <si>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</si>
  <si>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</si>
  <si>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</si>
  <si>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</si>
  <si>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</si>
  <si>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</si>
  <si>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</si>
  <si>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</si>
  <si>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</si>
  <si>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</si>
  <si>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</si>
  <si>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</si>
  <si>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</si>
  <si>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</si>
  <si>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</si>
  <si>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</si>
  <si>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</si>
  <si>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</si>
  <si>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</si>
  <si>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</si>
  <si>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</si>
  <si>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</si>
  <si>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</si>
  <si>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</si>
  <si>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</si>
  <si>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</si>
  <si>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</si>
  <si>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</si>
  <si>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</si>
  <si>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</si>
  <si>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</si>
  <si>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</si>
  <si>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</si>
  <si>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</si>
  <si>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</si>
  <si>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</si>
  <si>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</si>
  <si>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</si>
  <si>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</si>
  <si>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</si>
  <si>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</si>
  <si>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</si>
  <si>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</si>
  <si>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</si>
  <si>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</si>
  <si>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</si>
  <si>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</si>
  <si>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</si>
  <si>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</si>
  <si>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</si>
  <si>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</si>
  <si>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</si>
  <si>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</si>
  <si>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</si>
  <si>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</si>
  <si>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</si>
  <si>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</si>
  <si>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</si>
  <si>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</si>
  <si>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</si>
  <si>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</si>
  <si>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</si>
  <si>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</si>
  <si>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</si>
  <si>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</si>
  <si>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</si>
  <si>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</si>
  <si>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</si>
  <si>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</si>
  <si>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</si>
  <si>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</si>
  <si>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</si>
  <si>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</si>
  <si>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</si>
  <si>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</si>
  <si>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</si>
  <si>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</si>
  <si>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</si>
  <si>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</si>
  <si>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</si>
  <si>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</si>
  <si>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</si>
  <si>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</si>
  <si>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</si>
  <si>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</si>
  <si>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</si>
  <si>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</si>
  <si>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</si>
  <si>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</si>
  <si>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</si>
  <si>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</si>
  <si>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</si>
  <si>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</si>
  <si>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</si>
  <si>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</si>
  <si>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</si>
  <si>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</si>
  <si>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</si>
  <si>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</si>
  <si>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</si>
  <si>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</si>
  <si>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</si>
  <si>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</si>
  <si>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</si>
  <si>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</si>
  <si>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</si>
  <si>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</si>
  <si>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</si>
  <si>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</si>
  <si>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</si>
  <si>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</si>
  <si>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</si>
  <si>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</si>
  <si>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</si>
  <si>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</si>
  <si>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</si>
  <si>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</si>
  <si>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</si>
  <si>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</si>
  <si>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</si>
  <si>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</si>
  <si>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</si>
  <si>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</si>
  <si>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</si>
  <si>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</si>
  <si>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</si>
  <si>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</si>
  <si>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</si>
  <si>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</si>
  <si>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</si>
  <si>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</si>
  <si>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</si>
  <si>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</si>
  <si>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</si>
  <si>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</si>
  <si>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</si>
  <si>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</si>
  <si>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</si>
  <si>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</si>
  <si>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</si>
  <si>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</si>
  <si>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</si>
  <si>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</si>
  <si>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</si>
  <si>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</si>
  <si>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</si>
  <si>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</si>
  <si>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</si>
  <si>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</si>
  <si>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</si>
  <si>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</si>
  <si>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</si>
  <si>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</si>
  <si>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</si>
  <si>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</si>
  <si>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</si>
  <si>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</si>
  <si>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</si>
  <si>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</si>
  <si>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</si>
  <si>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</si>
  <si>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</si>
  <si>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</si>
  <si>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</si>
  <si>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</si>
  <si>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</si>
  <si>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</si>
  <si>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</si>
  <si>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</si>
  <si>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</si>
  <si>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</si>
  <si>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</si>
  <si>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</si>
  <si>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</si>
  <si>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</si>
  <si>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</si>
  <si>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</si>
  <si>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</si>
  <si>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</si>
  <si>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</si>
  <si>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</si>
  <si>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</si>
  <si>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</si>
  <si>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</si>
  <si>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</si>
  <si>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</si>
  <si>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</si>
  <si>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</si>
  <si>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</si>
  <si>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</si>
  <si>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</si>
  <si>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</si>
  <si>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</si>
  <si>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</si>
  <si>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</si>
  <si>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</si>
  <si>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</si>
  <si>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</si>
  <si>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</si>
  <si>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</si>
  <si>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</si>
  <si>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</si>
  <si>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</si>
  <si>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</si>
  <si>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</si>
  <si>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</si>
  <si>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</si>
  <si>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</si>
  <si>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</si>
  <si>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</si>
  <si>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</si>
  <si>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</si>
  <si>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</si>
  <si>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</si>
  <si>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</si>
  <si>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</si>
  <si>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</si>
  <si>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</si>
  <si>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</si>
  <si>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</si>
  <si>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</si>
  <si>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</si>
  <si>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</si>
  <si>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</si>
  <si>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</si>
  <si>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</si>
  <si>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</si>
  <si>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</si>
  <si>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</si>
  <si>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</si>
  <si>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</si>
  <si>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</si>
  <si>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</si>
  <si>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</si>
  <si>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</si>
  <si>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</si>
  <si>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</si>
  <si>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</si>
  <si>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</si>
  <si>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</si>
  <si>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</si>
  <si>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</si>
  <si>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</si>
  <si>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</si>
  <si>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</si>
  <si>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</si>
  <si>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</si>
  <si>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</si>
  <si>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</si>
  <si>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</si>
  <si>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</si>
  <si>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</si>
  <si>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</si>
  <si>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</si>
  <si>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</si>
  <si>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</si>
  <si>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</si>
  <si>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</si>
  <si>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</si>
  <si>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</si>
  <si>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</si>
  <si>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</si>
  <si>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</si>
  <si>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</si>
  <si>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</si>
  <si>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</si>
  <si>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</si>
  <si>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</si>
  <si>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</si>
  <si>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</si>
  <si>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</si>
  <si>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</si>
  <si>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</si>
  <si>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</si>
  <si>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</si>
  <si>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</si>
  <si>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</si>
  <si>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</si>
  <si>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</si>
  <si>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</si>
  <si>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</si>
  <si>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</si>
  <si>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</si>
  <si>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</si>
  <si>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</si>
  <si>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</si>
  <si>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</si>
  <si>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</si>
  <si>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</si>
  <si>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</si>
  <si>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</si>
  <si>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</si>
  <si>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</si>
  <si>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</si>
  <si>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</si>
  <si>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</si>
  <si>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</si>
  <si>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</si>
  <si>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</si>
  <si>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</si>
  <si>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</si>
  <si>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</si>
  <si>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</si>
  <si>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</si>
  <si>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</si>
  <si>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</si>
  <si>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</si>
  <si>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</si>
  <si>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</si>
  <si>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</si>
  <si>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</si>
  <si>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</si>
  <si>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</si>
  <si>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</si>
  <si>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</si>
  <si>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</si>
  <si>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</si>
  <si>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</si>
  <si>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</si>
  <si>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</si>
  <si>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</si>
  <si>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</si>
  <si>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</si>
  <si>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</si>
  <si>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</si>
  <si>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</si>
  <si>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</si>
  <si>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</si>
  <si>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</si>
  <si>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</si>
  <si>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</si>
  <si>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</si>
  <si>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</si>
  <si>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</si>
  <si>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</si>
  <si>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</si>
  <si>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</si>
  <si>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</si>
  <si>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</si>
  <si>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</si>
  <si>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</si>
  <si>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</si>
  <si>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</si>
  <si>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</si>
  <si>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</si>
  <si>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</si>
  <si>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</si>
  <si>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</si>
  <si>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</si>
  <si>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</si>
  <si>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</si>
  <si>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</si>
  <si>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</si>
  <si>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</si>
  <si>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</si>
  <si>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</si>
  <si>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</si>
  <si>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</si>
  <si>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</si>
  <si>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</si>
  <si>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</si>
  <si>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</si>
  <si>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</si>
  <si>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</si>
  <si>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</si>
  <si>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</si>
  <si>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</si>
  <si>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</si>
  <si>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</si>
  <si>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</si>
  <si>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</si>
  <si>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</si>
  <si>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</si>
  <si>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</si>
  <si>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</si>
  <si>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</si>
  <si>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</si>
  <si>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</si>
  <si>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</si>
  <si>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</si>
  <si>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</si>
  <si>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</si>
  <si>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</si>
  <si>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</si>
  <si>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</si>
  <si>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</si>
  <si>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</si>
  <si>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</si>
  <si>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</si>
  <si>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</si>
  <si>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</si>
  <si>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</si>
  <si>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</si>
  <si>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</si>
  <si>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</si>
  <si>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</si>
  <si>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</si>
  <si>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</si>
  <si>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</si>
  <si>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</si>
  <si>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</si>
  <si>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</si>
  <si>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</si>
  <si>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</si>
  <si>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</si>
  <si>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</si>
  <si>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</si>
  <si>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</si>
  <si>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</si>
  <si>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</si>
  <si>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</si>
  <si>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</si>
  <si>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</si>
  <si>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</si>
  <si>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</si>
  <si>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</si>
  <si>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</si>
  <si>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</si>
  <si>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</si>
  <si>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</si>
  <si>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</si>
  <si>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</si>
  <si>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</si>
  <si>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</si>
  <si>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</si>
  <si>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</si>
  <si>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</si>
  <si>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</si>
  <si>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</si>
  <si>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</si>
  <si>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</si>
  <si>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</si>
  <si>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</si>
  <si>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</si>
  <si>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</si>
  <si>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</si>
  <si>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</si>
  <si>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</si>
  <si>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</si>
  <si>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</si>
  <si>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</si>
  <si>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</si>
  <si>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</si>
  <si>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</si>
  <si>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</si>
  <si>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</si>
  <si>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</si>
  <si>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</si>
  <si>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</si>
  <si>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</si>
  <si>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</si>
  <si>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</si>
  <si>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</si>
  <si>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</si>
  <si>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</si>
  <si>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</si>
  <si>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</si>
  <si>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</si>
  <si>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</si>
  <si>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</si>
  <si>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</si>
  <si>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</si>
  <si>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</si>
  <si>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</si>
  <si>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</si>
  <si>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</si>
  <si>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</si>
  <si>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</si>
  <si>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</si>
  <si>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</si>
  <si>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</si>
  <si>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</si>
  <si>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</si>
  <si>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</si>
  <si>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</si>
  <si>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</si>
  <si>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</si>
  <si>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</si>
  <si>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</si>
  <si>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</si>
  <si>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</si>
  <si>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</si>
  <si>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</si>
  <si>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</si>
  <si>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</si>
  <si>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</si>
  <si>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</si>
  <si>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</si>
  <si>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</si>
  <si>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</si>
  <si>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</si>
  <si>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</si>
  <si>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</si>
  <si>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</si>
  <si>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</si>
  <si>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</si>
  <si>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</si>
  <si>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</si>
  <si>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</si>
  <si>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</si>
  <si>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</si>
  <si>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</si>
  <si>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</si>
  <si>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</si>
  <si>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</si>
  <si>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</si>
  <si>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</si>
  <si>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</si>
  <si>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</si>
  <si>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</si>
  <si>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</si>
  <si>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</si>
  <si>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</si>
  <si>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</si>
  <si>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</si>
  <si>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</si>
  <si>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</si>
  <si>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</si>
  <si>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</si>
  <si>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</si>
  <si>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</si>
  <si>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</si>
  <si>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</si>
  <si>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</si>
  <si>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</si>
  <si>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</si>
  <si>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</si>
  <si>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</si>
  <si>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</si>
  <si>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</si>
  <si>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</si>
  <si>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</si>
  <si>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</si>
  <si>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</si>
  <si>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</si>
  <si>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</si>
  <si>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</si>
  <si>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</si>
  <si>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</si>
  <si>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</si>
  <si>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</si>
  <si>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</si>
  <si>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</si>
  <si>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</si>
  <si>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</si>
  <si>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</si>
  <si>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</si>
  <si>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</si>
  <si>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</si>
  <si>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</si>
  <si>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</si>
  <si>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</si>
  <si>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</si>
  <si>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</si>
  <si>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</si>
  <si>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</si>
  <si>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</si>
  <si>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</si>
  <si>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</si>
  <si>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</si>
  <si>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</si>
  <si>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</si>
  <si>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</si>
  <si>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</si>
  <si>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</si>
  <si>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</si>
  <si>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</si>
  <si>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</si>
  <si>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</si>
  <si>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</si>
  <si>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</si>
  <si>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</si>
  <si>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</si>
  <si>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</si>
  <si>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</si>
  <si>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</si>
  <si>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</si>
  <si>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</si>
  <si>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</si>
  <si>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</si>
  <si>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</si>
  <si>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</si>
  <si>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</si>
  <si>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</si>
  <si>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</si>
  <si>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</si>
  <si>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</si>
  <si>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</si>
  <si>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</si>
  <si>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</si>
  <si>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</si>
  <si>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</si>
  <si>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</si>
  <si>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</si>
  <si>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</si>
  <si>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</si>
  <si>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</si>
  <si>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</si>
  <si>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</si>
  <si>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</si>
  <si>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</si>
  <si>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</si>
  <si>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</si>
  <si>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</si>
  <si>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</si>
  <si>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</si>
  <si>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</si>
  <si>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</si>
  <si>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</si>
  <si>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</si>
  <si>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</si>
  <si>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</si>
  <si>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</si>
  <si>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</si>
  <si>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</si>
  <si>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</si>
  <si>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</si>
  <si>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</si>
  <si>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</si>
  <si>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</si>
  <si>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</si>
  <si>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</si>
  <si>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</si>
  <si>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</si>
  <si>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</si>
  <si>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</si>
  <si>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</si>
  <si>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</si>
  <si>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</si>
  <si>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</si>
  <si>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</si>
  <si>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Russell J. Rumbold II, CPA</t>
  </si>
  <si>
    <t>rrumbold@gornezcpa.com</t>
  </si>
  <si>
    <t>Henry</t>
  </si>
  <si>
    <t>Kewanee Community Unit School District No. 229</t>
  </si>
  <si>
    <t>1001 N. Main</t>
  </si>
  <si>
    <t>309-853-3341</t>
  </si>
  <si>
    <t>309-852-5504</t>
  </si>
  <si>
    <t xml:space="preserve">Dr. Chris Sullens </t>
  </si>
  <si>
    <t>csullens@kcud229.org</t>
  </si>
  <si>
    <t>28-037-2290-26</t>
  </si>
  <si>
    <t>Qzab Bonds</t>
  </si>
  <si>
    <t>2013 Alternate Revenue Bond</t>
  </si>
  <si>
    <t>2015 G.O. Bond</t>
  </si>
  <si>
    <t>Alternate Revenue</t>
  </si>
  <si>
    <t>QZAB Bonds</t>
  </si>
  <si>
    <t>G.O. Bond</t>
  </si>
  <si>
    <t>x</t>
  </si>
  <si>
    <t>ABCD w/ Wetherfield Schools and the Stepladder After School Tutoring Program</t>
  </si>
  <si>
    <t xml:space="preserve">Visitation Catholic/YMCA/Headstart/Geneseo &amp; Other Sch Dists </t>
  </si>
  <si>
    <t>IL. Association of School Boards</t>
  </si>
  <si>
    <t>Burera Henry Stark Regional Office of Education/WIU</t>
  </si>
  <si>
    <t>BHS ROE PK Program</t>
  </si>
  <si>
    <t>Bureau Henry Stark ROE (copy paper)</t>
  </si>
  <si>
    <t>Annawan &amp; Wethersfield College for Kids Transportation</t>
  </si>
  <si>
    <t>QCCTEC-East Moline, IL</t>
  </si>
  <si>
    <t>Visitation TIT and II</t>
  </si>
  <si>
    <t>YMCA/Field Trips and Blackhawk College/Bridgeway Counseling</t>
  </si>
  <si>
    <t>There were no findings for the prior year ending June 30, 2017</t>
  </si>
  <si>
    <t>SKYWARD</t>
  </si>
  <si>
    <t>CHADDOCK</t>
  </si>
  <si>
    <t>NORTHERN ILLINOIS ACADEMY</t>
  </si>
  <si>
    <t>THE HOPE INSTITUTE</t>
  </si>
  <si>
    <t>CAMALOT CHG ALTERNATIVE ED</t>
  </si>
  <si>
    <t>THE HOPE SCHOOL</t>
  </si>
  <si>
    <t>KEWANEE PARK DISTRICT</t>
  </si>
  <si>
    <t>ED-EDUCATION MEDIA SERV-GENERAL SUPPLIES</t>
  </si>
  <si>
    <t>FIREFLY COMPUTERS</t>
  </si>
  <si>
    <t>ED-BD OF EDUC SERVICES-LEGAL</t>
  </si>
  <si>
    <t>KLEIN, THORPE, AND JENKINS LTD</t>
  </si>
  <si>
    <t>ED-PRINCIPALS-REPAIR &amp; MAINT SERVICES</t>
  </si>
  <si>
    <t>OFFICE MACHINE CONSULTANTS</t>
  </si>
  <si>
    <t>ED-FOOD SERVICES-FOOD</t>
  </si>
  <si>
    <t>ENYEART DISTRIBUTING</t>
  </si>
  <si>
    <t>KOHL WHOLESALES</t>
  </si>
  <si>
    <t>OPER/BLDG-MAINT-REPAIR &amp; MAINT</t>
  </si>
  <si>
    <t>SIMPLEX</t>
  </si>
  <si>
    <t>OPER/BLDG-MAINT-TELEPHONE SERVICE</t>
  </si>
  <si>
    <t>CAMBRIDGE TELEPHONE SERVICES INC</t>
  </si>
  <si>
    <t>FRONTIER</t>
  </si>
  <si>
    <t>OPER/BLDG-MAINT/WATER/SEWER</t>
  </si>
  <si>
    <t>CITY OF KEWANEE</t>
  </si>
  <si>
    <t>OPER/BLDG-MAINT-GENERAL SUPPLIES</t>
  </si>
  <si>
    <t>WILSON PAPER</t>
  </si>
  <si>
    <t>OPER/BLDG-MAINT-NATURAL GAS</t>
  </si>
  <si>
    <t>CONSTELLATION NEW ENERGY GAS</t>
  </si>
  <si>
    <t>OPER/BLDG-MAINT-ELECTRIC</t>
  </si>
  <si>
    <t>AMEREN IP</t>
  </si>
  <si>
    <t>NEXTERA ENERGY SERVICES</t>
  </si>
  <si>
    <t>TRANS-PUPIL TRANSP-OTHER PURCH SERVICES</t>
  </si>
  <si>
    <t>KS STATE BANK</t>
  </si>
  <si>
    <t>MIDWEST TRANSIT EQUIPMENT, INC</t>
  </si>
  <si>
    <t>SANTANDER LEASING LC</t>
  </si>
  <si>
    <t>No Subrecipients</t>
  </si>
  <si>
    <t>Unmodified</t>
  </si>
  <si>
    <t>10.553, 10.555, 10.559</t>
  </si>
  <si>
    <t>None</t>
  </si>
  <si>
    <t>The opinion is adverse due to the use of the Regulatory Basis of Accounting.</t>
  </si>
  <si>
    <r>
      <t xml:space="preserve">The accompanying Schedule of Expenditures of Federal Awards includes the federal grant activity of </t>
    </r>
    <r>
      <rPr>
        <b/>
        <sz val="9"/>
        <rFont val="Calibri"/>
        <family val="2"/>
        <scheme val="minor"/>
      </rPr>
      <t>Kewanee CUSD #229</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</si>
  <si>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Kewanee CUSD #229</t>
    </r>
    <r>
      <rPr>
        <sz val="9"/>
        <rFont val="Calibri"/>
        <family val="2"/>
        <scheme val="minor"/>
      </rPr>
      <t xml:space="preserve"> provided federal awards to subrecipients as follows:</t>
    </r>
  </si>
  <si>
    <t>Note 4: - Relationship to Basic Financial Statements and Program Financial Reports</t>
  </si>
  <si>
    <t>Note 5:  Non-Cash Assistance</t>
  </si>
  <si>
    <t>Note 6:  Other Information</t>
  </si>
  <si>
    <r>
      <t xml:space="preserve">The following amounts were expended in the form of non-cash assistance by </t>
    </r>
    <r>
      <rPr>
        <b/>
        <sz val="9"/>
        <rFont val="Calibri"/>
        <family val="2"/>
        <scheme val="minor"/>
      </rPr>
      <t>Kewanee CUSD #229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</si>
  <si>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as receipts from federal sources.</t>
  </si>
  <si>
    <t>Federal awards received are reflected in the District's financial statements within the Educational Fund</t>
  </si>
  <si>
    <t xml:space="preserve">Amounts recorded in the accompanying Schedule of Financial Awards agree with the amounts reported </t>
  </si>
  <si>
    <t>in the Program Financial Reports for programs which have filed final reports as of June 30, 2018.</t>
  </si>
  <si>
    <t>Child Nutrition Cluster</t>
  </si>
  <si>
    <t>2018 Alternative Revenue Bond</t>
  </si>
  <si>
    <t>10-1000-300</t>
  </si>
  <si>
    <t>10-2560-400</t>
  </si>
  <si>
    <t>20-2540-300</t>
  </si>
  <si>
    <t>20-2540-400</t>
  </si>
  <si>
    <t>10-2200-400</t>
  </si>
  <si>
    <t>10-2300-300</t>
  </si>
  <si>
    <t>10-2400-300</t>
  </si>
  <si>
    <t>40-2550-300</t>
  </si>
  <si>
    <t>ED-INSTRUCTION-PUR SERV</t>
  </si>
  <si>
    <t>ED-INTSTRUCTION-TUITION</t>
  </si>
  <si>
    <t>Commodities</t>
  </si>
  <si>
    <t>Page 10, Line 74 - Food sales &amp; rebates</t>
  </si>
  <si>
    <t>Page 10, Line 72 - Milk sales</t>
  </si>
  <si>
    <t>Page 12, Line 171 - Healthy Community Investment Grant</t>
  </si>
  <si>
    <t>Page 13, Line 200 - Equipment Assistance Grant</t>
  </si>
  <si>
    <t xml:space="preserve">Henry- Stark Special Education Association </t>
  </si>
  <si>
    <t>Page 9, Line 17 - TIF Receipts</t>
  </si>
  <si>
    <t>066-005027</t>
  </si>
  <si>
    <t>see embedded PDF version</t>
  </si>
  <si>
    <t>Year Ended June 30, 2018</t>
  </si>
  <si>
    <t>ISBE</t>
  </si>
  <si>
    <t xml:space="preserve">          Receipts/Revenues          </t>
  </si>
  <si>
    <t xml:space="preserve">  Expenditures/Disbursements  </t>
  </si>
  <si>
    <t>Project</t>
  </si>
  <si>
    <t>Prior to</t>
  </si>
  <si>
    <t>7/01/17 -</t>
  </si>
  <si>
    <t>Final</t>
  </si>
  <si>
    <t>Federal Grantor/Pass-Through Grantor,</t>
  </si>
  <si>
    <t>Number</t>
  </si>
  <si>
    <t>6/30/17</t>
  </si>
  <si>
    <t>6/30/18</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</si>
  <si>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</si>
  <si>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</si>
  <si>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</si>
  <si>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</si>
  <si>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</si>
  <si>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</si>
  <si>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</si>
  <si>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</si>
  <si>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</si>
  <si>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t>
  </si>
  <si>
    <t xml:space="preserve">         (H)         </t>
  </si>
  <si>
    <t xml:space="preserve">         (I)         </t>
  </si>
  <si>
    <t xml:space="preserve">U.S. Department of Agriculture - </t>
  </si>
  <si>
    <t xml:space="preserve">   Pass-through program from</t>
  </si>
  <si>
    <t xml:space="preserve">   Illinois State Board of Education</t>
  </si>
  <si>
    <t xml:space="preserve">(M) </t>
  </si>
  <si>
    <t>School Lunch - Regular, Free &amp; Reduced</t>
  </si>
  <si>
    <t>10.555</t>
  </si>
  <si>
    <t>17-4210-00</t>
  </si>
  <si>
    <t>N/A</t>
  </si>
  <si>
    <t>18-4210-00</t>
  </si>
  <si>
    <t>Food Donation</t>
  </si>
  <si>
    <t>FY17</t>
  </si>
  <si>
    <t>FY18</t>
  </si>
  <si>
    <t>DOD - Fresh Fruits &amp; Vegetables</t>
  </si>
  <si>
    <t>17-4220-00</t>
  </si>
  <si>
    <t>18-4220-00</t>
  </si>
  <si>
    <t>17-4225-00</t>
  </si>
  <si>
    <t>18-4225-00</t>
  </si>
  <si>
    <t>NSLP Equipment Assistance</t>
  </si>
  <si>
    <t>18-4260-16</t>
  </si>
  <si>
    <t>Fresh Fruits and Vegetables</t>
  </si>
  <si>
    <t>14-4240-12</t>
  </si>
  <si>
    <t>14-4240-13</t>
  </si>
  <si>
    <t xml:space="preserve">Total U.S. Department of Agriculture - Pass-through programs  </t>
  </si>
  <si>
    <t xml:space="preserve">U.S . Department of Education - </t>
  </si>
  <si>
    <t>Title V - Rural Education Initiative</t>
  </si>
  <si>
    <t>84.358B</t>
  </si>
  <si>
    <t>18-4107-00</t>
  </si>
  <si>
    <t>84.010</t>
  </si>
  <si>
    <t>17-4300-00</t>
  </si>
  <si>
    <t>18-4300-00</t>
  </si>
  <si>
    <t>IDEA - Room &amp; Board</t>
  </si>
  <si>
    <t>17-4625-00</t>
  </si>
  <si>
    <t>18-4625-00</t>
  </si>
  <si>
    <t>12-4625-XC</t>
  </si>
  <si>
    <t>13-4625-XC</t>
  </si>
  <si>
    <t>Title II - Teacher Qualtity</t>
  </si>
  <si>
    <t>17-4932-00</t>
  </si>
  <si>
    <t>18-4932-00</t>
  </si>
  <si>
    <t>Title III - Lang Inst. Program - Ltd English</t>
  </si>
  <si>
    <t>17-4909-00</t>
  </si>
  <si>
    <t>18-4909-00</t>
  </si>
  <si>
    <t>Total U.S. Department of Education - Pass-through programs from ISBE</t>
  </si>
  <si>
    <t xml:space="preserve">   Flow-through program from</t>
  </si>
  <si>
    <t>Henry-Stark Special Education Cooperative</t>
  </si>
  <si>
    <t>IDEA Flow Through</t>
  </si>
  <si>
    <t>16-4620-00</t>
  </si>
  <si>
    <t>17-4620-00</t>
  </si>
  <si>
    <t>Total U.S. Department of Education - Pass-through programs from Henry Stark SEA</t>
  </si>
  <si>
    <t>Direct grant to Neponset CCSD 307 -</t>
  </si>
  <si>
    <t>Small Rural School Acheivement Grant</t>
  </si>
  <si>
    <t>S358A112779</t>
  </si>
  <si>
    <t>Total U.S. Department of Education - Direct</t>
  </si>
  <si>
    <t xml:space="preserve">   Quad City Career and Technicl Education Consortium</t>
  </si>
  <si>
    <t>Title II - Perkins Secondary</t>
  </si>
  <si>
    <t>84.048A</t>
  </si>
  <si>
    <t>06-4745-00</t>
  </si>
  <si>
    <t>07-4745-00</t>
  </si>
  <si>
    <t>Title III E- Tech Prep</t>
  </si>
  <si>
    <t>11-4770-00</t>
  </si>
  <si>
    <t>Total U.S. Department of Education - Pass-through programs from QCCTEC</t>
  </si>
  <si>
    <t>Total U.S. Department of Education</t>
  </si>
  <si>
    <t xml:space="preserve">U.S . Department of Health and Human Services - </t>
  </si>
  <si>
    <t xml:space="preserve">   Illinois Department of Healthcare &amp; Family Services</t>
  </si>
  <si>
    <t>Medicaid-Administrative Outreach</t>
  </si>
  <si>
    <t>17-4991-00</t>
  </si>
  <si>
    <t>18-4991-00</t>
  </si>
  <si>
    <t>Total U. S. Department of Health and Human Services - Pass-through program</t>
  </si>
  <si>
    <t>Total Federal Awards</t>
  </si>
  <si>
    <t>Total Federal Awards Passed Through Illinois State Board of Education</t>
  </si>
  <si>
    <t>Total Federal Awards Passed Through Other Entites</t>
  </si>
  <si>
    <t>(M) Indicates Major Federal Financial Assistance Program.</t>
  </si>
  <si>
    <t>(1) Carryover from prior year project per ISBE.</t>
  </si>
  <si>
    <t>(2) Project not complete as of June 30, 2018</t>
  </si>
  <si>
    <t>(3) Nonmonetary assistance is reported in the schedule at the fair market value of the commodities received and disbursed</t>
  </si>
  <si>
    <t>*** - No Subrecipients</t>
  </si>
  <si>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</si>
  <si>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</si>
  <si>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</si>
  <si>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</si>
  <si>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Kewanee CUSD 229</t>
  </si>
  <si>
    <t>Kewanee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</si>
</sst>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_(* #,##0_);_(* \(#,##0\);_(* &quot;-&quot;??_);_(@_)"/>
    <numFmt numFmtId="184" formatCode="_(* #,##0_);_(* \(#,##0\);_(* &quot;0&quot;_);_(@_)"/>
    <numFmt numFmtId="185" formatCode="#,##0.000_);\(#,##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b/>
      <sz val="12"/>
      <name val="Times New Roman"/>
      <family val="1"/>
    </font>
    <font>
      <sz val="11"/>
      <name val="Times New Roman"/>
      <family val="1"/>
    </font>
    <font>
      <b/>
      <sz val="10"/>
      <name val="Times New Roman"/>
      <family val="1"/>
    </font>
    <font>
      <b/>
      <sz val="11"/>
      <name val="Times New Roman"/>
      <family val="1"/>
    </font>
    <font>
      <u/>
      <sz val="10"/>
      <name val="Times New Roman"/>
      <family val="1"/>
    </font>
    <font>
      <u val="singleAccounting"/>
      <sz val="10"/>
      <name val="Times New Roman"/>
      <family val="1"/>
    </font>
    <font>
      <u val="doubleAccounting"/>
      <sz val="10"/>
      <name val="Times New Roman"/>
      <family val="1"/>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top style="thin">
        <color indexed="64"/>
      </top>
      <bottom style="thin">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9" fillId="0" borderId="0"/>
    <xf numFmtId="0" fontId="51" fillId="0" borderId="0" applyNumberFormat="0" applyFill="0" applyBorder="0" applyAlignment="0" applyProtection="0"/>
    <xf numFmtId="0" fontId="8" fillId="0" borderId="0"/>
    <xf numFmtId="0" fontId="7" fillId="0" borderId="0"/>
    <xf numFmtId="0" fontId="4" fillId="0" borderId="0"/>
    <xf numFmtId="37" fontId="137" fillId="0" borderId="0"/>
    <xf numFmtId="43" fontId="44" fillId="0" borderId="0" applyFont="0" applyFill="0" applyBorder="0" applyAlignment="0" applyProtection="0"/>
    <xf numFmtId="9" fontId="44" fillId="0" borderId="0" applyFont="0" applyFill="0" applyBorder="0" applyAlignment="0" applyProtection="0"/>
  </cellStyleXfs>
  <cellXfs count="261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49"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7"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6"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3" fillId="0" borderId="0" xfId="2" applyNumberFormat="1" applyAlignment="1" applyProtection="1">
      <alignment vertical="center"/>
    </xf>
    <xf numFmtId="0" fontId="63"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4"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4"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3"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54" fillId="0" borderId="144" xfId="3" applyFont="1" applyBorder="1" applyProtection="1"/>
    <xf numFmtId="0" fontId="54" fillId="0" borderId="0" xfId="3" applyFont="1" applyBorder="1" applyProtection="1">
      <protection locked="0"/>
    </xf>
    <xf numFmtId="0" fontId="54" fillId="0" borderId="0" xfId="3" applyFont="1" applyBorder="1" applyAlignment="1" applyProtection="1">
      <alignment horizontal="center"/>
      <protection locked="0"/>
    </xf>
    <xf numFmtId="0" fontId="54" fillId="0" borderId="150" xfId="3" applyFont="1" applyBorder="1" applyProtection="1">
      <protection locked="0"/>
    </xf>
    <xf numFmtId="0" fontId="54" fillId="0" borderId="166" xfId="3" applyFont="1" applyBorder="1" applyAlignment="1" applyProtection="1">
      <alignment horizontal="center"/>
      <protection locked="0"/>
    </xf>
    <xf numFmtId="49" fontId="2"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37" fontId="44" fillId="0" borderId="0" xfId="19" applyFont="1" applyAlignment="1">
      <alignment horizontal="center"/>
    </xf>
    <xf numFmtId="37" fontId="44" fillId="0" borderId="0" xfId="19" applyFont="1"/>
    <xf numFmtId="37" fontId="44" fillId="0" borderId="0" xfId="19" applyFont="1" applyBorder="1"/>
    <xf numFmtId="37" fontId="44" fillId="0" borderId="0" xfId="19" applyFont="1" applyBorder="1" applyAlignment="1">
      <alignment horizontal="center"/>
    </xf>
    <xf numFmtId="37" fontId="44" fillId="0" borderId="0" xfId="19" applyFont="1" applyBorder="1" applyAlignment="1">
      <alignment horizontal="right"/>
    </xf>
    <xf numFmtId="37" fontId="137" fillId="0" borderId="0" xfId="19"/>
    <xf numFmtId="37" fontId="44" fillId="0" borderId="0" xfId="19" applyFont="1" applyAlignment="1">
      <alignment horizontal="centerContinuous" vertical="center"/>
    </xf>
    <xf numFmtId="37" fontId="138" fillId="0" borderId="0" xfId="19" applyFont="1" applyAlignment="1">
      <alignment horizontal="centerContinuous" vertical="center"/>
    </xf>
    <xf numFmtId="37" fontId="44" fillId="0" borderId="0" xfId="19" applyFont="1" applyAlignment="1">
      <alignment vertical="center"/>
    </xf>
    <xf numFmtId="37" fontId="44" fillId="0" borderId="0" xfId="19" applyFont="1" applyAlignment="1">
      <alignment horizontal="center" vertical="center"/>
    </xf>
    <xf numFmtId="37" fontId="137" fillId="0" borderId="0" xfId="19" applyAlignment="1">
      <alignment vertical="center"/>
    </xf>
    <xf numFmtId="37" fontId="139" fillId="0" borderId="0" xfId="19" applyFont="1" applyBorder="1" applyAlignment="1">
      <alignment vertical="center"/>
    </xf>
    <xf numFmtId="37" fontId="44" fillId="0" borderId="0" xfId="19" applyFont="1" applyBorder="1" applyAlignment="1">
      <alignment vertical="center"/>
    </xf>
    <xf numFmtId="37" fontId="44" fillId="0" borderId="0" xfId="19" applyFont="1" applyBorder="1" applyAlignment="1">
      <alignment horizontal="center" vertical="center"/>
    </xf>
    <xf numFmtId="37" fontId="139" fillId="0" borderId="0" xfId="19" applyFont="1" applyAlignment="1">
      <alignment horizontal="centerContinuous" vertical="center"/>
    </xf>
    <xf numFmtId="37" fontId="140" fillId="0" borderId="0" xfId="19" applyFont="1" applyBorder="1" applyAlignment="1">
      <alignment vertical="center"/>
    </xf>
    <xf numFmtId="37" fontId="44" fillId="0" borderId="0" xfId="19" applyFont="1" applyAlignment="1">
      <alignment horizontal="left" vertical="center"/>
    </xf>
    <xf numFmtId="37" fontId="44" fillId="0" borderId="142" xfId="19" applyFont="1" applyBorder="1" applyAlignment="1">
      <alignment horizontal="centerContinuous" vertical="center"/>
    </xf>
    <xf numFmtId="37" fontId="44" fillId="0" borderId="142" xfId="19" applyFont="1" applyBorder="1" applyAlignment="1">
      <alignment horizontal="left" vertical="center"/>
    </xf>
    <xf numFmtId="37" fontId="44" fillId="0" borderId="142" xfId="19" applyFont="1" applyBorder="1" applyAlignment="1">
      <alignment vertical="center"/>
    </xf>
    <xf numFmtId="37" fontId="44" fillId="0" borderId="142" xfId="19" applyFont="1" applyBorder="1" applyAlignment="1">
      <alignment horizontal="center" vertical="center"/>
    </xf>
    <xf numFmtId="37" fontId="44" fillId="0" borderId="0" xfId="19" applyFont="1" applyBorder="1" applyAlignment="1">
      <alignment horizontal="left" vertical="center"/>
    </xf>
    <xf numFmtId="37" fontId="142" fillId="0" borderId="0" xfId="19" applyFont="1" applyBorder="1" applyAlignment="1">
      <alignment horizontal="centerContinuous" vertical="center"/>
    </xf>
    <xf numFmtId="37" fontId="44" fillId="0" borderId="0" xfId="19" quotePrefix="1" applyFont="1" applyAlignment="1">
      <alignment horizontal="center" vertical="center"/>
    </xf>
    <xf numFmtId="14" fontId="44" fillId="0" borderId="0" xfId="19" quotePrefix="1" applyNumberFormat="1" applyFont="1" applyAlignment="1">
      <alignment horizontal="center" vertical="center"/>
    </xf>
    <xf numFmtId="14" fontId="44" fillId="0" borderId="0" xfId="19" applyNumberFormat="1" applyFont="1" applyAlignment="1">
      <alignment horizontal="center" vertical="center"/>
    </xf>
    <xf numFmtId="37" fontId="142" fillId="0" borderId="0" xfId="19" applyFont="1" applyAlignment="1">
      <alignment horizontal="left" vertical="center"/>
    </xf>
    <xf numFmtId="37" fontId="142" fillId="0" borderId="0" xfId="19" applyFont="1" applyAlignment="1">
      <alignment horizontal="center" vertical="center"/>
    </xf>
    <xf numFmtId="37" fontId="142" fillId="0" borderId="0" xfId="19" applyNumberFormat="1" applyFont="1" applyAlignment="1" applyProtection="1">
      <alignment horizontal="center" vertical="center"/>
    </xf>
    <xf numFmtId="37" fontId="44" fillId="0" borderId="0" xfId="19" applyNumberFormat="1" applyFont="1" applyAlignment="1" applyProtection="1">
      <alignment vertical="center"/>
    </xf>
    <xf numFmtId="37" fontId="44" fillId="0" borderId="0" xfId="19" applyNumberFormat="1" applyFont="1" applyAlignment="1" applyProtection="1">
      <alignment horizontal="center" vertical="center"/>
    </xf>
    <xf numFmtId="37" fontId="140" fillId="0" borderId="0" xfId="19" applyFont="1" applyAlignment="1">
      <alignment horizontal="left" vertical="center"/>
    </xf>
    <xf numFmtId="37" fontId="140" fillId="0" borderId="0" xfId="19" applyFont="1" applyAlignment="1">
      <alignment vertical="center"/>
    </xf>
    <xf numFmtId="37" fontId="44" fillId="0" borderId="0" xfId="19" applyFont="1" applyAlignment="1">
      <alignment horizontal="right" vertical="center"/>
    </xf>
    <xf numFmtId="181" fontId="44" fillId="0" borderId="0" xfId="19" applyNumberFormat="1" applyFont="1" applyAlignment="1" applyProtection="1">
      <alignment horizontal="center" vertical="center"/>
    </xf>
    <xf numFmtId="37" fontId="44" fillId="0" borderId="0" xfId="19" applyFont="1" applyFill="1" applyAlignment="1">
      <alignment horizontal="center" vertical="center"/>
    </xf>
    <xf numFmtId="182" fontId="44" fillId="0" borderId="0" xfId="19" applyNumberFormat="1" applyFont="1" applyFill="1" applyAlignment="1">
      <alignment vertical="center"/>
    </xf>
    <xf numFmtId="182" fontId="44" fillId="0" borderId="0" xfId="19" applyNumberFormat="1" applyFont="1" applyFill="1" applyAlignment="1">
      <alignment horizontal="center" vertical="center"/>
    </xf>
    <xf numFmtId="182" fontId="44" fillId="0" borderId="0" xfId="19" applyNumberFormat="1" applyFont="1" applyAlignment="1">
      <alignment vertical="center"/>
    </xf>
    <xf numFmtId="182" fontId="44" fillId="0" borderId="0" xfId="19" applyNumberFormat="1" applyFont="1" applyAlignment="1">
      <alignment horizontal="center" vertical="center"/>
    </xf>
    <xf numFmtId="183" fontId="44" fillId="0" borderId="0" xfId="19" applyNumberFormat="1" applyFont="1" applyAlignment="1" applyProtection="1">
      <alignment vertical="center"/>
    </xf>
    <xf numFmtId="182" fontId="44" fillId="0" borderId="0" xfId="19" applyNumberFormat="1" applyFont="1" applyAlignment="1" applyProtection="1">
      <alignment horizontal="right" vertical="center"/>
    </xf>
    <xf numFmtId="37" fontId="44" fillId="0" borderId="0" xfId="19" applyFont="1" applyFill="1" applyAlignment="1">
      <alignment vertical="center"/>
    </xf>
    <xf numFmtId="183" fontId="44" fillId="0" borderId="0" xfId="19" applyNumberFormat="1" applyFont="1" applyFill="1" applyAlignment="1" applyProtection="1">
      <alignment vertical="center"/>
    </xf>
    <xf numFmtId="182" fontId="44" fillId="0" borderId="0" xfId="19" applyNumberFormat="1" applyFont="1" applyAlignment="1" applyProtection="1">
      <alignment vertical="center"/>
    </xf>
    <xf numFmtId="182" fontId="44" fillId="0" borderId="0" xfId="19" applyNumberFormat="1" applyFont="1" applyFill="1" applyAlignment="1" applyProtection="1">
      <alignment vertical="center"/>
    </xf>
    <xf numFmtId="182" fontId="44" fillId="0" borderId="0" xfId="19" quotePrefix="1" applyNumberFormat="1" applyFont="1" applyFill="1" applyAlignment="1">
      <alignment vertical="center"/>
    </xf>
    <xf numFmtId="183" fontId="143" fillId="0" borderId="0" xfId="19" applyNumberFormat="1" applyFont="1" applyFill="1" applyAlignment="1" applyProtection="1">
      <alignment vertical="center"/>
    </xf>
    <xf numFmtId="182" fontId="143" fillId="0" borderId="0" xfId="19" applyNumberFormat="1" applyFont="1" applyFill="1" applyAlignment="1" applyProtection="1">
      <alignment vertical="center"/>
    </xf>
    <xf numFmtId="182" fontId="142" fillId="0" borderId="0" xfId="19" applyNumberFormat="1" applyFont="1" applyFill="1" applyAlignment="1" applyProtection="1">
      <alignment vertical="center"/>
    </xf>
    <xf numFmtId="183" fontId="142" fillId="0" borderId="0" xfId="19" applyNumberFormat="1" applyFont="1" applyFill="1" applyAlignment="1" applyProtection="1">
      <alignment vertical="center"/>
    </xf>
    <xf numFmtId="182" fontId="142" fillId="0" borderId="0" xfId="19" applyNumberFormat="1" applyFont="1" applyAlignment="1" applyProtection="1">
      <alignment vertical="center"/>
    </xf>
    <xf numFmtId="182" fontId="143" fillId="0" borderId="0" xfId="19" applyNumberFormat="1" applyFont="1" applyAlignment="1" applyProtection="1">
      <alignment vertical="center"/>
    </xf>
    <xf numFmtId="183" fontId="142" fillId="0" borderId="0" xfId="19" applyNumberFormat="1" applyFont="1" applyAlignment="1" applyProtection="1">
      <alignment vertical="center"/>
    </xf>
    <xf numFmtId="183" fontId="143" fillId="0" borderId="0" xfId="19" applyNumberFormat="1" applyFont="1" applyAlignment="1" applyProtection="1">
      <alignment vertical="center"/>
    </xf>
    <xf numFmtId="37" fontId="44" fillId="0" borderId="0" xfId="19" quotePrefix="1" applyFont="1" applyFill="1" applyAlignment="1">
      <alignment horizontal="center" vertical="center"/>
    </xf>
    <xf numFmtId="182" fontId="44" fillId="0" borderId="0" xfId="19" applyNumberFormat="1" applyFont="1" applyFill="1" applyAlignment="1" applyProtection="1">
      <alignment horizontal="center" vertical="center"/>
    </xf>
    <xf numFmtId="37" fontId="137" fillId="0" borderId="0" xfId="19" applyAlignment="1">
      <alignment horizontal="center" vertical="center"/>
    </xf>
    <xf numFmtId="184" fontId="44" fillId="0" borderId="0" xfId="19" applyNumberFormat="1" applyFont="1" applyFill="1" applyAlignment="1">
      <alignment vertical="center"/>
    </xf>
    <xf numFmtId="182" fontId="44" fillId="0" borderId="0" xfId="19" applyNumberFormat="1" applyFont="1" applyAlignment="1" applyProtection="1">
      <alignment horizontal="center" vertical="center"/>
    </xf>
    <xf numFmtId="184" fontId="44" fillId="0" borderId="0" xfId="19" applyNumberFormat="1" applyFont="1" applyAlignment="1" applyProtection="1">
      <alignment vertical="center"/>
    </xf>
    <xf numFmtId="184" fontId="44" fillId="0" borderId="0" xfId="19" applyNumberFormat="1" applyFont="1" applyFill="1" applyAlignment="1" applyProtection="1">
      <alignment vertical="center"/>
    </xf>
    <xf numFmtId="182" fontId="44" fillId="21" borderId="0" xfId="19" applyNumberFormat="1" applyFont="1" applyFill="1" applyAlignment="1">
      <alignment vertical="center"/>
    </xf>
    <xf numFmtId="182" fontId="44" fillId="21" borderId="0" xfId="19" applyNumberFormat="1" applyFont="1" applyFill="1" applyAlignment="1">
      <alignment horizontal="center" vertical="center"/>
    </xf>
    <xf numFmtId="184" fontId="44" fillId="21" borderId="0" xfId="19" applyNumberFormat="1" applyFont="1" applyFill="1" applyAlignment="1">
      <alignment vertical="center"/>
    </xf>
    <xf numFmtId="182" fontId="44" fillId="0" borderId="0" xfId="19" quotePrefix="1" applyNumberFormat="1" applyFont="1" applyFill="1" applyAlignment="1" applyProtection="1">
      <alignment horizontal="center" vertical="center"/>
    </xf>
    <xf numFmtId="182" fontId="44" fillId="0" borderId="0" xfId="19" applyNumberFormat="1" applyFont="1" applyAlignment="1" applyProtection="1">
      <alignment horizontal="left" vertical="center"/>
    </xf>
    <xf numFmtId="185" fontId="44" fillId="0" borderId="0" xfId="19" applyNumberFormat="1" applyFont="1" applyAlignment="1" applyProtection="1">
      <alignment vertical="center"/>
    </xf>
    <xf numFmtId="182" fontId="143" fillId="0" borderId="0" xfId="19" applyNumberFormat="1" applyFont="1" applyAlignment="1">
      <alignment vertical="center"/>
    </xf>
    <xf numFmtId="182" fontId="143" fillId="22" borderId="0" xfId="19" applyNumberFormat="1" applyFont="1" applyFill="1" applyAlignment="1">
      <alignment vertical="center"/>
    </xf>
    <xf numFmtId="182" fontId="143" fillId="22" borderId="0" xfId="19" applyNumberFormat="1" applyFont="1" applyFill="1" applyAlignment="1" applyProtection="1">
      <alignment vertical="center"/>
    </xf>
    <xf numFmtId="182" fontId="143" fillId="0" borderId="0" xfId="19" applyNumberFormat="1" applyFont="1" applyFill="1" applyAlignment="1">
      <alignment vertical="center"/>
    </xf>
    <xf numFmtId="182" fontId="44" fillId="0" borderId="0" xfId="19" applyNumberFormat="1" applyFont="1" applyAlignment="1">
      <alignment horizontal="right" vertical="center"/>
    </xf>
    <xf numFmtId="182" fontId="44" fillId="8" borderId="0" xfId="19" applyNumberFormat="1" applyFont="1" applyFill="1" applyAlignment="1">
      <alignment vertical="center"/>
    </xf>
    <xf numFmtId="182" fontId="44" fillId="8" borderId="0" xfId="19" applyNumberFormat="1" applyFont="1" applyFill="1" applyAlignment="1" applyProtection="1">
      <alignment vertical="center"/>
    </xf>
    <xf numFmtId="182" fontId="44" fillId="0" borderId="78" xfId="19" applyNumberFormat="1" applyFont="1" applyBorder="1" applyAlignment="1">
      <alignment vertical="center"/>
    </xf>
    <xf numFmtId="182" fontId="44" fillId="0" borderId="78" xfId="19" applyNumberFormat="1" applyFont="1" applyBorder="1" applyAlignment="1" applyProtection="1">
      <alignment vertical="center"/>
    </xf>
    <xf numFmtId="182" fontId="143" fillId="0" borderId="78" xfId="19" applyNumberFormat="1" applyFont="1" applyBorder="1" applyAlignment="1" applyProtection="1">
      <alignment vertical="center"/>
    </xf>
    <xf numFmtId="183" fontId="44" fillId="0" borderId="78" xfId="19" applyNumberFormat="1" applyFont="1" applyBorder="1" applyAlignment="1" applyProtection="1">
      <alignment vertical="center"/>
    </xf>
    <xf numFmtId="182" fontId="44" fillId="0" borderId="78" xfId="19" applyNumberFormat="1" applyFont="1" applyFill="1" applyBorder="1" applyAlignment="1">
      <alignment vertical="center"/>
    </xf>
    <xf numFmtId="182" fontId="44" fillId="0" borderId="78" xfId="19" applyNumberFormat="1" applyFont="1" applyFill="1" applyBorder="1" applyAlignment="1">
      <alignment horizontal="center" vertical="center"/>
    </xf>
    <xf numFmtId="183" fontId="44" fillId="0" borderId="78" xfId="19" applyNumberFormat="1" applyFont="1" applyFill="1" applyBorder="1" applyAlignment="1" applyProtection="1">
      <alignment vertical="center"/>
    </xf>
    <xf numFmtId="181" fontId="44" fillId="0" borderId="0" xfId="19" applyNumberFormat="1" applyFont="1" applyAlignment="1" applyProtection="1">
      <alignment vertical="center"/>
    </xf>
    <xf numFmtId="183" fontId="144" fillId="0" borderId="0" xfId="19" applyNumberFormat="1" applyFont="1" applyAlignment="1" applyProtection="1">
      <alignment vertical="center"/>
    </xf>
    <xf numFmtId="182" fontId="144" fillId="0" borderId="0" xfId="19" applyNumberFormat="1" applyFont="1" applyAlignment="1">
      <alignment vertical="center"/>
    </xf>
    <xf numFmtId="182" fontId="44" fillId="0" borderId="0" xfId="19" applyNumberFormat="1" applyFont="1" applyAlignment="1">
      <alignment horizontal="fill" vertical="center"/>
    </xf>
    <xf numFmtId="182" fontId="44" fillId="0" borderId="0" xfId="19" applyNumberFormat="1" applyFont="1" applyAlignment="1">
      <alignment horizontal="left" vertical="center"/>
    </xf>
    <xf numFmtId="37" fontId="137" fillId="0" borderId="78" xfId="19" applyBorder="1" applyAlignment="1">
      <alignment vertical="center"/>
    </xf>
    <xf numFmtId="37" fontId="137" fillId="0" borderId="0" xfId="19" applyAlignment="1" applyProtection="1">
      <alignment horizontal="left"/>
    </xf>
    <xf numFmtId="37" fontId="44" fillId="0" borderId="0" xfId="19" quotePrefix="1" applyFont="1" applyAlignment="1">
      <alignment horizontal="left" vertical="center"/>
    </xf>
    <xf numFmtId="37" fontId="44" fillId="0" borderId="0" xfId="19" applyFont="1" applyAlignment="1">
      <alignment horizontal="left"/>
    </xf>
    <xf numFmtId="182" fontId="44" fillId="0" borderId="0" xfId="19" applyNumberFormat="1" applyFont="1"/>
    <xf numFmtId="182" fontId="44" fillId="0" borderId="0" xfId="19" applyNumberFormat="1" applyFont="1" applyAlignment="1">
      <alignment horizontal="center"/>
    </xf>
    <xf numFmtId="37" fontId="145" fillId="0" borderId="0" xfId="19" applyFont="1" applyAlignment="1" applyProtection="1">
      <alignment horizontal="left"/>
    </xf>
    <xf numFmtId="169" fontId="11" fillId="0" borderId="0" xfId="19" applyNumberFormat="1" applyFont="1" applyAlignment="1" applyProtection="1">
      <alignment horizontal="left"/>
    </xf>
    <xf numFmtId="1" fontId="11" fillId="0" borderId="0" xfId="19" applyNumberFormat="1" applyFont="1" applyAlignment="1" applyProtection="1">
      <alignment horizontal="left"/>
    </xf>
    <xf numFmtId="37" fontId="11" fillId="0" borderId="0" xfId="19" applyFont="1" applyAlignment="1" applyProtection="1">
      <alignment horizontal="left"/>
    </xf>
    <xf numFmtId="169" fontId="137" fillId="0" borderId="0" xfId="19" applyNumberFormat="1" applyAlignment="1" applyProtection="1">
      <alignment horizontal="left"/>
    </xf>
    <xf numFmtId="1" fontId="137" fillId="0" borderId="0" xfId="19" applyNumberFormat="1" applyAlignment="1" applyProtection="1">
      <alignment horizontal="left"/>
    </xf>
    <xf numFmtId="37" fontId="137" fillId="0" borderId="0" xfId="19" applyProtection="1">
      <protection locked="0"/>
    </xf>
    <xf numFmtId="169" fontId="137" fillId="0" borderId="0" xfId="19" applyNumberFormat="1" applyProtection="1">
      <protection locked="0"/>
    </xf>
    <xf numFmtId="1" fontId="137" fillId="0" borderId="0" xfId="19" applyNumberFormat="1" applyProtection="1">
      <protection locked="0"/>
    </xf>
    <xf numFmtId="37" fontId="137" fillId="0" borderId="0" xfId="19" applyAlignment="1" applyProtection="1">
      <alignment horizontal="center"/>
      <protection locked="0"/>
    </xf>
    <xf numFmtId="37" fontId="13" fillId="0" borderId="0" xfId="19" applyFont="1" applyAlignment="1">
      <alignment vertical="center"/>
    </xf>
    <xf numFmtId="181" fontId="44" fillId="0" borderId="0" xfId="19" applyNumberFormat="1" applyFont="1" applyAlignment="1" applyProtection="1">
      <alignment horizontal="center"/>
    </xf>
    <xf numFmtId="37" fontId="44" fillId="0" borderId="0" xfId="19" quotePrefix="1" applyFont="1" applyAlignment="1">
      <alignment horizontal="center"/>
    </xf>
    <xf numFmtId="183" fontId="44" fillId="0" borderId="0" xfId="19" applyNumberFormat="1" applyFont="1" applyProtection="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0"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0"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37" fontId="138" fillId="0" borderId="0" xfId="19" applyFont="1" applyAlignment="1">
      <alignment horizontal="center" vertical="center"/>
    </xf>
    <xf numFmtId="37" fontId="141" fillId="0" borderId="0" xfId="19" applyFont="1" applyAlignment="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22" sqref="A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109" t="s">
        <v>425</v>
      </c>
      <c r="J1" s="2110"/>
      <c r="K1" s="2110"/>
      <c r="L1" s="2110"/>
      <c r="M1" s="2110"/>
      <c r="N1" s="2110"/>
      <c r="O1" s="2110"/>
      <c r="P1" s="2110"/>
      <c r="Q1" s="2110"/>
      <c r="R1" s="2110"/>
      <c r="S1" s="2110"/>
    </row>
    <row r="2" spans="1:28" ht="12" customHeight="1" x14ac:dyDescent="0.2">
      <c r="A2" s="47" t="s">
        <v>1682</v>
      </c>
      <c r="D2" s="48"/>
      <c r="I2" s="2111" t="s">
        <v>1036</v>
      </c>
      <c r="J2" s="2110"/>
      <c r="K2" s="2110"/>
      <c r="L2" s="2110"/>
      <c r="M2" s="2110"/>
      <c r="N2" s="2110"/>
      <c r="O2" s="2110"/>
      <c r="P2" s="2110"/>
      <c r="Q2" s="2110"/>
      <c r="R2" s="2110"/>
      <c r="S2" s="2110"/>
    </row>
    <row r="3" spans="1:28" ht="12" customHeight="1" x14ac:dyDescent="0.2">
      <c r="A3" s="155" t="s">
        <v>1683</v>
      </c>
      <c r="B3" s="156"/>
      <c r="C3" s="156"/>
      <c r="D3" s="157"/>
      <c r="I3" s="2111" t="s">
        <v>54</v>
      </c>
      <c r="J3" s="2110"/>
      <c r="K3" s="2110"/>
      <c r="L3" s="2110"/>
      <c r="M3" s="2110"/>
      <c r="N3" s="2110"/>
      <c r="O3" s="2110"/>
      <c r="P3" s="2110"/>
      <c r="Q3" s="2110"/>
      <c r="R3" s="2110"/>
      <c r="S3" s="2110"/>
    </row>
    <row r="4" spans="1:28" ht="12" customHeight="1" x14ac:dyDescent="0.2">
      <c r="A4" s="37"/>
      <c r="I4" s="2111" t="s">
        <v>545</v>
      </c>
      <c r="J4" s="2110"/>
      <c r="K4" s="2110"/>
      <c r="L4" s="2110"/>
      <c r="M4" s="2110"/>
      <c r="N4" s="2110"/>
      <c r="O4" s="2110"/>
      <c r="P4" s="2110"/>
      <c r="Q4" s="2110"/>
      <c r="R4" s="2110"/>
      <c r="S4" s="2110"/>
    </row>
    <row r="5" spans="1:28" ht="14.1" customHeight="1" x14ac:dyDescent="0.2">
      <c r="B5" s="104" t="s">
        <v>2072</v>
      </c>
      <c r="C5" s="26" t="s">
        <v>966</v>
      </c>
      <c r="D5" s="84"/>
      <c r="E5" s="84"/>
      <c r="H5" s="38"/>
      <c r="I5" s="2119" t="s">
        <v>701</v>
      </c>
      <c r="J5" s="2118"/>
      <c r="K5" s="2118"/>
      <c r="L5" s="2118"/>
      <c r="M5" s="2118"/>
      <c r="N5" s="2118"/>
      <c r="O5" s="2118"/>
      <c r="P5" s="2118"/>
      <c r="Q5" s="2118"/>
      <c r="R5" s="2118"/>
      <c r="S5" s="2118"/>
    </row>
    <row r="6" spans="1:28" ht="14.1" customHeight="1" x14ac:dyDescent="0.2">
      <c r="B6" s="104"/>
      <c r="C6" s="26" t="s">
        <v>967</v>
      </c>
      <c r="D6" s="84"/>
      <c r="E6" s="84"/>
      <c r="I6" s="2117" t="s">
        <v>938</v>
      </c>
      <c r="J6" s="2118"/>
      <c r="K6" s="2118"/>
      <c r="L6" s="2118"/>
      <c r="M6" s="2118"/>
      <c r="N6" s="2118"/>
      <c r="O6" s="2118"/>
      <c r="P6" s="2118"/>
      <c r="Q6" s="2118"/>
      <c r="R6" s="2118"/>
      <c r="S6" s="2118"/>
    </row>
    <row r="7" spans="1:28" ht="12.2" customHeight="1" x14ac:dyDescent="0.2">
      <c r="I7" s="2112">
        <v>43281</v>
      </c>
      <c r="J7" s="2113"/>
      <c r="K7" s="2113"/>
      <c r="L7" s="2113"/>
      <c r="M7" s="2113"/>
      <c r="N7" s="2113"/>
      <c r="O7" s="2113"/>
      <c r="P7" s="2113"/>
      <c r="Q7" s="2113"/>
      <c r="R7" s="2113"/>
      <c r="S7" s="21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4" t="s">
        <v>695</v>
      </c>
      <c r="J9" s="2115"/>
      <c r="K9" s="2115"/>
      <c r="L9" s="2115"/>
      <c r="M9" s="2115"/>
      <c r="N9" s="2115"/>
      <c r="O9" s="2115"/>
      <c r="P9" s="2115"/>
      <c r="Q9" s="2115"/>
      <c r="R9" s="2115"/>
      <c r="S9" s="2116"/>
      <c r="T9" s="2127" t="s">
        <v>554</v>
      </c>
      <c r="U9" s="2128"/>
      <c r="V9" s="2128"/>
      <c r="W9" s="2128"/>
      <c r="X9" s="2128"/>
      <c r="Y9" s="2128"/>
      <c r="Z9" s="2128"/>
      <c r="AA9" s="2129"/>
    </row>
    <row r="10" spans="1:28" ht="13.5" customHeight="1" x14ac:dyDescent="0.2">
      <c r="A10" s="2134" t="s">
        <v>696</v>
      </c>
      <c r="B10" s="2135"/>
      <c r="C10" s="2135"/>
      <c r="D10" s="2135"/>
      <c r="E10" s="2135"/>
      <c r="F10" s="2135"/>
      <c r="G10" s="2135"/>
      <c r="H10" s="2136"/>
      <c r="I10" s="29"/>
      <c r="J10" s="30"/>
      <c r="K10" s="28"/>
      <c r="R10" s="30"/>
      <c r="S10" s="30"/>
      <c r="T10" s="2130"/>
      <c r="U10" s="2118"/>
      <c r="V10" s="2118"/>
      <c r="W10" s="2118"/>
      <c r="X10" s="2118"/>
      <c r="Y10" s="2118"/>
      <c r="Z10" s="2118"/>
      <c r="AA10" s="2121"/>
    </row>
    <row r="11" spans="1:28" ht="14.25" customHeight="1" x14ac:dyDescent="0.2">
      <c r="A11" s="2137" t="s">
        <v>1012</v>
      </c>
      <c r="B11" s="2138"/>
      <c r="C11" s="2138"/>
      <c r="D11" s="2138"/>
      <c r="E11" s="2138"/>
      <c r="F11" s="2138"/>
      <c r="G11" s="2138"/>
      <c r="H11" s="2139"/>
      <c r="I11" s="27"/>
      <c r="J11" s="74"/>
      <c r="K11" s="27"/>
      <c r="O11" s="148" t="s">
        <v>2072</v>
      </c>
      <c r="P11" s="100" t="s">
        <v>210</v>
      </c>
      <c r="Q11" s="30"/>
      <c r="R11" s="28"/>
      <c r="S11" s="27"/>
      <c r="T11" s="2131"/>
      <c r="U11" s="2132"/>
      <c r="V11" s="2132"/>
      <c r="W11" s="2132"/>
      <c r="X11" s="2132"/>
      <c r="Y11" s="2132"/>
      <c r="Z11" s="2132"/>
      <c r="AA11" s="213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41">
        <v>28037229026</v>
      </c>
      <c r="B13" s="2142"/>
      <c r="C13" s="2142"/>
      <c r="D13" s="2142"/>
      <c r="E13" s="2142"/>
      <c r="F13" s="2142"/>
      <c r="G13" s="2142"/>
      <c r="H13" s="2143"/>
      <c r="I13" s="31"/>
      <c r="J13" s="30"/>
      <c r="K13" s="28"/>
      <c r="L13" s="30"/>
      <c r="M13" s="30"/>
      <c r="N13" s="30"/>
      <c r="O13" s="30"/>
      <c r="P13" s="30"/>
      <c r="Q13" s="30"/>
      <c r="R13" s="30"/>
      <c r="S13" s="30"/>
      <c r="T13" s="2146" t="s">
        <v>2073</v>
      </c>
      <c r="U13" s="2147"/>
      <c r="V13" s="2147"/>
      <c r="W13" s="2147"/>
      <c r="X13" s="2147"/>
      <c r="Y13" s="2148"/>
      <c r="Z13" s="2148"/>
      <c r="AA13" s="214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40" t="s">
        <v>2083</v>
      </c>
      <c r="B15" s="2144"/>
      <c r="C15" s="2144"/>
      <c r="D15" s="2144"/>
      <c r="E15" s="2144"/>
      <c r="F15" s="2144"/>
      <c r="G15" s="2144"/>
      <c r="H15" s="2145"/>
      <c r="T15" s="2150" t="s">
        <v>2081</v>
      </c>
      <c r="U15" s="2097"/>
      <c r="V15" s="2097"/>
      <c r="W15" s="2097"/>
      <c r="X15" s="2097"/>
      <c r="Y15" s="2151"/>
      <c r="Z15" s="2151"/>
      <c r="AA15" s="215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03" t="s">
        <v>2282</v>
      </c>
      <c r="B17" s="2104"/>
      <c r="C17" s="2104"/>
      <c r="D17" s="2104"/>
      <c r="E17" s="2104"/>
      <c r="F17" s="2104"/>
      <c r="G17" s="2104"/>
      <c r="H17" s="2126"/>
      <c r="T17" s="2157" t="s">
        <v>2074</v>
      </c>
      <c r="U17" s="2158"/>
      <c r="V17" s="2158"/>
      <c r="W17" s="2158"/>
      <c r="X17" s="2158"/>
      <c r="Y17" s="2158"/>
      <c r="Z17" s="2158"/>
      <c r="AA17" s="2159"/>
    </row>
    <row r="18" spans="1:27" ht="13.5" customHeight="1" x14ac:dyDescent="0.2">
      <c r="A18" s="85" t="s">
        <v>551</v>
      </c>
      <c r="B18" s="76"/>
      <c r="C18" s="72"/>
      <c r="D18" s="76"/>
      <c r="E18" s="76"/>
      <c r="F18" s="76"/>
      <c r="G18" s="76"/>
      <c r="H18" s="56"/>
      <c r="I18" s="2125" t="s">
        <v>697</v>
      </c>
      <c r="J18" s="2079"/>
      <c r="K18" s="2079"/>
      <c r="L18" s="2079"/>
      <c r="M18" s="2079"/>
      <c r="N18" s="2079"/>
      <c r="O18" s="2079"/>
      <c r="P18" s="2079"/>
      <c r="Q18" s="2079"/>
      <c r="R18" s="2079"/>
      <c r="S18" s="2080"/>
      <c r="T18" s="85" t="s">
        <v>735</v>
      </c>
      <c r="U18" s="51"/>
      <c r="V18" s="72"/>
      <c r="W18" s="50"/>
      <c r="X18" s="85" t="s">
        <v>284</v>
      </c>
      <c r="Y18" s="81"/>
      <c r="Z18" s="159" t="s">
        <v>698</v>
      </c>
      <c r="AA18" s="46"/>
    </row>
    <row r="19" spans="1:27" ht="13.5" customHeight="1" x14ac:dyDescent="0.2">
      <c r="A19" s="2140" t="s">
        <v>2085</v>
      </c>
      <c r="B19" s="2089"/>
      <c r="C19" s="2089"/>
      <c r="D19" s="2089"/>
      <c r="E19" s="2089"/>
      <c r="F19" s="2089"/>
      <c r="G19" s="2089"/>
      <c r="H19" s="2069"/>
      <c r="I19" s="30"/>
      <c r="J19" s="99"/>
      <c r="K19" s="40"/>
      <c r="L19" s="38"/>
      <c r="M19" s="112" t="s">
        <v>333</v>
      </c>
      <c r="P19" s="27"/>
      <c r="Q19" s="27"/>
      <c r="R19" s="27"/>
      <c r="S19" s="31"/>
      <c r="T19" s="2140" t="s">
        <v>2075</v>
      </c>
      <c r="U19" s="2068"/>
      <c r="V19" s="2068"/>
      <c r="W19" s="2069"/>
      <c r="X19" s="2155" t="s">
        <v>2076</v>
      </c>
      <c r="Y19" s="2156"/>
      <c r="Z19" s="2153">
        <v>61614</v>
      </c>
      <c r="AA19" s="215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67" t="s">
        <v>2283</v>
      </c>
      <c r="B21" s="2068"/>
      <c r="C21" s="2068"/>
      <c r="D21" s="2068"/>
      <c r="E21" s="2068"/>
      <c r="F21" s="2068"/>
      <c r="G21" s="2068"/>
      <c r="H21" s="2069"/>
      <c r="I21" s="2120" t="s">
        <v>699</v>
      </c>
      <c r="J21" s="2118"/>
      <c r="K21" s="2118"/>
      <c r="L21" s="2118"/>
      <c r="M21" s="2118"/>
      <c r="N21" s="2118"/>
      <c r="O21" s="2118"/>
      <c r="P21" s="2118"/>
      <c r="Q21" s="2118"/>
      <c r="R21" s="2118"/>
      <c r="S21" s="2121"/>
      <c r="T21" s="2164" t="s">
        <v>2077</v>
      </c>
      <c r="U21" s="2165"/>
      <c r="V21" s="2165"/>
      <c r="W21" s="2165"/>
      <c r="X21" s="2170" t="s">
        <v>2078</v>
      </c>
      <c r="Y21" s="2171"/>
      <c r="Z21" s="2171"/>
      <c r="AA21" s="2172"/>
    </row>
    <row r="22" spans="1:27" ht="13.5" customHeight="1" x14ac:dyDescent="0.2">
      <c r="A22" s="87" t="s">
        <v>552</v>
      </c>
      <c r="B22" s="59"/>
      <c r="C22" s="59"/>
      <c r="D22" s="59"/>
      <c r="E22" s="59"/>
      <c r="F22" s="59"/>
      <c r="G22" s="59"/>
      <c r="H22" s="60"/>
      <c r="I22" s="2122" t="s">
        <v>1504</v>
      </c>
      <c r="J22" s="2123"/>
      <c r="K22" s="2123"/>
      <c r="L22" s="2123"/>
      <c r="M22" s="2123"/>
      <c r="N22" s="2123"/>
      <c r="O22" s="2123"/>
      <c r="P22" s="2123"/>
      <c r="Q22" s="2123"/>
      <c r="R22" s="2123"/>
      <c r="S22" s="2124"/>
      <c r="T22" s="85" t="s">
        <v>1596</v>
      </c>
      <c r="U22" s="51"/>
      <c r="V22" s="72"/>
      <c r="W22" s="51"/>
      <c r="X22" s="160" t="s">
        <v>1385</v>
      </c>
      <c r="Z22" s="45"/>
      <c r="AA22" s="46"/>
    </row>
    <row r="23" spans="1:27" ht="13.5" customHeight="1" x14ac:dyDescent="0.2">
      <c r="A23" s="2081" t="s">
        <v>2089</v>
      </c>
      <c r="B23" s="2082"/>
      <c r="C23" s="2083"/>
      <c r="D23" s="2083"/>
      <c r="E23" s="2083"/>
      <c r="F23" s="2084"/>
      <c r="G23" s="2084"/>
      <c r="H23" s="2085"/>
      <c r="T23" s="2103" t="s">
        <v>2177</v>
      </c>
      <c r="U23" s="2163"/>
      <c r="V23" s="2163"/>
      <c r="W23" s="2163"/>
      <c r="X23" s="2167">
        <v>44530</v>
      </c>
      <c r="Y23" s="2168"/>
      <c r="Z23" s="2168"/>
      <c r="AA23" s="2169"/>
    </row>
    <row r="24" spans="1:27" ht="14.1" customHeight="1" x14ac:dyDescent="0.2">
      <c r="A24" s="88" t="s">
        <v>698</v>
      </c>
      <c r="B24" s="49"/>
      <c r="C24" s="49"/>
      <c r="D24" s="49"/>
      <c r="E24" s="49"/>
      <c r="F24" s="49"/>
      <c r="G24" s="49"/>
      <c r="H24" s="61"/>
      <c r="J24" s="2090">
        <f>IF(B5="x",IF(AUDITCHECK!D29="AFR form Incomplete.","",IF(AUDITCHECK!D29="Deficit reduction plan is required.","School District must complete a deficit reduction plan in the 2018-2019 Budget",)),"")</f>
        <v>0</v>
      </c>
      <c r="K24" s="2090"/>
      <c r="L24" s="2090"/>
      <c r="M24" s="2090"/>
      <c r="N24" s="2090"/>
      <c r="O24" s="2090"/>
      <c r="P24" s="2090"/>
      <c r="Q24" s="2090"/>
      <c r="R24" s="2090"/>
      <c r="S24" s="2091"/>
      <c r="T24" s="105" t="s">
        <v>552</v>
      </c>
      <c r="U24" s="106"/>
      <c r="V24" s="106"/>
      <c r="W24" s="106"/>
      <c r="X24" s="107"/>
      <c r="Y24" s="107"/>
      <c r="Z24" s="107"/>
      <c r="AA24" s="108"/>
    </row>
    <row r="25" spans="1:27" ht="14.1" customHeight="1" x14ac:dyDescent="0.2">
      <c r="A25" s="2067">
        <v>61443</v>
      </c>
      <c r="B25" s="2068"/>
      <c r="C25" s="2068"/>
      <c r="D25" s="2068"/>
      <c r="E25" s="2068"/>
      <c r="F25" s="2068"/>
      <c r="G25" s="2068"/>
      <c r="H25" s="2069"/>
      <c r="I25" s="113"/>
      <c r="J25" s="2092"/>
      <c r="K25" s="2092"/>
      <c r="L25" s="2092"/>
      <c r="M25" s="2092"/>
      <c r="N25" s="2092"/>
      <c r="O25" s="2092"/>
      <c r="P25" s="2092"/>
      <c r="Q25" s="2092"/>
      <c r="R25" s="2092"/>
      <c r="S25" s="2093"/>
      <c r="T25" s="2160" t="s">
        <v>2082</v>
      </c>
      <c r="U25" s="2161"/>
      <c r="V25" s="2161"/>
      <c r="W25" s="2161"/>
      <c r="X25" s="2161"/>
      <c r="Y25" s="2161"/>
      <c r="Z25" s="2161"/>
      <c r="AA25" s="21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8" t="s">
        <v>1591</v>
      </c>
      <c r="J27" s="2079"/>
      <c r="K27" s="2079"/>
      <c r="L27" s="2079"/>
      <c r="M27" s="2079"/>
      <c r="N27" s="2079"/>
      <c r="O27" s="2079"/>
      <c r="P27" s="2079"/>
      <c r="Q27" s="2079"/>
      <c r="R27" s="2079"/>
      <c r="S27" s="208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2072</v>
      </c>
      <c r="C30" s="124" t="s">
        <v>1226</v>
      </c>
      <c r="D30" s="28"/>
      <c r="E30" s="28"/>
      <c r="F30" s="140"/>
      <c r="G30" s="114"/>
      <c r="H30" s="114"/>
      <c r="I30" s="54"/>
      <c r="J30" s="148" t="s">
        <v>2072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2072</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89"/>
      <c r="Q35" s="2068"/>
      <c r="R35" s="20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03" t="s">
        <v>2088</v>
      </c>
      <c r="B38" s="2104"/>
      <c r="C38" s="2104"/>
      <c r="D38" s="2104"/>
      <c r="E38" s="2104"/>
      <c r="F38" s="2068"/>
      <c r="G38" s="2068"/>
      <c r="H38" s="2069"/>
      <c r="I38" s="2096"/>
      <c r="J38" s="2097"/>
      <c r="K38" s="2097"/>
      <c r="L38" s="2097"/>
      <c r="M38" s="2097"/>
      <c r="N38" s="2097"/>
      <c r="O38" s="2097"/>
      <c r="P38" s="2098"/>
      <c r="Q38" s="2098"/>
      <c r="R38" s="2098"/>
      <c r="S38" s="2099"/>
      <c r="T38" s="2150"/>
      <c r="U38" s="2097"/>
      <c r="V38" s="2097"/>
      <c r="W38" s="2097"/>
      <c r="X38" s="2098"/>
      <c r="Y38" s="2098"/>
      <c r="Z38" s="2098"/>
      <c r="AA38" s="2099"/>
    </row>
    <row r="39" spans="1:27" ht="12" customHeight="1" x14ac:dyDescent="0.2">
      <c r="A39" s="2073" t="s">
        <v>552</v>
      </c>
      <c r="B39" s="2074"/>
      <c r="C39" s="72"/>
      <c r="D39" s="69"/>
      <c r="E39" s="69"/>
      <c r="F39" s="79"/>
      <c r="G39" s="69"/>
      <c r="H39" s="56"/>
      <c r="I39" s="2073" t="s">
        <v>552</v>
      </c>
      <c r="J39" s="2074"/>
      <c r="K39" s="2074"/>
      <c r="L39" s="2074"/>
      <c r="M39" s="2074"/>
      <c r="N39" s="67"/>
      <c r="O39" s="72"/>
      <c r="P39" s="72"/>
      <c r="Q39" s="78"/>
      <c r="R39" s="72"/>
      <c r="S39" s="56"/>
      <c r="T39" s="72" t="s">
        <v>552</v>
      </c>
      <c r="U39" s="51"/>
      <c r="V39" s="72"/>
      <c r="W39" s="50"/>
      <c r="X39" s="78"/>
      <c r="Y39" s="45"/>
      <c r="Z39" s="45"/>
      <c r="AA39" s="46"/>
    </row>
    <row r="40" spans="1:27" ht="13.5" customHeight="1" x14ac:dyDescent="0.2">
      <c r="A40" s="2081" t="s">
        <v>2089</v>
      </c>
      <c r="B40" s="2082"/>
      <c r="C40" s="2083"/>
      <c r="D40" s="2083"/>
      <c r="E40" s="2083"/>
      <c r="F40" s="2084"/>
      <c r="G40" s="2084"/>
      <c r="H40" s="2085"/>
      <c r="I40" s="2106"/>
      <c r="J40" s="2107"/>
      <c r="K40" s="2107"/>
      <c r="L40" s="2107"/>
      <c r="M40" s="2107"/>
      <c r="N40" s="2107"/>
      <c r="O40" s="2107"/>
      <c r="P40" s="2107"/>
      <c r="Q40" s="2107"/>
      <c r="R40" s="2107"/>
      <c r="S40" s="2108"/>
      <c r="T40" s="2106"/>
      <c r="U40" s="2166"/>
      <c r="V40" s="2107"/>
      <c r="W40" s="2107"/>
      <c r="X40" s="2107"/>
      <c r="Y40" s="2107"/>
      <c r="Z40" s="2107"/>
      <c r="AA40" s="210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95" t="s">
        <v>2086</v>
      </c>
      <c r="B42" s="2087"/>
      <c r="C42" s="2088"/>
      <c r="D42" s="2086" t="s">
        <v>2087</v>
      </c>
      <c r="E42" s="2087"/>
      <c r="F42" s="2087"/>
      <c r="G42" s="2087"/>
      <c r="H42" s="2088"/>
      <c r="I42" s="2070"/>
      <c r="J42" s="2071"/>
      <c r="K42" s="2071"/>
      <c r="L42" s="2071"/>
      <c r="M42" s="2071"/>
      <c r="N42" s="2071"/>
      <c r="O42" s="2072"/>
      <c r="P42" s="2105"/>
      <c r="Q42" s="2071"/>
      <c r="R42" s="2071"/>
      <c r="S42" s="2072"/>
      <c r="T42" s="2070"/>
      <c r="U42" s="2071"/>
      <c r="V42" s="2071"/>
      <c r="W42" s="2072"/>
      <c r="X42" s="2105"/>
      <c r="Y42" s="2071"/>
      <c r="Z42" s="2071"/>
      <c r="AA42" s="207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00"/>
      <c r="B44" s="2101"/>
      <c r="C44" s="2101"/>
      <c r="D44" s="2101"/>
      <c r="E44" s="2101"/>
      <c r="F44" s="2101"/>
      <c r="G44" s="2101"/>
      <c r="H44" s="2102"/>
      <c r="I44" s="2075"/>
      <c r="J44" s="2076"/>
      <c r="K44" s="2076"/>
      <c r="L44" s="2076"/>
      <c r="M44" s="2076"/>
      <c r="N44" s="2076"/>
      <c r="O44" s="2076"/>
      <c r="P44" s="2076"/>
      <c r="Q44" s="2076"/>
      <c r="R44" s="2076"/>
      <c r="S44" s="2077"/>
      <c r="T44" s="2075"/>
      <c r="U44" s="2094"/>
      <c r="V44" s="2094"/>
      <c r="W44" s="2094"/>
      <c r="X44" s="2094"/>
      <c r="Y44" s="2094"/>
      <c r="Z44" s="2076"/>
      <c r="AA44" s="207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1685</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1706</v>
      </c>
    </row>
    <row r="22" spans="1:5" x14ac:dyDescent="0.2">
      <c r="A22" s="168"/>
      <c r="B22" s="162" t="s">
        <v>1963</v>
      </c>
      <c r="C22" s="162" t="s">
        <v>1231</v>
      </c>
      <c r="D22" s="167" t="s">
        <v>1965</v>
      </c>
      <c r="E22" s="1854" t="s">
        <v>1707</v>
      </c>
    </row>
    <row r="23" spans="1:5" x14ac:dyDescent="0.2">
      <c r="A23" s="168"/>
      <c r="B23" s="162" t="s">
        <v>1964</v>
      </c>
      <c r="D23" s="167" t="s">
        <v>658</v>
      </c>
      <c r="E23" s="1854" t="s">
        <v>1016</v>
      </c>
    </row>
    <row r="24" spans="1:5" x14ac:dyDescent="0.2">
      <c r="A24" s="168" t="s">
        <v>1705</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76" t="s">
        <v>1125</v>
      </c>
      <c r="B35" s="2176"/>
      <c r="C35" s="2176"/>
      <c r="D35" s="2176"/>
      <c r="E35" s="21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73" t="s">
        <v>715</v>
      </c>
      <c r="B40" s="2173"/>
      <c r="C40" s="2173"/>
      <c r="D40" s="2173"/>
      <c r="E40" s="2173"/>
    </row>
    <row r="41" spans="1:5" x14ac:dyDescent="0.2">
      <c r="A41" s="2174" t="s">
        <v>1704</v>
      </c>
      <c r="B41" s="2174"/>
      <c r="C41" s="2174"/>
      <c r="D41" s="2174"/>
      <c r="E41" s="2174"/>
    </row>
    <row r="42" spans="1:5" ht="12.75" customHeight="1" x14ac:dyDescent="0.2">
      <c r="A42" s="2175" t="s">
        <v>1080</v>
      </c>
      <c r="B42" s="2175"/>
      <c r="C42" s="2175"/>
      <c r="D42" s="2175"/>
      <c r="E42" s="2175"/>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2" t="s">
        <v>1874</v>
      </c>
    </row>
    <row r="60" spans="1:3" x14ac:dyDescent="0.2">
      <c r="A60" s="196"/>
      <c r="B60" s="1502" t="s">
        <v>1875</v>
      </c>
    </row>
    <row r="61" spans="1:3" ht="6" customHeight="1" x14ac:dyDescent="0.2">
      <c r="A61" s="197"/>
      <c r="B61" s="189"/>
    </row>
    <row r="62" spans="1:3" x14ac:dyDescent="0.2">
      <c r="A62" s="169" t="s">
        <v>1712</v>
      </c>
      <c r="B62" s="198" t="s">
        <v>1871</v>
      </c>
    </row>
    <row r="63" spans="1:3" x14ac:dyDescent="0.2">
      <c r="A63" s="188"/>
      <c r="B63" s="169" t="s">
        <v>1886</v>
      </c>
    </row>
    <row r="64" spans="1:3" x14ac:dyDescent="0.2">
      <c r="A64" s="195"/>
      <c r="B64" s="1504"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3" t="s">
        <v>1715</v>
      </c>
    </row>
    <row r="72" spans="1:9" ht="9" customHeight="1" x14ac:dyDescent="0.2">
      <c r="A72" s="192"/>
      <c r="B72" s="199"/>
    </row>
    <row r="73" spans="1:9" x14ac:dyDescent="0.2">
      <c r="A73" s="189" t="s">
        <v>1716</v>
      </c>
      <c r="B73" s="169" t="s">
        <v>1882</v>
      </c>
    </row>
    <row r="74" spans="1:9" x14ac:dyDescent="0.2">
      <c r="A74" s="189"/>
      <c r="B74" s="169" t="s">
        <v>1881</v>
      </c>
    </row>
    <row r="75" spans="1:9" ht="8.25" customHeight="1" x14ac:dyDescent="0.2">
      <c r="A75" s="189"/>
      <c r="B75" s="189"/>
    </row>
    <row r="76" spans="1:9" ht="12.2" customHeight="1" x14ac:dyDescent="0.2">
      <c r="A76" s="189" t="s">
        <v>1717</v>
      </c>
      <c r="B76" s="198" t="s">
        <v>1883</v>
      </c>
    </row>
    <row r="77" spans="1:9" ht="12.2" customHeight="1" x14ac:dyDescent="0.2">
      <c r="A77" s="190"/>
      <c r="B77" s="169" t="s">
        <v>1718</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77" t="s">
        <v>1230</v>
      </c>
      <c r="B2" s="2177"/>
      <c r="C2" s="2177"/>
      <c r="D2" s="2177"/>
      <c r="E2" s="2177"/>
      <c r="F2" s="2177"/>
      <c r="G2" s="2177"/>
      <c r="H2" s="2177"/>
      <c r="I2" s="2177"/>
      <c r="J2" s="2177"/>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1891</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91" t="s">
        <v>1729</v>
      </c>
      <c r="B35" s="2192"/>
      <c r="C35" s="2192"/>
      <c r="D35" s="2192"/>
      <c r="E35" s="2193"/>
      <c r="F35" s="2193"/>
      <c r="G35" s="2193"/>
      <c r="H35" s="2193"/>
      <c r="I35" s="21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91" t="s">
        <v>331</v>
      </c>
      <c r="B47" s="2194"/>
      <c r="C47" s="2194"/>
      <c r="D47" s="2194"/>
      <c r="E47" s="2195"/>
      <c r="F47" s="2195"/>
      <c r="G47" s="2195"/>
      <c r="H47" s="2195"/>
      <c r="I47" s="21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1735</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2072</v>
      </c>
      <c r="C54" s="179">
        <v>23</v>
      </c>
      <c r="D54" s="243" t="s">
        <v>1429</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98" t="s">
        <v>2147</v>
      </c>
      <c r="C57" s="2199"/>
      <c r="D57" s="2199"/>
      <c r="E57" s="2199"/>
      <c r="F57" s="2199"/>
      <c r="G57" s="2199"/>
      <c r="H57" s="2199"/>
      <c r="I57" s="2199"/>
      <c r="J57" s="2200"/>
    </row>
    <row r="58" spans="1:10" s="181" customFormat="1" x14ac:dyDescent="0.2">
      <c r="A58" s="253"/>
      <c r="B58" s="2201"/>
      <c r="C58" s="2202"/>
      <c r="D58" s="2202"/>
      <c r="E58" s="2202"/>
      <c r="F58" s="2202"/>
      <c r="G58" s="2202"/>
      <c r="H58" s="2202"/>
      <c r="I58" s="2202"/>
      <c r="J58" s="2203"/>
    </row>
    <row r="59" spans="1:10" s="181" customFormat="1" x14ac:dyDescent="0.2">
      <c r="A59" s="253"/>
      <c r="B59" s="2201"/>
      <c r="C59" s="2202"/>
      <c r="D59" s="2202"/>
      <c r="E59" s="2202"/>
      <c r="F59" s="2202"/>
      <c r="G59" s="2202"/>
      <c r="H59" s="2202"/>
      <c r="I59" s="2202"/>
      <c r="J59" s="2203"/>
    </row>
    <row r="60" spans="1:10" s="181" customFormat="1" x14ac:dyDescent="0.2">
      <c r="A60" s="253"/>
      <c r="B60" s="2201"/>
      <c r="C60" s="2202"/>
      <c r="D60" s="2202"/>
      <c r="E60" s="2202"/>
      <c r="F60" s="2202"/>
      <c r="G60" s="2202"/>
      <c r="H60" s="2202"/>
      <c r="I60" s="2202"/>
      <c r="J60" s="2203"/>
    </row>
    <row r="61" spans="1:10" s="181" customFormat="1" x14ac:dyDescent="0.2">
      <c r="A61" s="253"/>
      <c r="B61" s="2201"/>
      <c r="C61" s="2202"/>
      <c r="D61" s="2202"/>
      <c r="E61" s="2202"/>
      <c r="F61" s="2202"/>
      <c r="G61" s="2202"/>
      <c r="H61" s="2202"/>
      <c r="I61" s="2202"/>
      <c r="J61" s="2203"/>
    </row>
    <row r="62" spans="1:10" s="181" customFormat="1" x14ac:dyDescent="0.2">
      <c r="A62" s="253"/>
      <c r="B62" s="2201"/>
      <c r="C62" s="2202"/>
      <c r="D62" s="2202"/>
      <c r="E62" s="2202"/>
      <c r="F62" s="2202"/>
      <c r="G62" s="2202"/>
      <c r="H62" s="2202"/>
      <c r="I62" s="2202"/>
      <c r="J62" s="2203"/>
    </row>
    <row r="63" spans="1:10" s="181" customFormat="1" x14ac:dyDescent="0.2">
      <c r="A63" s="253"/>
      <c r="B63" s="2201"/>
      <c r="C63" s="2202"/>
      <c r="D63" s="2202"/>
      <c r="E63" s="2202"/>
      <c r="F63" s="2202"/>
      <c r="G63" s="2202"/>
      <c r="H63" s="2202"/>
      <c r="I63" s="2202"/>
      <c r="J63" s="2203"/>
    </row>
    <row r="64" spans="1:10" s="181" customFormat="1" x14ac:dyDescent="0.2">
      <c r="A64" s="253"/>
      <c r="B64" s="2201"/>
      <c r="C64" s="2202"/>
      <c r="D64" s="2202"/>
      <c r="E64" s="2202"/>
      <c r="F64" s="2202"/>
      <c r="G64" s="2202"/>
      <c r="H64" s="2202"/>
      <c r="I64" s="2202"/>
      <c r="J64" s="2203"/>
    </row>
    <row r="65" spans="1:10" s="181" customFormat="1" x14ac:dyDescent="0.2">
      <c r="A65" s="253"/>
      <c r="B65" s="2201"/>
      <c r="C65" s="2202"/>
      <c r="D65" s="2202"/>
      <c r="E65" s="2202"/>
      <c r="F65" s="2202"/>
      <c r="G65" s="2202"/>
      <c r="H65" s="2202"/>
      <c r="I65" s="2202"/>
      <c r="J65" s="2203"/>
    </row>
    <row r="66" spans="1:10" s="181" customFormat="1" x14ac:dyDescent="0.2">
      <c r="A66" s="253"/>
      <c r="B66" s="2201"/>
      <c r="C66" s="2202"/>
      <c r="D66" s="2202"/>
      <c r="E66" s="2202"/>
      <c r="F66" s="2202"/>
      <c r="G66" s="2202"/>
      <c r="H66" s="2202"/>
      <c r="I66" s="2202"/>
      <c r="J66" s="2203"/>
    </row>
    <row r="67" spans="1:10" s="181" customFormat="1" ht="9" customHeight="1" x14ac:dyDescent="0.2">
      <c r="A67" s="254"/>
      <c r="B67" s="2204"/>
      <c r="C67" s="2205"/>
      <c r="D67" s="2205"/>
      <c r="E67" s="2205"/>
      <c r="F67" s="2205"/>
      <c r="G67" s="2205"/>
      <c r="H67" s="2205"/>
      <c r="I67" s="2205"/>
      <c r="J67" s="22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91" t="s">
        <v>1390</v>
      </c>
      <c r="B70" s="2194"/>
      <c r="C70" s="2194"/>
      <c r="D70" s="2194"/>
      <c r="E70" s="2195"/>
      <c r="F70" s="2195"/>
      <c r="G70" s="2195"/>
      <c r="H70" s="2195"/>
      <c r="I70" s="21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1743</v>
      </c>
      <c r="G77" s="297" t="s">
        <v>2016</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96" t="s">
        <v>1387</v>
      </c>
      <c r="B83" s="2196"/>
      <c r="C83" s="2196"/>
      <c r="D83" s="21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1231</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78"/>
      <c r="C102" s="2179"/>
      <c r="D102" s="2179"/>
      <c r="E102" s="2179"/>
      <c r="F102" s="2179"/>
      <c r="G102" s="2179"/>
      <c r="H102" s="2179"/>
      <c r="I102" s="2180"/>
    </row>
    <row r="103" spans="1:9" s="181" customFormat="1" ht="11.25" customHeight="1" x14ac:dyDescent="0.2">
      <c r="A103" s="316"/>
      <c r="B103" s="2181"/>
      <c r="C103" s="2182"/>
      <c r="D103" s="2182"/>
      <c r="E103" s="2182"/>
      <c r="F103" s="2182"/>
      <c r="G103" s="2182"/>
      <c r="H103" s="2182"/>
      <c r="I103" s="2183"/>
    </row>
    <row r="104" spans="1:9" s="181" customFormat="1" ht="11.25" customHeight="1" x14ac:dyDescent="0.2">
      <c r="A104" s="316"/>
      <c r="B104" s="2181"/>
      <c r="C104" s="2182"/>
      <c r="D104" s="2182"/>
      <c r="E104" s="2182"/>
      <c r="F104" s="2182"/>
      <c r="G104" s="2182"/>
      <c r="H104" s="2182"/>
      <c r="I104" s="2183"/>
    </row>
    <row r="105" spans="1:9" s="181" customFormat="1" x14ac:dyDescent="0.2">
      <c r="A105" s="316"/>
      <c r="B105" s="2181"/>
      <c r="C105" s="2182"/>
      <c r="D105" s="2182"/>
      <c r="E105" s="2182"/>
      <c r="F105" s="2182"/>
      <c r="G105" s="2182"/>
      <c r="H105" s="2182"/>
      <c r="I105" s="2183"/>
    </row>
    <row r="106" spans="1:9" s="181" customFormat="1" ht="11.25" customHeight="1" x14ac:dyDescent="0.2">
      <c r="A106" s="316"/>
      <c r="B106" s="2181"/>
      <c r="C106" s="2182"/>
      <c r="D106" s="2182"/>
      <c r="E106" s="2182"/>
      <c r="F106" s="2182"/>
      <c r="G106" s="2182"/>
      <c r="H106" s="2182"/>
      <c r="I106" s="2183"/>
    </row>
    <row r="107" spans="1:9" s="181" customFormat="1" ht="11.25" customHeight="1" x14ac:dyDescent="0.2">
      <c r="A107" s="316"/>
      <c r="B107" s="2181"/>
      <c r="C107" s="2182"/>
      <c r="D107" s="2182"/>
      <c r="E107" s="2182"/>
      <c r="F107" s="2182"/>
      <c r="G107" s="2182"/>
      <c r="H107" s="2182"/>
      <c r="I107" s="2183"/>
    </row>
    <row r="108" spans="1:9" s="181" customFormat="1" ht="11.25" customHeight="1" x14ac:dyDescent="0.2">
      <c r="A108" s="316"/>
      <c r="B108" s="2181"/>
      <c r="C108" s="2182"/>
      <c r="D108" s="2182"/>
      <c r="E108" s="2182"/>
      <c r="F108" s="2182"/>
      <c r="G108" s="2182"/>
      <c r="H108" s="2182"/>
      <c r="I108" s="2183"/>
    </row>
    <row r="109" spans="1:9" s="181" customFormat="1" ht="11.25" customHeight="1" x14ac:dyDescent="0.2">
      <c r="A109" s="316"/>
      <c r="B109" s="2181"/>
      <c r="C109" s="2182"/>
      <c r="D109" s="2182"/>
      <c r="E109" s="2182"/>
      <c r="F109" s="2182"/>
      <c r="G109" s="2182"/>
      <c r="H109" s="2182"/>
      <c r="I109" s="2183"/>
    </row>
    <row r="110" spans="1:9" s="181" customFormat="1" ht="11.25" customHeight="1" x14ac:dyDescent="0.2">
      <c r="A110" s="316"/>
      <c r="B110" s="2181"/>
      <c r="C110" s="2182"/>
      <c r="D110" s="2182"/>
      <c r="E110" s="2182"/>
      <c r="F110" s="2182"/>
      <c r="G110" s="2182"/>
      <c r="H110" s="2182"/>
      <c r="I110" s="2183"/>
    </row>
    <row r="111" spans="1:9" s="181" customFormat="1" ht="11.25" customHeight="1" x14ac:dyDescent="0.2">
      <c r="A111" s="316"/>
      <c r="B111" s="2181"/>
      <c r="C111" s="2182"/>
      <c r="D111" s="2182"/>
      <c r="E111" s="2182"/>
      <c r="F111" s="2182"/>
      <c r="G111" s="2182"/>
      <c r="H111" s="2182"/>
      <c r="I111" s="2183"/>
    </row>
    <row r="112" spans="1:9" s="181" customFormat="1" ht="11.25" customHeight="1" x14ac:dyDescent="0.2">
      <c r="A112" s="316"/>
      <c r="B112" s="2184"/>
      <c r="C112" s="2185"/>
      <c r="D112" s="2185"/>
      <c r="E112" s="2185"/>
      <c r="F112" s="2185"/>
      <c r="G112" s="2185"/>
      <c r="H112" s="2185"/>
      <c r="I112" s="21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87" t="s">
        <v>2079</v>
      </c>
      <c r="D114" s="21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88" t="s">
        <v>1397</v>
      </c>
      <c r="D117" s="2189"/>
      <c r="E117" s="2190"/>
      <c r="F117" s="2190"/>
      <c r="G117" s="2190"/>
      <c r="H117" s="2190"/>
      <c r="I117" s="304"/>
    </row>
    <row r="118" spans="1:9" s="181" customFormat="1" ht="24" customHeight="1" x14ac:dyDescent="0.2">
      <c r="A118" s="316"/>
      <c r="B118" s="316"/>
      <c r="C118" s="316"/>
      <c r="D118" s="323" t="s">
        <v>2178</v>
      </c>
      <c r="E118" s="322"/>
      <c r="F118" s="324"/>
      <c r="G118" s="1858"/>
      <c r="H118" s="322"/>
      <c r="I118" s="304"/>
    </row>
    <row r="119" spans="1:9" s="181" customFormat="1" ht="11.25" customHeight="1" x14ac:dyDescent="0.2">
      <c r="A119" s="325"/>
      <c r="B119" s="325"/>
      <c r="C119" s="326"/>
      <c r="D119" s="327" t="s">
        <v>379</v>
      </c>
      <c r="E119" s="310"/>
      <c r="F119" s="1857" t="s">
        <v>2017</v>
      </c>
      <c r="G119" s="328"/>
      <c r="H119" s="328"/>
      <c r="I119" s="304"/>
    </row>
    <row r="120" spans="1:9" x14ac:dyDescent="0.2">
      <c r="A120" s="329"/>
      <c r="B120" s="180"/>
      <c r="C120" s="330"/>
      <c r="D120" s="256"/>
      <c r="E120" s="256"/>
      <c r="F120" s="256"/>
      <c r="G120" s="256"/>
      <c r="H120" s="256"/>
      <c r="I120" s="304"/>
    </row>
    <row r="121" spans="1:9" x14ac:dyDescent="0.2">
      <c r="A121" s="329"/>
      <c r="B121" s="1505"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07" t="s">
        <v>404</v>
      </c>
      <c r="B1" s="2207"/>
      <c r="C1" s="2207"/>
      <c r="D1" s="2207"/>
      <c r="E1" s="2207"/>
      <c r="F1" s="2207"/>
      <c r="G1" s="2207"/>
      <c r="H1" s="2207"/>
      <c r="I1" s="2207"/>
      <c r="J1" s="2207"/>
      <c r="K1" s="2207"/>
      <c r="L1" s="2207"/>
      <c r="M1" s="22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290</v>
      </c>
      <c r="G7" s="222"/>
      <c r="H7" s="222"/>
      <c r="I7" s="222"/>
      <c r="J7" s="352">
        <v>76448034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49">
        <f>ROUND(D10+F10+H10,5)</f>
        <v>2.5399999999999999E-2</v>
      </c>
      <c r="K10" s="222"/>
      <c r="L10" s="355">
        <v>5.0000000000000001E-4</v>
      </c>
      <c r="M10" s="222"/>
    </row>
    <row r="11" spans="1:14" ht="7.5" customHeight="1" x14ac:dyDescent="0.2">
      <c r="B11" s="222"/>
      <c r="C11" s="222"/>
      <c r="D11" s="2217" t="str">
        <f>IF(SUM(J10)&lt;=0.0999999,"","Enter the Tax Rates by moving the decimal two places to the left.")</f>
        <v/>
      </c>
      <c r="E11" s="2218"/>
      <c r="F11" s="2218"/>
      <c r="G11" s="2218"/>
      <c r="H11" s="2218"/>
      <c r="I11" s="2218"/>
      <c r="J11" s="22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18506752</v>
      </c>
      <c r="E16" s="356"/>
      <c r="F16" s="1750">
        <f>SUM('Acct Summary 7-8'!C17,'Acct Summary 7-8'!D17,'Acct Summary 7-8'!F17)</f>
        <v>17442974</v>
      </c>
      <c r="G16" s="356"/>
      <c r="H16" s="1750">
        <f>SUM(D16-F16)</f>
        <v>1063778</v>
      </c>
      <c r="I16" s="222"/>
      <c r="J16" s="1750">
        <f>SUM('Acct Summary 7-8'!C81,'Acct Summary 7-8'!D81,'Acct Summary 7-8'!F81,'Acct Summary 7-8'!I81)</f>
        <v>11246687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1747</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f>IF(B31="X",(J7*0.069),IF(B32="X",(J7*0.138),"Enter x in a.or b."))</f>
        <v>10549828.692000002</v>
      </c>
      <c r="I31" s="368"/>
      <c r="J31" s="222"/>
      <c r="K31" s="222"/>
      <c r="L31" s="222"/>
      <c r="M31" s="222"/>
    </row>
    <row r="32" spans="1:13" ht="13.35" customHeight="1" x14ac:dyDescent="0.2">
      <c r="B32" s="369" t="s">
        <v>2072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6443000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08"/>
      <c r="C54" s="2209"/>
      <c r="D54" s="2209"/>
      <c r="E54" s="2209"/>
      <c r="F54" s="2209"/>
      <c r="G54" s="2209"/>
      <c r="H54" s="2209"/>
      <c r="I54" s="2209"/>
      <c r="J54" s="2209"/>
      <c r="K54" s="2209"/>
      <c r="L54" s="2210"/>
      <c r="M54" s="380"/>
    </row>
    <row r="55" spans="1:13" ht="12.75" customHeight="1" x14ac:dyDescent="0.2">
      <c r="B55" s="2211"/>
      <c r="C55" s="2212"/>
      <c r="D55" s="2212"/>
      <c r="E55" s="2212"/>
      <c r="F55" s="2212"/>
      <c r="G55" s="2212"/>
      <c r="H55" s="2212"/>
      <c r="I55" s="2212"/>
      <c r="J55" s="2212"/>
      <c r="K55" s="2212"/>
      <c r="L55" s="2213"/>
      <c r="M55" s="380"/>
    </row>
    <row r="56" spans="1:13" ht="12.75" customHeight="1" x14ac:dyDescent="0.2">
      <c r="B56" s="2211"/>
      <c r="C56" s="2212"/>
      <c r="D56" s="2212"/>
      <c r="E56" s="2212"/>
      <c r="F56" s="2212"/>
      <c r="G56" s="2212"/>
      <c r="H56" s="2212"/>
      <c r="I56" s="2212"/>
      <c r="J56" s="2212"/>
      <c r="K56" s="2212"/>
      <c r="L56" s="2213"/>
      <c r="M56" s="222"/>
    </row>
    <row r="57" spans="1:13" ht="12.75" customHeight="1" x14ac:dyDescent="0.2">
      <c r="B57" s="2211"/>
      <c r="C57" s="2212"/>
      <c r="D57" s="2212"/>
      <c r="E57" s="2212"/>
      <c r="F57" s="2212"/>
      <c r="G57" s="2212"/>
      <c r="H57" s="2212"/>
      <c r="I57" s="2212"/>
      <c r="J57" s="2212"/>
      <c r="K57" s="2212"/>
      <c r="L57" s="2213"/>
      <c r="M57" s="222"/>
    </row>
    <row r="58" spans="1:13" x14ac:dyDescent="0.2">
      <c r="B58" s="2214"/>
      <c r="C58" s="2215"/>
      <c r="D58" s="2215"/>
      <c r="E58" s="2215"/>
      <c r="F58" s="2215"/>
      <c r="G58" s="2215"/>
      <c r="H58" s="2215"/>
      <c r="I58" s="2215"/>
      <c r="J58" s="2215"/>
      <c r="K58" s="2215"/>
      <c r="L58" s="22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19"/>
      <c r="D61" s="22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22"/>
      <c r="B1" s="2223"/>
      <c r="C1" s="2223"/>
      <c r="D1" s="384"/>
      <c r="E1" s="384"/>
      <c r="F1" s="384"/>
      <c r="G1" s="384"/>
      <c r="H1" s="384"/>
      <c r="I1" s="384"/>
      <c r="J1" s="384"/>
      <c r="K1" s="384"/>
      <c r="L1" s="384"/>
      <c r="M1" s="384"/>
      <c r="N1" s="384"/>
      <c r="O1" s="2222"/>
      <c r="P1" s="2223"/>
      <c r="Q1" s="2223"/>
    </row>
    <row r="2" spans="1:18" ht="15" x14ac:dyDescent="0.2">
      <c r="A2" s="2226" t="s">
        <v>577</v>
      </c>
      <c r="B2" s="2226"/>
      <c r="C2" s="2226"/>
      <c r="D2" s="2226"/>
      <c r="E2" s="2226"/>
      <c r="F2" s="2226"/>
      <c r="G2" s="2226"/>
      <c r="H2" s="2226"/>
      <c r="I2" s="2226"/>
      <c r="J2" s="2226"/>
      <c r="K2" s="2226"/>
      <c r="L2" s="2226"/>
      <c r="M2" s="2226"/>
      <c r="N2" s="2226"/>
      <c r="O2" s="2226"/>
      <c r="P2" s="2226"/>
      <c r="Q2" s="2226"/>
      <c r="R2" s="2226"/>
    </row>
    <row r="3" spans="1:18" ht="12.75" x14ac:dyDescent="0.2">
      <c r="A3" s="2227" t="s">
        <v>1480</v>
      </c>
      <c r="B3" s="2227"/>
      <c r="C3" s="2227"/>
      <c r="D3" s="2227"/>
      <c r="E3" s="2227"/>
      <c r="F3" s="2227"/>
      <c r="G3" s="2227"/>
      <c r="H3" s="2227"/>
      <c r="I3" s="2227"/>
      <c r="J3" s="2227"/>
      <c r="K3" s="2227"/>
      <c r="L3" s="2227"/>
      <c r="M3" s="2227"/>
      <c r="N3" s="2227"/>
      <c r="O3" s="2227"/>
      <c r="P3" s="2227"/>
      <c r="Q3" s="2227"/>
      <c r="R3" s="2227"/>
    </row>
    <row r="4" spans="1:18" x14ac:dyDescent="0.2">
      <c r="A4" s="2228" t="s">
        <v>1633</v>
      </c>
      <c r="B4" s="2228"/>
      <c r="C4" s="2228"/>
      <c r="D4" s="2228"/>
      <c r="E4" s="2228"/>
      <c r="F4" s="2228"/>
      <c r="G4" s="2228"/>
      <c r="H4" s="2228"/>
      <c r="I4" s="2228"/>
      <c r="J4" s="2228"/>
      <c r="K4" s="2228"/>
      <c r="L4" s="2228"/>
      <c r="M4" s="2228"/>
      <c r="N4" s="2228"/>
      <c r="O4" s="2228"/>
      <c r="P4" s="2228"/>
      <c r="Q4" s="2228"/>
      <c r="R4" s="22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Kewanee CUSD 229</v>
      </c>
      <c r="E7" s="391"/>
      <c r="G7" s="252"/>
      <c r="H7" s="387"/>
      <c r="I7" s="387"/>
      <c r="J7" s="387"/>
      <c r="K7" s="387"/>
      <c r="L7" s="329"/>
      <c r="M7" s="329"/>
      <c r="N7" s="329"/>
      <c r="O7" s="329"/>
      <c r="P7" s="329"/>
    </row>
    <row r="8" spans="1:18" ht="12.75" x14ac:dyDescent="0.2">
      <c r="A8" s="329"/>
      <c r="B8" s="329"/>
      <c r="C8" s="389" t="s">
        <v>1187</v>
      </c>
      <c r="D8" s="392">
        <f>COVER!A13</f>
        <v>28037229026</v>
      </c>
      <c r="E8" s="393"/>
      <c r="G8" s="329"/>
      <c r="H8" s="329"/>
      <c r="I8" s="329"/>
      <c r="J8" s="329"/>
      <c r="K8" s="329"/>
      <c r="L8" s="329"/>
      <c r="M8" s="329"/>
      <c r="N8" s="329"/>
      <c r="O8" s="329"/>
      <c r="P8" s="329"/>
    </row>
    <row r="9" spans="1:18" ht="12.75" x14ac:dyDescent="0.2">
      <c r="A9" s="329"/>
      <c r="B9" s="329"/>
      <c r="C9" s="389" t="s">
        <v>737</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11246687</v>
      </c>
      <c r="I12" s="404"/>
      <c r="J12" s="404"/>
      <c r="K12" s="405">
        <f>TRUNC((H12/H13*100000),5)/100000</f>
        <v>0.60770723029999996</v>
      </c>
      <c r="L12" s="406"/>
      <c r="M12" s="360" t="s">
        <v>1206</v>
      </c>
      <c r="N12" s="360"/>
      <c r="O12" s="407">
        <v>0.35</v>
      </c>
      <c r="P12" s="218"/>
      <c r="Q12" s="218"/>
    </row>
    <row r="13" spans="1:18" s="408" customFormat="1" ht="12.75" x14ac:dyDescent="0.2">
      <c r="A13" s="218"/>
      <c r="B13" s="401"/>
      <c r="C13" s="2224" t="s">
        <v>1391</v>
      </c>
      <c r="D13" s="2225"/>
      <c r="E13" s="218"/>
      <c r="F13" s="409" t="s">
        <v>826</v>
      </c>
      <c r="G13" s="402"/>
      <c r="H13" s="403">
        <f>SUM('Acct Summary 7-8'!C8+'Acct Summary 7-8'!D8+'Acct Summary 7-8'!F8+'Acct Summary 7-8'!I8)+H14</f>
        <v>18506752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17442974</v>
      </c>
      <c r="I17" s="404"/>
      <c r="J17" s="416"/>
      <c r="K17" s="405">
        <f>TRUNC((H17/H18*100000),5)/100000</f>
        <v>0.94251946529999997</v>
      </c>
      <c r="L17" s="406"/>
      <c r="M17" s="417" t="s">
        <v>1233</v>
      </c>
      <c r="O17" s="418" t="str">
        <f>IF(AND(O16="2", J20 &gt; 2),"1",IF(AND(O16 = "1", J20 &gt; 2),"2",IF(AND(O16="1", J20 &gt;1),"1","0")))</f>
        <v>0</v>
      </c>
      <c r="P17" s="218"/>
    </row>
    <row r="18" spans="1:18" s="408" customFormat="1" ht="11.25" x14ac:dyDescent="0.2">
      <c r="A18" s="218"/>
      <c r="B18" s="401"/>
      <c r="C18" s="2224" t="s">
        <v>1384</v>
      </c>
      <c r="D18" s="2225"/>
      <c r="E18" s="218"/>
      <c r="F18" s="419" t="s">
        <v>827</v>
      </c>
      <c r="G18" s="402"/>
      <c r="H18" s="403">
        <f>SUM('Acct Summary 7-8'!C8+'Acct Summary 7-8'!D8+'Acct Summary 7-8'!F8+'Acct Summary 7-8'!I8)+H19</f>
        <v>18506752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21" t="s">
        <v>1479</v>
      </c>
      <c r="D24" s="2221"/>
      <c r="E24" s="218"/>
      <c r="F24" s="218" t="s">
        <v>465</v>
      </c>
      <c r="G24" s="402"/>
      <c r="H24" s="403">
        <f>SUM('Assets-Liab 5-6'!C4+'Assets-Liab 5-6'!D4+'Assets-Liab 5-6'!F4+'Assets-Liab 5-6'!I4+'Assets-Liab 5-6'!C5+'Assets-Liab 5-6'!D5+'Assets-Liab 5-6'!F5+'Assets-Liab 5-6'!I5)</f>
        <v>11253675</v>
      </c>
      <c r="I24" s="422"/>
      <c r="J24" s="422"/>
      <c r="K24" s="423">
        <f>TRUNC(((H24/H25*100000)/100000),2)</f>
        <v>232.26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48452.705560000002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1650513.05406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6443000</v>
      </c>
      <c r="I32" s="420"/>
      <c r="J32" s="420"/>
      <c r="K32" s="423">
        <f>TRUNC(100-((((H32/H33*100))*100)/100),2)</f>
        <v>38.92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10549828.692000002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31" t="s">
        <v>1030</v>
      </c>
      <c r="B3" s="2232"/>
      <c r="C3" s="1576"/>
      <c r="D3" s="1577"/>
      <c r="E3" s="1577"/>
      <c r="F3" s="1577"/>
      <c r="G3" s="1577"/>
      <c r="H3" s="1577"/>
      <c r="I3" s="1577"/>
      <c r="J3" s="1577"/>
      <c r="K3" s="1577"/>
      <c r="L3" s="1577"/>
      <c r="M3" s="1578"/>
      <c r="N3" s="1579"/>
    </row>
    <row r="4" spans="1:14" ht="13.5" customHeight="1" x14ac:dyDescent="0.2">
      <c r="A4" s="463" t="s">
        <v>1748</v>
      </c>
      <c r="B4" s="464"/>
      <c r="C4" s="465">
        <v>6513078</v>
      </c>
      <c r="D4" s="465">
        <v>1546322</v>
      </c>
      <c r="E4" s="466">
        <v>694152</v>
      </c>
      <c r="F4" s="466">
        <v>805319</v>
      </c>
      <c r="G4" s="466">
        <v>952507</v>
      </c>
      <c r="H4" s="466">
        <v>3322178</v>
      </c>
      <c r="I4" s="466">
        <v>486482</v>
      </c>
      <c r="J4" s="467">
        <v>256798</v>
      </c>
      <c r="K4" s="466">
        <v>63277</v>
      </c>
      <c r="L4" s="466">
        <v>284866</v>
      </c>
      <c r="M4" s="468"/>
      <c r="N4" s="469"/>
    </row>
    <row r="5" spans="1:14" x14ac:dyDescent="0.2">
      <c r="A5" s="463" t="s">
        <v>1049</v>
      </c>
      <c r="B5" s="470">
        <v>120</v>
      </c>
      <c r="C5" s="465">
        <v>1764591</v>
      </c>
      <c r="D5" s="466">
        <v>130257</v>
      </c>
      <c r="E5" s="466">
        <v>975085</v>
      </c>
      <c r="F5" s="466">
        <v>7626</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3" t="s">
        <v>665</v>
      </c>
      <c r="B13" s="1726"/>
      <c r="C13" s="1754">
        <f>SUM(C4:C12)</f>
        <v>8277669</v>
      </c>
      <c r="D13" s="1754">
        <f t="shared" ref="D13:L13" si="0">SUM(D4:D12)</f>
        <v>1676579</v>
      </c>
      <c r="E13" s="1754">
        <f t="shared" si="0"/>
        <v>1669237</v>
      </c>
      <c r="F13" s="1754">
        <f t="shared" si="0"/>
        <v>812945</v>
      </c>
      <c r="G13" s="1754">
        <f t="shared" si="0"/>
        <v>952507</v>
      </c>
      <c r="H13" s="1754">
        <f t="shared" si="0"/>
        <v>3322178</v>
      </c>
      <c r="I13" s="1754">
        <f t="shared" si="0"/>
        <v>486482</v>
      </c>
      <c r="J13" s="1754">
        <f t="shared" si="0"/>
        <v>256798</v>
      </c>
      <c r="K13" s="1754">
        <f t="shared" si="0"/>
        <v>63277</v>
      </c>
      <c r="L13" s="1754">
        <f t="shared" si="0"/>
        <v>284866</v>
      </c>
      <c r="M13" s="468"/>
      <c r="N13" s="469"/>
    </row>
    <row r="14" spans="1:14" ht="18" customHeight="1" thickTop="1" x14ac:dyDescent="0.2">
      <c r="A14" s="2233" t="s">
        <v>149</v>
      </c>
      <c r="B14" s="2234"/>
      <c r="C14" s="1580"/>
      <c r="D14" s="1581"/>
      <c r="E14" s="1581"/>
      <c r="F14" s="1581"/>
      <c r="G14" s="1581"/>
      <c r="H14" s="1581"/>
      <c r="I14" s="1581"/>
      <c r="J14" s="1581"/>
      <c r="K14" s="1581"/>
      <c r="L14" s="1581"/>
      <c r="M14" s="1582"/>
      <c r="N14" s="1583"/>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396790</v>
      </c>
      <c r="N16" s="483"/>
    </row>
    <row r="17" spans="1:14" s="484" customFormat="1" ht="12.75" customHeight="1" x14ac:dyDescent="0.2">
      <c r="A17" s="481" t="s">
        <v>1470</v>
      </c>
      <c r="B17" s="482">
        <v>230</v>
      </c>
      <c r="C17" s="476"/>
      <c r="D17" s="476"/>
      <c r="E17" s="476"/>
      <c r="F17" s="476"/>
      <c r="G17" s="476"/>
      <c r="H17" s="476"/>
      <c r="I17" s="476"/>
      <c r="J17" s="476"/>
      <c r="K17" s="476"/>
      <c r="L17" s="476"/>
      <c r="M17" s="467">
        <v>22988062</v>
      </c>
      <c r="N17" s="483"/>
    </row>
    <row r="18" spans="1:14" s="484" customFormat="1" ht="12.75" customHeight="1" x14ac:dyDescent="0.2">
      <c r="A18" s="481" t="s">
        <v>1471</v>
      </c>
      <c r="B18" s="482">
        <v>240</v>
      </c>
      <c r="C18" s="476"/>
      <c r="D18" s="476"/>
      <c r="E18" s="476"/>
      <c r="F18" s="476"/>
      <c r="G18" s="476"/>
      <c r="H18" s="476"/>
      <c r="I18" s="476"/>
      <c r="J18" s="476"/>
      <c r="K18" s="476"/>
      <c r="L18" s="476"/>
      <c r="M18" s="467">
        <v>2985451</v>
      </c>
      <c r="N18" s="483"/>
    </row>
    <row r="19" spans="1:14" s="484" customFormat="1" ht="12.75" customHeight="1" x14ac:dyDescent="0.2">
      <c r="A19" s="481" t="s">
        <v>1472</v>
      </c>
      <c r="B19" s="482">
        <v>250</v>
      </c>
      <c r="C19" s="476"/>
      <c r="D19" s="476"/>
      <c r="E19" s="476"/>
      <c r="F19" s="476"/>
      <c r="G19" s="476"/>
      <c r="H19" s="476"/>
      <c r="I19" s="476"/>
      <c r="J19" s="476"/>
      <c r="K19" s="476"/>
      <c r="L19" s="476"/>
      <c r="M19" s="467">
        <v>5560351</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1669237</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4773763</v>
      </c>
    </row>
    <row r="23" spans="1:14" ht="13.5" customHeight="1" thickBot="1" x14ac:dyDescent="0.25">
      <c r="A23" s="1753" t="s">
        <v>664</v>
      </c>
      <c r="B23" s="1758"/>
      <c r="C23" s="468"/>
      <c r="D23" s="468"/>
      <c r="E23" s="468"/>
      <c r="F23" s="468"/>
      <c r="G23" s="468"/>
      <c r="H23" s="468"/>
      <c r="I23" s="468"/>
      <c r="J23" s="468"/>
      <c r="K23" s="468"/>
      <c r="L23" s="468"/>
      <c r="M23" s="1705">
        <f>SUM(M15:M22)</f>
        <v>31930654</v>
      </c>
      <c r="N23" s="1705">
        <f>SUM(N21:N22)</f>
        <v>6443000</v>
      </c>
    </row>
    <row r="24" spans="1:14" ht="18" customHeight="1" thickTop="1" x14ac:dyDescent="0.2">
      <c r="A24" s="2235" t="s">
        <v>619</v>
      </c>
      <c r="B24" s="2236"/>
      <c r="C24" s="1585"/>
      <c r="D24" s="1582"/>
      <c r="E24" s="1582"/>
      <c r="F24" s="1582"/>
      <c r="G24" s="1582"/>
      <c r="H24" s="1582"/>
      <c r="I24" s="1582"/>
      <c r="J24" s="1582"/>
      <c r="K24" s="1582"/>
      <c r="L24" s="1582"/>
      <c r="M24" s="1581"/>
      <c r="N24" s="1586"/>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6988</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178824</v>
      </c>
      <c r="M33" s="468"/>
      <c r="N33" s="469"/>
    </row>
    <row r="34" spans="1:14" ht="13.5" customHeight="1" thickBot="1" x14ac:dyDescent="0.25">
      <c r="A34" s="1755" t="s">
        <v>675</v>
      </c>
      <c r="B34" s="1756"/>
      <c r="C34" s="1757">
        <f>SUM(C25:C33)</f>
        <v>6988</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178824</v>
      </c>
      <c r="M34" s="468"/>
      <c r="N34" s="479"/>
    </row>
    <row r="35" spans="1:14" ht="18" customHeight="1" thickTop="1" x14ac:dyDescent="0.2">
      <c r="A35" s="2237" t="s">
        <v>550</v>
      </c>
      <c r="B35" s="2238"/>
      <c r="C35" s="1587"/>
      <c r="D35" s="1588"/>
      <c r="E35" s="1588"/>
      <c r="F35" s="1588"/>
      <c r="G35" s="1588"/>
      <c r="H35" s="1588"/>
      <c r="I35" s="1588"/>
      <c r="J35" s="1588"/>
      <c r="K35" s="1588"/>
      <c r="L35" s="1588"/>
      <c r="M35" s="1582"/>
      <c r="N35" s="1586"/>
    </row>
    <row r="36" spans="1:14" x14ac:dyDescent="0.2">
      <c r="A36" s="492" t="s">
        <v>1</v>
      </c>
      <c r="B36" s="470">
        <v>511</v>
      </c>
      <c r="C36" s="476"/>
      <c r="D36" s="476"/>
      <c r="E36" s="476"/>
      <c r="F36" s="476"/>
      <c r="G36" s="476"/>
      <c r="H36" s="476"/>
      <c r="I36" s="476"/>
      <c r="J36" s="476"/>
      <c r="K36" s="476"/>
      <c r="L36" s="468"/>
      <c r="M36" s="468"/>
      <c r="N36" s="493">
        <f>'Short-Term Long-Term Debt 24'!I49</f>
        <v>6443000</v>
      </c>
    </row>
    <row r="37" spans="1:14" ht="13.5" thickBot="1" x14ac:dyDescent="0.25">
      <c r="A37" s="1753" t="s">
        <v>674</v>
      </c>
      <c r="B37" s="1758"/>
      <c r="C37" s="476"/>
      <c r="D37" s="476"/>
      <c r="E37" s="476"/>
      <c r="F37" s="476"/>
      <c r="G37" s="476"/>
      <c r="H37" s="476"/>
      <c r="I37" s="476"/>
      <c r="J37" s="476"/>
      <c r="K37" s="476"/>
      <c r="L37" s="479"/>
      <c r="M37" s="468"/>
      <c r="N37" s="1705">
        <f>SUM(N36:N36)</f>
        <v>6443000</v>
      </c>
    </row>
    <row r="38" spans="1:14" s="329" customFormat="1" ht="13.5" customHeight="1" thickTop="1" x14ac:dyDescent="0.2">
      <c r="A38" s="494" t="s">
        <v>440</v>
      </c>
      <c r="B38" s="482">
        <v>714</v>
      </c>
      <c r="C38" s="465">
        <v>0</v>
      </c>
      <c r="D38" s="465">
        <v>84732</v>
      </c>
      <c r="E38" s="465">
        <v>1558706</v>
      </c>
      <c r="F38" s="465">
        <v>0</v>
      </c>
      <c r="G38" s="465">
        <v>572229</v>
      </c>
      <c r="H38" s="465">
        <v>0</v>
      </c>
      <c r="I38" s="465">
        <v>0</v>
      </c>
      <c r="J38" s="465">
        <v>0</v>
      </c>
      <c r="K38" s="465">
        <v>0</v>
      </c>
      <c r="L38" s="465">
        <v>106042</v>
      </c>
      <c r="M38" s="495"/>
      <c r="N38" s="495"/>
    </row>
    <row r="39" spans="1:14" s="329" customFormat="1" ht="13.5" customHeight="1" x14ac:dyDescent="0.2">
      <c r="A39" s="494" t="s">
        <v>360</v>
      </c>
      <c r="B39" s="482">
        <v>730</v>
      </c>
      <c r="C39" s="465">
        <v>8270681</v>
      </c>
      <c r="D39" s="465">
        <v>1591847</v>
      </c>
      <c r="E39" s="465">
        <v>110531</v>
      </c>
      <c r="F39" s="465">
        <v>812945</v>
      </c>
      <c r="G39" s="465">
        <v>380278</v>
      </c>
      <c r="H39" s="465">
        <v>3322178</v>
      </c>
      <c r="I39" s="465">
        <v>486482</v>
      </c>
      <c r="J39" s="465">
        <v>256798</v>
      </c>
      <c r="K39" s="465">
        <v>63277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31930654</v>
      </c>
      <c r="N40" s="495"/>
    </row>
    <row r="41" spans="1:14" ht="13.5" customHeight="1" thickBot="1" x14ac:dyDescent="0.25">
      <c r="A41" s="1753" t="s">
        <v>676</v>
      </c>
      <c r="B41" s="1723"/>
      <c r="C41" s="1705">
        <f>(SUM(C34,C37,C38,C39))</f>
        <v>8277669</v>
      </c>
      <c r="D41" s="1705">
        <f t="shared" ref="D41:L41" si="2">SUM(D34,D37,D38:D39)</f>
        <v>1676579</v>
      </c>
      <c r="E41" s="1705">
        <f t="shared" si="2"/>
        <v>1669237</v>
      </c>
      <c r="F41" s="1705">
        <f t="shared" si="2"/>
        <v>812945</v>
      </c>
      <c r="G41" s="1705">
        <f t="shared" si="2"/>
        <v>952507</v>
      </c>
      <c r="H41" s="1705">
        <f t="shared" si="2"/>
        <v>3322178</v>
      </c>
      <c r="I41" s="1705">
        <f t="shared" si="2"/>
        <v>486482</v>
      </c>
      <c r="J41" s="1705">
        <f t="shared" si="2"/>
        <v>256798</v>
      </c>
      <c r="K41" s="1705">
        <f t="shared" si="2"/>
        <v>63277</v>
      </c>
      <c r="L41" s="1705">
        <f t="shared" si="2"/>
        <v>284866</v>
      </c>
      <c r="M41" s="1705">
        <f>SUM(M40)</f>
        <v>31930654</v>
      </c>
      <c r="N41" s="1705">
        <f>SUM(N37)</f>
        <v>6443000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0" sqref="L30"/>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47" t="s">
        <v>1749</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248"/>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59" t="s">
        <v>1237</v>
      </c>
      <c r="B3" s="2260"/>
      <c r="C3" s="1590"/>
      <c r="D3" s="1591"/>
      <c r="E3" s="1591"/>
      <c r="F3" s="1591"/>
      <c r="G3" s="1591"/>
      <c r="H3" s="1591"/>
      <c r="I3" s="1591"/>
      <c r="J3" s="1591"/>
      <c r="K3" s="1592"/>
      <c r="L3" s="504"/>
    </row>
    <row r="4" spans="1:13" ht="15.75" customHeight="1" x14ac:dyDescent="0.2">
      <c r="A4" s="1946" t="s">
        <v>1579</v>
      </c>
      <c r="B4" s="1947">
        <v>1000</v>
      </c>
      <c r="C4" s="1759">
        <f>'Revenues 9-14'!C109</f>
        <v>2665471</v>
      </c>
      <c r="D4" s="1759">
        <f>'Revenues 9-14'!D109</f>
        <v>567099</v>
      </c>
      <c r="E4" s="1759">
        <f>'Revenues 9-14'!E109</f>
        <v>628839</v>
      </c>
      <c r="F4" s="1759">
        <f>'Revenues 9-14'!F109</f>
        <v>208550</v>
      </c>
      <c r="G4" s="1759">
        <f>'Revenues 9-14'!G109</f>
        <v>763263</v>
      </c>
      <c r="H4" s="1759">
        <f>'Revenues 9-14'!H109</f>
        <v>278350</v>
      </c>
      <c r="I4" s="1759">
        <f>'Revenues 9-14'!I109</f>
        <v>44993</v>
      </c>
      <c r="J4" s="1759">
        <f>'Revenues 9-14'!J109</f>
        <v>567728</v>
      </c>
      <c r="K4" s="1759">
        <f>'Revenues 9-14'!K109</f>
        <v>38187</v>
      </c>
      <c r="L4" s="347"/>
    </row>
    <row r="5" spans="1:13" ht="15.75" customHeight="1" x14ac:dyDescent="0.2">
      <c r="A5" s="1593" t="s">
        <v>1580</v>
      </c>
      <c r="B5" s="1594">
        <v>2000</v>
      </c>
      <c r="C5" s="1760">
        <f>'Revenues 9-14'!C114</f>
        <v>0</v>
      </c>
      <c r="D5" s="1760">
        <f>'Revenues 9-14'!D114</f>
        <v>0</v>
      </c>
      <c r="E5" s="506"/>
      <c r="F5" s="1760">
        <f>'Revenues 9-14'!F114</f>
        <v>0</v>
      </c>
      <c r="G5" s="1760">
        <f>'Revenues 9-14'!G114</f>
        <v>0</v>
      </c>
      <c r="H5" s="507" t="s">
        <v>1231</v>
      </c>
      <c r="I5" s="508" t="s">
        <v>1231</v>
      </c>
      <c r="J5" s="509" t="s">
        <v>1231</v>
      </c>
      <c r="K5" s="510" t="s">
        <v>1231</v>
      </c>
      <c r="L5" s="347"/>
    </row>
    <row r="6" spans="1:13" ht="15.75" customHeight="1" x14ac:dyDescent="0.2">
      <c r="A6" s="1593" t="s">
        <v>1581</v>
      </c>
      <c r="B6" s="1595">
        <v>3000</v>
      </c>
      <c r="C6" s="1760">
        <f>'Revenues 9-14'!C173</f>
        <v>10462829</v>
      </c>
      <c r="D6" s="1760">
        <f>'Revenues 9-14'!D173</f>
        <v>1574232</v>
      </c>
      <c r="E6" s="1760">
        <f>'Revenues 9-14'!E173</f>
        <v>0</v>
      </c>
      <c r="F6" s="1760">
        <f>'Revenues 9-14'!F173</f>
        <v>798334</v>
      </c>
      <c r="G6" s="1760">
        <f>'Revenues 9-14'!G173</f>
        <v>0</v>
      </c>
      <c r="H6" s="1760">
        <f>'Revenues 9-14'!H173</f>
        <v>700000</v>
      </c>
      <c r="I6" s="1760">
        <f>'Revenues 9-14'!I173</f>
        <v>0</v>
      </c>
      <c r="J6" s="1760">
        <f>'Revenues 9-14'!J173</f>
        <v>0</v>
      </c>
      <c r="K6" s="1760">
        <f>'Revenues 9-14'!K173</f>
        <v>0</v>
      </c>
      <c r="L6" s="347"/>
      <c r="M6" s="511"/>
    </row>
    <row r="7" spans="1:13" ht="15.75" customHeight="1" x14ac:dyDescent="0.2">
      <c r="A7" s="1593" t="s">
        <v>1582</v>
      </c>
      <c r="B7" s="1595">
        <v>4000</v>
      </c>
      <c r="C7" s="1760">
        <f>'Revenues 9-14'!C274</f>
        <v>2185244</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1"/>
    </row>
    <row r="8" spans="1:13" ht="13.5" thickBot="1" x14ac:dyDescent="0.25">
      <c r="A8" s="1753" t="s">
        <v>1234</v>
      </c>
      <c r="B8" s="1726"/>
      <c r="C8" s="1705">
        <f>SUM(C4:C7)</f>
        <v>15313544</v>
      </c>
      <c r="D8" s="1705">
        <f t="shared" ref="D8:K8" si="0">SUM(D4:D7)</f>
        <v>2141331</v>
      </c>
      <c r="E8" s="1705">
        <f t="shared" si="0"/>
        <v>628839</v>
      </c>
      <c r="F8" s="1705">
        <f t="shared" si="0"/>
        <v>1006884</v>
      </c>
      <c r="G8" s="1705">
        <f t="shared" si="0"/>
        <v>763263</v>
      </c>
      <c r="H8" s="1705">
        <f t="shared" si="0"/>
        <v>978350</v>
      </c>
      <c r="I8" s="1705">
        <f t="shared" si="0"/>
        <v>44993</v>
      </c>
      <c r="J8" s="1705">
        <f t="shared" si="0"/>
        <v>567728</v>
      </c>
      <c r="K8" s="1705">
        <f t="shared" si="0"/>
        <v>38187</v>
      </c>
      <c r="L8" s="347"/>
    </row>
    <row r="9" spans="1:13" ht="15.75" thickTop="1" x14ac:dyDescent="0.2">
      <c r="A9" s="512" t="s">
        <v>1750</v>
      </c>
      <c r="B9" s="513">
        <v>3998</v>
      </c>
      <c r="C9" s="465">
        <v>5301489</v>
      </c>
      <c r="D9" s="514"/>
      <c r="E9" s="480"/>
      <c r="F9" s="480"/>
      <c r="G9" s="515"/>
      <c r="H9" s="480"/>
      <c r="I9" s="507" t="s">
        <v>1231</v>
      </c>
      <c r="J9" s="477"/>
      <c r="K9" s="480"/>
      <c r="L9" s="347"/>
    </row>
    <row r="10" spans="1:13" s="517" customFormat="1" ht="13.5" thickBot="1" x14ac:dyDescent="0.25">
      <c r="A10" s="1753" t="s">
        <v>1235</v>
      </c>
      <c r="B10" s="1726"/>
      <c r="C10" s="1705">
        <f>SUM(C8:C9)</f>
        <v>20615033</v>
      </c>
      <c r="D10" s="1705">
        <f t="shared" ref="D10:K10" si="1">SUM(D8:D9)</f>
        <v>2141331</v>
      </c>
      <c r="E10" s="1705">
        <f t="shared" si="1"/>
        <v>628839</v>
      </c>
      <c r="F10" s="1705">
        <f t="shared" si="1"/>
        <v>1006884</v>
      </c>
      <c r="G10" s="1705">
        <f t="shared" si="1"/>
        <v>763263</v>
      </c>
      <c r="H10" s="1705">
        <f t="shared" si="1"/>
        <v>978350</v>
      </c>
      <c r="I10" s="1705">
        <f t="shared" si="1"/>
        <v>44993</v>
      </c>
      <c r="J10" s="1705">
        <f t="shared" si="1"/>
        <v>567728</v>
      </c>
      <c r="K10" s="1705">
        <f t="shared" si="1"/>
        <v>38187</v>
      </c>
      <c r="L10" s="516"/>
    </row>
    <row r="11" spans="1:13" s="517" customFormat="1" ht="16.7" customHeight="1" thickTop="1" x14ac:dyDescent="0.2">
      <c r="A11" s="2233" t="s">
        <v>1238</v>
      </c>
      <c r="B11" s="2234"/>
      <c r="C11" s="1587"/>
      <c r="D11" s="1588"/>
      <c r="E11" s="1588"/>
      <c r="F11" s="1588"/>
      <c r="G11" s="1588"/>
      <c r="H11" s="1588"/>
      <c r="I11" s="1588"/>
      <c r="J11" s="1588"/>
      <c r="K11" s="1589"/>
      <c r="L11" s="516"/>
    </row>
    <row r="12" spans="1:13" ht="15.75" customHeight="1" x14ac:dyDescent="0.2">
      <c r="A12" s="1593" t="s">
        <v>476</v>
      </c>
      <c r="B12" s="1595">
        <v>1000</v>
      </c>
      <c r="C12" s="1759">
        <f>'Expenditures 15-22'!K33</f>
        <v>9228081</v>
      </c>
      <c r="D12" s="518" t="s">
        <v>1231</v>
      </c>
      <c r="E12" s="468" t="s">
        <v>1231</v>
      </c>
      <c r="F12" s="468" t="s">
        <v>1231</v>
      </c>
      <c r="G12" s="1759">
        <f>'Expenditures 15-22'!K229</f>
        <v>199762</v>
      </c>
      <c r="H12" s="519"/>
      <c r="I12" s="468" t="s">
        <v>1231</v>
      </c>
      <c r="J12" s="468" t="s">
        <v>1231</v>
      </c>
      <c r="K12" s="519" t="s">
        <v>1231</v>
      </c>
      <c r="L12" s="347"/>
    </row>
    <row r="13" spans="1:13" ht="15.75" customHeight="1" x14ac:dyDescent="0.2">
      <c r="A13" s="1593" t="s">
        <v>477</v>
      </c>
      <c r="B13" s="1595">
        <v>2000</v>
      </c>
      <c r="C13" s="1760">
        <f>'Expenditures 15-22'!K74</f>
        <v>3716290</v>
      </c>
      <c r="D13" s="1760">
        <f>'Expenditures 15-22'!K129</f>
        <v>1861291</v>
      </c>
      <c r="E13" s="469" t="s">
        <v>1231</v>
      </c>
      <c r="F13" s="1760">
        <f>'Expenditures 15-22'!K184</f>
        <v>759888</v>
      </c>
      <c r="G13" s="1760">
        <f>'Expenditures 15-22'!K279</f>
        <v>406914</v>
      </c>
      <c r="H13" s="1760">
        <f>'Expenditures 15-22'!K303</f>
        <v>409343</v>
      </c>
      <c r="I13" s="468" t="s">
        <v>1231</v>
      </c>
      <c r="J13" s="1760">
        <f>'Expenditures 15-22'!K330</f>
        <v>518417</v>
      </c>
      <c r="K13" s="1764">
        <f>'Expenditures 15-22'!K352</f>
        <v>30000</v>
      </c>
      <c r="L13" s="347"/>
    </row>
    <row r="14" spans="1:13" ht="15.75" customHeight="1" x14ac:dyDescent="0.2">
      <c r="A14" s="1593" t="s">
        <v>469</v>
      </c>
      <c r="B14" s="1595">
        <v>3000</v>
      </c>
      <c r="C14" s="1760">
        <f>'Expenditures 15-22'!K75</f>
        <v>85153</v>
      </c>
      <c r="D14" s="1760">
        <f>'Expenditures 15-22'!K130</f>
        <v>0</v>
      </c>
      <c r="E14" s="518" t="s">
        <v>1231</v>
      </c>
      <c r="F14" s="1760">
        <f>'Expenditures 15-22'!K185</f>
        <v>0</v>
      </c>
      <c r="G14" s="1760">
        <f>'Expenditures 15-22'!K280</f>
        <v>6305</v>
      </c>
      <c r="H14" s="510"/>
      <c r="I14" s="468" t="s">
        <v>1231</v>
      </c>
      <c r="J14" s="468" t="s">
        <v>1231</v>
      </c>
      <c r="K14" s="510" t="s">
        <v>1231</v>
      </c>
      <c r="L14" s="347"/>
    </row>
    <row r="15" spans="1:13" ht="15.75" customHeight="1" x14ac:dyDescent="0.2">
      <c r="A15" s="1593" t="s">
        <v>109</v>
      </c>
      <c r="B15" s="1595">
        <v>4000</v>
      </c>
      <c r="C15" s="1760">
        <f>'Expenditures 15-22'!K102</f>
        <v>1792271</v>
      </c>
      <c r="D15" s="1760">
        <f>'Expenditures 15-22'!K139</f>
        <v>0</v>
      </c>
      <c r="E15" s="1760">
        <f>'Expenditures 15-22'!K160</f>
        <v>0</v>
      </c>
      <c r="F15" s="1760">
        <f>'Expenditures 15-22'!K196</f>
        <v>0</v>
      </c>
      <c r="G15" s="1760">
        <f>'Expenditures 15-22'!K285</f>
        <v>53936</v>
      </c>
      <c r="H15" s="1760">
        <f>'Expenditures 15-22'!K310</f>
        <v>0</v>
      </c>
      <c r="I15" s="468" t="s">
        <v>1231</v>
      </c>
      <c r="J15" s="1853">
        <f>'Expenditures 15-22'!K334</f>
        <v>23533</v>
      </c>
      <c r="K15" s="1760">
        <f>'Expenditures 15-22'!K357</f>
        <v>0</v>
      </c>
      <c r="L15" s="347"/>
    </row>
    <row r="16" spans="1:13" ht="15.75" customHeight="1" x14ac:dyDescent="0.2">
      <c r="A16" s="1593" t="s">
        <v>470</v>
      </c>
      <c r="B16" s="1595">
        <v>5000</v>
      </c>
      <c r="C16" s="1760">
        <f>'Expenditures 15-22'!K112</f>
        <v>0</v>
      </c>
      <c r="D16" s="1760">
        <f>'Expenditures 15-22'!K149</f>
        <v>0</v>
      </c>
      <c r="E16" s="1760">
        <f>'Expenditures 15-22'!K172</f>
        <v>588650</v>
      </c>
      <c r="F16" s="1760">
        <f>'Expenditures 15-22'!K208</f>
        <v>0</v>
      </c>
      <c r="G16" s="1760">
        <f>'Expenditures 15-22'!K293</f>
        <v>0</v>
      </c>
      <c r="H16" s="521"/>
      <c r="I16" s="468" t="s">
        <v>1231</v>
      </c>
      <c r="J16" s="1765">
        <f>'Expenditures 15-22'!K340</f>
        <v>0</v>
      </c>
      <c r="K16" s="1760">
        <f>'Expenditures 15-22'!K365</f>
        <v>0</v>
      </c>
      <c r="L16" s="347"/>
    </row>
    <row r="17" spans="1:12" ht="13.5" thickBot="1" x14ac:dyDescent="0.25">
      <c r="A17" s="1725" t="s">
        <v>50</v>
      </c>
      <c r="B17" s="1726"/>
      <c r="C17" s="1705">
        <f t="shared" ref="C17:H17" si="2">SUM(C12:C16)</f>
        <v>14821795</v>
      </c>
      <c r="D17" s="1705">
        <f t="shared" si="2"/>
        <v>1861291</v>
      </c>
      <c r="E17" s="1705">
        <f t="shared" si="2"/>
        <v>588650</v>
      </c>
      <c r="F17" s="1705">
        <f t="shared" si="2"/>
        <v>759888</v>
      </c>
      <c r="G17" s="1705">
        <f t="shared" si="2"/>
        <v>666917</v>
      </c>
      <c r="H17" s="1705">
        <f t="shared" si="2"/>
        <v>409343</v>
      </c>
      <c r="I17" s="468"/>
      <c r="J17" s="1705">
        <f>SUM(J12:J16)</f>
        <v>541950</v>
      </c>
      <c r="K17" s="1705">
        <f>SUM(K12:K16)</f>
        <v>30000</v>
      </c>
      <c r="L17" s="347"/>
    </row>
    <row r="18" spans="1:12" ht="15" customHeight="1" thickTop="1" x14ac:dyDescent="0.2">
      <c r="A18" s="1761" t="s">
        <v>1751</v>
      </c>
      <c r="B18" s="1762">
        <v>4180</v>
      </c>
      <c r="C18" s="1759">
        <f t="shared" ref="C18:H18" si="3">C9</f>
        <v>5301489</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20123284</v>
      </c>
      <c r="D19" s="1705">
        <f t="shared" si="4"/>
        <v>1861291</v>
      </c>
      <c r="E19" s="1705">
        <f t="shared" si="4"/>
        <v>588650</v>
      </c>
      <c r="F19" s="1705">
        <f t="shared" si="4"/>
        <v>759888</v>
      </c>
      <c r="G19" s="1705">
        <f t="shared" si="4"/>
        <v>666917</v>
      </c>
      <c r="H19" s="1705">
        <f t="shared" si="4"/>
        <v>409343</v>
      </c>
      <c r="I19" s="468"/>
      <c r="J19" s="1705">
        <f>SUM(J17:J18)</f>
        <v>541950</v>
      </c>
      <c r="K19" s="1705">
        <f>SUM(K17:K18)</f>
        <v>30000</v>
      </c>
      <c r="L19" s="347"/>
    </row>
    <row r="20" spans="1:12" ht="16.5" thickTop="1" thickBot="1" x14ac:dyDescent="0.25">
      <c r="A20" s="2249" t="s">
        <v>1752</v>
      </c>
      <c r="B20" s="2250"/>
      <c r="C20" s="1763">
        <f>C8-C17</f>
        <v>491749</v>
      </c>
      <c r="D20" s="1763">
        <f t="shared" ref="D20:K20" si="5">D8-D17</f>
        <v>280040</v>
      </c>
      <c r="E20" s="1763">
        <f t="shared" si="5"/>
        <v>40189</v>
      </c>
      <c r="F20" s="1763">
        <f t="shared" si="5"/>
        <v>246996</v>
      </c>
      <c r="G20" s="1763">
        <f t="shared" si="5"/>
        <v>96346</v>
      </c>
      <c r="H20" s="1763">
        <f t="shared" si="5"/>
        <v>569007</v>
      </c>
      <c r="I20" s="1763">
        <f t="shared" si="5"/>
        <v>44993</v>
      </c>
      <c r="J20" s="1763">
        <f t="shared" si="5"/>
        <v>25778</v>
      </c>
      <c r="K20" s="1763">
        <f t="shared" si="5"/>
        <v>8187</v>
      </c>
      <c r="L20" s="347"/>
    </row>
    <row r="21" spans="1:12" ht="16.7" customHeight="1" thickTop="1" x14ac:dyDescent="0.2">
      <c r="A21" s="2261" t="s">
        <v>616</v>
      </c>
      <c r="B21" s="2262"/>
      <c r="C21" s="1587"/>
      <c r="D21" s="1588"/>
      <c r="E21" s="1588"/>
      <c r="F21" s="1588"/>
      <c r="G21" s="1588"/>
      <c r="H21" s="1588"/>
      <c r="I21" s="1588"/>
      <c r="J21" s="1588"/>
      <c r="K21" s="1589"/>
      <c r="L21" s="522"/>
    </row>
    <row r="22" spans="1:12" ht="15.75" customHeight="1" collapsed="1" x14ac:dyDescent="0.2">
      <c r="A22" s="2257" t="s">
        <v>617</v>
      </c>
      <c r="B22" s="2258"/>
      <c r="C22" s="476"/>
      <c r="D22" s="476"/>
      <c r="E22" s="476"/>
      <c r="F22" s="476"/>
      <c r="G22" s="476"/>
      <c r="H22" s="476"/>
      <c r="I22" s="476"/>
      <c r="J22" s="476"/>
      <c r="K22" s="476"/>
      <c r="L22" s="347"/>
    </row>
    <row r="23" spans="1:12" s="484" customFormat="1" ht="15.75" customHeight="1" x14ac:dyDescent="0.2">
      <c r="A23" s="2253" t="s">
        <v>311</v>
      </c>
      <c r="B23" s="2254"/>
      <c r="C23" s="479"/>
      <c r="D23" s="476"/>
      <c r="E23" s="476"/>
      <c r="F23" s="476"/>
      <c r="G23" s="476"/>
      <c r="H23" s="476"/>
      <c r="I23" s="476"/>
      <c r="J23" s="476"/>
      <c r="K23" s="476"/>
      <c r="L23" s="522"/>
    </row>
    <row r="24" spans="1:12" s="484" customFormat="1" ht="13.5" customHeight="1" x14ac:dyDescent="0.2">
      <c r="A24" s="1506" t="s">
        <v>1753</v>
      </c>
      <c r="B24" s="523">
        <v>7110</v>
      </c>
      <c r="C24" s="465">
        <v>0</v>
      </c>
      <c r="D24" s="476"/>
      <c r="E24" s="476"/>
      <c r="F24" s="476"/>
      <c r="G24" s="476"/>
      <c r="H24" s="476"/>
      <c r="I24" s="476"/>
      <c r="J24" s="476"/>
      <c r="K24" s="476"/>
      <c r="L24" s="522"/>
    </row>
    <row r="25" spans="1:12" s="484" customFormat="1" ht="13.5" customHeight="1" x14ac:dyDescent="0.2">
      <c r="A25" s="1506" t="s">
        <v>1754</v>
      </c>
      <c r="B25" s="523">
        <v>7110</v>
      </c>
      <c r="C25" s="465">
        <v>0</v>
      </c>
      <c r="D25" s="467">
        <v>200000</v>
      </c>
      <c r="E25" s="467">
        <v>0</v>
      </c>
      <c r="F25" s="467">
        <v>0</v>
      </c>
      <c r="G25" s="467">
        <v>0</v>
      </c>
      <c r="H25" s="467">
        <v>0</v>
      </c>
      <c r="I25" s="476"/>
      <c r="J25" s="467">
        <v>0</v>
      </c>
      <c r="K25" s="467">
        <v>0</v>
      </c>
      <c r="L25" s="522"/>
    </row>
    <row r="26" spans="1:12" s="484" customFormat="1" ht="13.5" customHeight="1" x14ac:dyDescent="0.2">
      <c r="A26" s="1506"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6" t="s">
        <v>194</v>
      </c>
      <c r="B27" s="482">
        <v>7130</v>
      </c>
      <c r="C27" s="465">
        <v>0</v>
      </c>
      <c r="D27" s="467">
        <v>0</v>
      </c>
      <c r="E27" s="524"/>
      <c r="F27" s="467">
        <v>0</v>
      </c>
      <c r="G27" s="479"/>
      <c r="H27" s="479"/>
      <c r="I27" s="479"/>
      <c r="J27" s="479"/>
      <c r="K27" s="479"/>
      <c r="L27" s="522"/>
    </row>
    <row r="28" spans="1:12" s="484" customFormat="1" ht="13.5" customHeight="1" x14ac:dyDescent="0.2">
      <c r="A28" s="1506"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6" t="s">
        <v>312</v>
      </c>
      <c r="B29" s="482">
        <v>7150</v>
      </c>
      <c r="C29" s="475"/>
      <c r="D29" s="467">
        <v>0</v>
      </c>
      <c r="E29" s="475"/>
      <c r="F29" s="475"/>
      <c r="G29" s="475"/>
      <c r="H29" s="475"/>
      <c r="I29" s="475"/>
      <c r="J29" s="475"/>
      <c r="K29" s="475"/>
      <c r="L29" s="522"/>
    </row>
    <row r="30" spans="1:12" s="484" customFormat="1" ht="26.25" x14ac:dyDescent="0.2">
      <c r="A30" s="1506" t="s">
        <v>1892</v>
      </c>
      <c r="B30" s="525">
        <v>7160</v>
      </c>
      <c r="C30" s="476"/>
      <c r="D30" s="467">
        <v>0</v>
      </c>
      <c r="E30" s="476"/>
      <c r="F30" s="476"/>
      <c r="G30" s="476"/>
      <c r="H30" s="476"/>
      <c r="I30" s="476"/>
      <c r="J30" s="476"/>
      <c r="K30" s="476"/>
      <c r="L30" s="522"/>
    </row>
    <row r="31" spans="1:12" s="484" customFormat="1" ht="26.25" x14ac:dyDescent="0.2">
      <c r="A31" s="1506" t="s">
        <v>1896</v>
      </c>
      <c r="B31" s="525">
        <v>7170</v>
      </c>
      <c r="C31" s="476"/>
      <c r="D31" s="476"/>
      <c r="E31" s="474">
        <v>0</v>
      </c>
      <c r="F31" s="476"/>
      <c r="G31" s="476"/>
      <c r="H31" s="476"/>
      <c r="I31" s="476"/>
      <c r="J31" s="476"/>
      <c r="K31" s="476"/>
      <c r="L31" s="522"/>
    </row>
    <row r="32" spans="1:12" s="484" customFormat="1" ht="15.75" customHeight="1" x14ac:dyDescent="0.2">
      <c r="A32" s="2255" t="s">
        <v>1038</v>
      </c>
      <c r="B32" s="2256"/>
      <c r="C32" s="476"/>
      <c r="D32" s="476"/>
      <c r="E32" s="475"/>
      <c r="F32" s="476"/>
      <c r="G32" s="476"/>
      <c r="H32" s="476"/>
      <c r="I32" s="476"/>
      <c r="J32" s="476"/>
      <c r="K32" s="476"/>
      <c r="L32" s="522"/>
    </row>
    <row r="33" spans="1:12" s="484" customFormat="1" x14ac:dyDescent="0.2">
      <c r="A33" s="1506" t="s">
        <v>432</v>
      </c>
      <c r="B33" s="523">
        <v>7210</v>
      </c>
      <c r="C33" s="465">
        <v>0</v>
      </c>
      <c r="D33" s="467">
        <v>0</v>
      </c>
      <c r="E33" s="467">
        <v>0</v>
      </c>
      <c r="F33" s="467">
        <v>0</v>
      </c>
      <c r="G33" s="476"/>
      <c r="H33" s="467">
        <v>2465000</v>
      </c>
      <c r="I33" s="467">
        <v>0</v>
      </c>
      <c r="J33" s="467">
        <v>0</v>
      </c>
      <c r="K33" s="467">
        <v>0</v>
      </c>
      <c r="L33" s="522"/>
    </row>
    <row r="34" spans="1:12" s="484" customFormat="1" x14ac:dyDescent="0.2">
      <c r="A34" s="1506" t="s">
        <v>1058</v>
      </c>
      <c r="B34" s="523">
        <v>7220</v>
      </c>
      <c r="C34" s="465">
        <v>0</v>
      </c>
      <c r="D34" s="467">
        <v>0</v>
      </c>
      <c r="E34" s="467">
        <v>0</v>
      </c>
      <c r="F34" s="467">
        <v>0</v>
      </c>
      <c r="G34" s="476"/>
      <c r="H34" s="477">
        <v>88171</v>
      </c>
      <c r="I34" s="477">
        <v>0</v>
      </c>
      <c r="J34" s="477">
        <v>0</v>
      </c>
      <c r="K34" s="477">
        <v>0</v>
      </c>
      <c r="L34" s="522"/>
    </row>
    <row r="35" spans="1:12" s="484" customFormat="1" x14ac:dyDescent="0.2">
      <c r="A35" s="1506" t="s">
        <v>1047</v>
      </c>
      <c r="B35" s="523">
        <v>7230</v>
      </c>
      <c r="C35" s="465">
        <v>0</v>
      </c>
      <c r="D35" s="467">
        <v>0</v>
      </c>
      <c r="E35" s="467">
        <v>0</v>
      </c>
      <c r="F35" s="467">
        <v>0</v>
      </c>
      <c r="G35" s="479"/>
      <c r="H35" s="467">
        <v>0</v>
      </c>
      <c r="I35" s="467">
        <v>0</v>
      </c>
      <c r="J35" s="467">
        <v>0</v>
      </c>
      <c r="K35" s="467">
        <v>0</v>
      </c>
      <c r="L35" s="522"/>
    </row>
    <row r="36" spans="1:12" s="484" customFormat="1" ht="15" x14ac:dyDescent="0.2">
      <c r="A36" s="1506" t="s">
        <v>1755</v>
      </c>
      <c r="B36" s="523">
        <v>7300</v>
      </c>
      <c r="C36" s="465">
        <v>0</v>
      </c>
      <c r="D36" s="467">
        <v>0</v>
      </c>
      <c r="E36" s="467">
        <v>0</v>
      </c>
      <c r="F36" s="467">
        <v>0</v>
      </c>
      <c r="G36" s="467">
        <v>0</v>
      </c>
      <c r="H36" s="467">
        <v>0</v>
      </c>
      <c r="I36" s="475"/>
      <c r="J36" s="467">
        <v>0</v>
      </c>
      <c r="K36" s="467">
        <v>0</v>
      </c>
      <c r="L36" s="522"/>
    </row>
    <row r="37" spans="1:12" s="484" customFormat="1" x14ac:dyDescent="0.2">
      <c r="A37" s="1506" t="s">
        <v>461</v>
      </c>
      <c r="B37" s="523">
        <v>7400</v>
      </c>
      <c r="C37" s="475"/>
      <c r="D37" s="475"/>
      <c r="E37" s="1760">
        <f>SUM(C54:D57,H54:H57)</f>
        <v>0</v>
      </c>
      <c r="F37" s="475"/>
      <c r="G37" s="475"/>
      <c r="H37" s="475"/>
      <c r="I37" s="476"/>
      <c r="J37" s="475"/>
      <c r="K37" s="475"/>
      <c r="L37" s="522"/>
    </row>
    <row r="38" spans="1:12" s="484" customFormat="1" x14ac:dyDescent="0.2">
      <c r="A38" s="1506" t="s">
        <v>462</v>
      </c>
      <c r="B38" s="523">
        <v>7500</v>
      </c>
      <c r="C38" s="476"/>
      <c r="D38" s="476"/>
      <c r="E38" s="1760">
        <f>SUM(C58:D61,H58:H61)</f>
        <v>0</v>
      </c>
      <c r="F38" s="476"/>
      <c r="G38" s="476"/>
      <c r="H38" s="476"/>
      <c r="I38" s="476"/>
      <c r="J38" s="476"/>
      <c r="K38" s="476"/>
      <c r="L38" s="522"/>
    </row>
    <row r="39" spans="1:12" s="484" customFormat="1" x14ac:dyDescent="0.2">
      <c r="A39" s="1506" t="s">
        <v>463</v>
      </c>
      <c r="B39" s="523">
        <v>7600</v>
      </c>
      <c r="C39" s="476"/>
      <c r="D39" s="476"/>
      <c r="E39" s="1760">
        <f>SUM(C62:D65)</f>
        <v>0</v>
      </c>
      <c r="F39" s="476"/>
      <c r="G39" s="476"/>
      <c r="H39" s="476"/>
      <c r="I39" s="476"/>
      <c r="J39" s="476"/>
      <c r="K39" s="476"/>
      <c r="L39" s="522"/>
    </row>
    <row r="40" spans="1:12" s="484" customFormat="1" ht="13.5" customHeight="1" x14ac:dyDescent="0.2">
      <c r="A40" s="1506" t="s">
        <v>663</v>
      </c>
      <c r="B40" s="482">
        <v>7700</v>
      </c>
      <c r="C40" s="476"/>
      <c r="D40" s="476"/>
      <c r="E40" s="1760">
        <f>SUM(C66:D69)</f>
        <v>0</v>
      </c>
      <c r="F40" s="476"/>
      <c r="G40" s="476"/>
      <c r="H40" s="479"/>
      <c r="I40" s="476"/>
      <c r="J40" s="476"/>
      <c r="K40" s="476"/>
      <c r="L40" s="522"/>
    </row>
    <row r="41" spans="1:12" s="484" customFormat="1" ht="13.5" customHeight="1" x14ac:dyDescent="0.2">
      <c r="A41" s="1506" t="s">
        <v>661</v>
      </c>
      <c r="B41" s="482">
        <v>7800</v>
      </c>
      <c r="C41" s="479"/>
      <c r="D41" s="479"/>
      <c r="E41" s="524"/>
      <c r="F41" s="479"/>
      <c r="G41" s="479"/>
      <c r="H41" s="1760">
        <f>SUM(C70:D73)</f>
        <v>200000</v>
      </c>
      <c r="I41" s="476"/>
      <c r="J41" s="476"/>
      <c r="K41" s="479"/>
      <c r="L41" s="522"/>
    </row>
    <row r="42" spans="1:12" s="484" customFormat="1" ht="13.5" customHeight="1" x14ac:dyDescent="0.2">
      <c r="A42" s="1506"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6"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63" t="s">
        <v>392</v>
      </c>
      <c r="B44" s="2264"/>
      <c r="C44" s="1720">
        <f>SUM(C24:C43)</f>
        <v>0</v>
      </c>
      <c r="D44" s="1720">
        <f t="shared" ref="D44:K44" si="6">SUM(D24:D43)</f>
        <v>200000</v>
      </c>
      <c r="E44" s="1720">
        <f t="shared" si="6"/>
        <v>0</v>
      </c>
      <c r="F44" s="1720">
        <f t="shared" si="6"/>
        <v>0</v>
      </c>
      <c r="G44" s="1720">
        <f t="shared" si="6"/>
        <v>0</v>
      </c>
      <c r="H44" s="1720">
        <f t="shared" si="6"/>
        <v>2753171</v>
      </c>
      <c r="I44" s="1720">
        <f t="shared" si="6"/>
        <v>0</v>
      </c>
      <c r="J44" s="1720">
        <f t="shared" si="6"/>
        <v>0</v>
      </c>
      <c r="K44" s="1720">
        <f t="shared" si="6"/>
        <v>0</v>
      </c>
      <c r="L44" s="522"/>
    </row>
    <row r="45" spans="1:12" ht="15.75" customHeight="1" thickTop="1" x14ac:dyDescent="0.2">
      <c r="A45" s="2257" t="s">
        <v>110</v>
      </c>
      <c r="B45" s="2258"/>
      <c r="C45" s="526"/>
      <c r="D45" s="526"/>
      <c r="E45" s="526"/>
      <c r="F45" s="526"/>
      <c r="G45" s="526"/>
      <c r="H45" s="526"/>
      <c r="I45" s="526"/>
      <c r="J45" s="526"/>
      <c r="K45" s="526"/>
      <c r="L45" s="347"/>
    </row>
    <row r="46" spans="1:12" s="484" customFormat="1" ht="15.75" customHeight="1" x14ac:dyDescent="0.2">
      <c r="A46" s="2265" t="s">
        <v>111</v>
      </c>
      <c r="B46" s="2266"/>
      <c r="C46" s="476"/>
      <c r="D46" s="476"/>
      <c r="E46" s="476"/>
      <c r="F46" s="476"/>
      <c r="G46" s="476"/>
      <c r="H46" s="476"/>
      <c r="I46" s="479"/>
      <c r="J46" s="476"/>
      <c r="K46" s="476"/>
      <c r="L46" s="527"/>
    </row>
    <row r="47" spans="1:12" s="484" customFormat="1" ht="15" x14ac:dyDescent="0.2">
      <c r="A47" s="1507" t="s">
        <v>1756</v>
      </c>
      <c r="B47" s="482">
        <v>8110</v>
      </c>
      <c r="C47" s="476"/>
      <c r="D47" s="476"/>
      <c r="E47" s="476"/>
      <c r="F47" s="476"/>
      <c r="G47" s="476"/>
      <c r="H47" s="476"/>
      <c r="I47" s="1760">
        <f>SUM(C24,C25:H25,J25:K25)</f>
        <v>200000</v>
      </c>
      <c r="J47" s="476"/>
      <c r="K47" s="476"/>
      <c r="L47" s="527"/>
    </row>
    <row r="48" spans="1:12" s="484" customFormat="1" ht="15" x14ac:dyDescent="0.2">
      <c r="A48" s="1507" t="s">
        <v>1757</v>
      </c>
      <c r="B48" s="482">
        <v>8120</v>
      </c>
      <c r="C48" s="479"/>
      <c r="D48" s="479"/>
      <c r="E48" s="476"/>
      <c r="F48" s="479"/>
      <c r="G48" s="476"/>
      <c r="H48" s="476"/>
      <c r="I48" s="1760">
        <f>SUM(C26:H26,J26,K26)</f>
        <v>0</v>
      </c>
      <c r="J48" s="476"/>
      <c r="K48" s="476"/>
      <c r="L48" s="527"/>
    </row>
    <row r="49" spans="1:12" s="484" customFormat="1" x14ac:dyDescent="0.2">
      <c r="A49" s="1507" t="s">
        <v>194</v>
      </c>
      <c r="B49" s="482">
        <v>8130</v>
      </c>
      <c r="C49" s="465">
        <v>0</v>
      </c>
      <c r="D49" s="467">
        <v>0</v>
      </c>
      <c r="E49" s="479"/>
      <c r="F49" s="467">
        <v>0</v>
      </c>
      <c r="G49" s="479"/>
      <c r="H49" s="479"/>
      <c r="I49" s="476"/>
      <c r="J49" s="479"/>
      <c r="K49" s="476"/>
      <c r="L49" s="522"/>
    </row>
    <row r="50" spans="1:12" s="484" customFormat="1" x14ac:dyDescent="0.2">
      <c r="A50" s="1507" t="s">
        <v>1465</v>
      </c>
      <c r="B50" s="482">
        <v>8140</v>
      </c>
      <c r="C50" s="465">
        <v>0</v>
      </c>
      <c r="D50" s="467">
        <v>0</v>
      </c>
      <c r="E50" s="467">
        <v>0</v>
      </c>
      <c r="F50" s="467">
        <v>0</v>
      </c>
      <c r="G50" s="467">
        <v>0</v>
      </c>
      <c r="H50" s="467">
        <v>0</v>
      </c>
      <c r="I50" s="476"/>
      <c r="J50" s="467">
        <v>0</v>
      </c>
      <c r="K50" s="476"/>
      <c r="L50" s="522"/>
    </row>
    <row r="51" spans="1:12" s="484" customFormat="1" x14ac:dyDescent="0.2">
      <c r="A51" s="1507" t="s">
        <v>312</v>
      </c>
      <c r="B51" s="482">
        <v>8150</v>
      </c>
      <c r="C51" s="475"/>
      <c r="D51" s="475"/>
      <c r="E51" s="475"/>
      <c r="F51" s="475"/>
      <c r="G51" s="475"/>
      <c r="H51" s="1760">
        <f>SUM(D29)</f>
        <v>0</v>
      </c>
      <c r="I51" s="476"/>
      <c r="J51" s="475"/>
      <c r="K51" s="479"/>
      <c r="L51" s="522"/>
    </row>
    <row r="52" spans="1:12" s="484" customFormat="1" ht="26.25" x14ac:dyDescent="0.2">
      <c r="A52" s="1507" t="s">
        <v>1895</v>
      </c>
      <c r="B52" s="482">
        <v>8160</v>
      </c>
      <c r="C52" s="476"/>
      <c r="D52" s="476"/>
      <c r="E52" s="476"/>
      <c r="F52" s="476"/>
      <c r="G52" s="476"/>
      <c r="H52" s="476"/>
      <c r="I52" s="476"/>
      <c r="J52" s="476"/>
      <c r="K52" s="1760">
        <f>D30</f>
        <v>0</v>
      </c>
      <c r="L52" s="522"/>
    </row>
    <row r="53" spans="1:12" s="484" customFormat="1" ht="26.25" x14ac:dyDescent="0.2">
      <c r="A53" s="1507" t="s">
        <v>1894</v>
      </c>
      <c r="B53" s="482">
        <v>8170</v>
      </c>
      <c r="C53" s="479"/>
      <c r="D53" s="479"/>
      <c r="E53" s="476"/>
      <c r="F53" s="476"/>
      <c r="G53" s="476"/>
      <c r="H53" s="479"/>
      <c r="I53" s="476"/>
      <c r="J53" s="476"/>
      <c r="K53" s="1760">
        <f>E31</f>
        <v>0</v>
      </c>
      <c r="L53" s="522"/>
    </row>
    <row r="54" spans="1:12" s="484" customFormat="1" ht="13.5" thickBot="1" x14ac:dyDescent="0.25">
      <c r="A54" s="1507" t="s">
        <v>716</v>
      </c>
      <c r="B54" s="482">
        <v>8410</v>
      </c>
      <c r="C54" s="528">
        <v>0</v>
      </c>
      <c r="D54" s="528">
        <v>0</v>
      </c>
      <c r="E54" s="476"/>
      <c r="F54" s="476"/>
      <c r="G54" s="476"/>
      <c r="H54" s="528">
        <v>0</v>
      </c>
      <c r="I54" s="476"/>
      <c r="J54" s="476"/>
      <c r="K54" s="475"/>
      <c r="L54" s="522"/>
    </row>
    <row r="55" spans="1:12" s="484" customFormat="1" ht="14.25" thickTop="1" thickBot="1" x14ac:dyDescent="0.25">
      <c r="A55" s="1508" t="s">
        <v>717</v>
      </c>
      <c r="B55" s="482">
        <v>8420</v>
      </c>
      <c r="C55" s="528">
        <v>0</v>
      </c>
      <c r="D55" s="529">
        <v>0</v>
      </c>
      <c r="E55" s="476"/>
      <c r="F55" s="476"/>
      <c r="G55" s="476"/>
      <c r="H55" s="528">
        <v>0</v>
      </c>
      <c r="I55" s="476"/>
      <c r="J55" s="476"/>
      <c r="K55" s="476"/>
      <c r="L55" s="522"/>
    </row>
    <row r="56" spans="1:12" s="484" customFormat="1" ht="14.25" thickTop="1" thickBot="1" x14ac:dyDescent="0.25">
      <c r="A56" s="1507" t="s">
        <v>602</v>
      </c>
      <c r="B56" s="482">
        <v>8430</v>
      </c>
      <c r="C56" s="528">
        <v>0</v>
      </c>
      <c r="D56" s="529">
        <v>0</v>
      </c>
      <c r="E56" s="476"/>
      <c r="F56" s="476"/>
      <c r="G56" s="476"/>
      <c r="H56" s="528">
        <v>0</v>
      </c>
      <c r="I56" s="476"/>
      <c r="J56" s="476"/>
      <c r="K56" s="476"/>
      <c r="L56" s="522"/>
    </row>
    <row r="57" spans="1:12" s="484" customFormat="1" ht="14.25" thickTop="1" thickBot="1" x14ac:dyDescent="0.25">
      <c r="A57" s="1508" t="s">
        <v>599</v>
      </c>
      <c r="B57" s="482">
        <v>8440</v>
      </c>
      <c r="C57" s="528">
        <v>0</v>
      </c>
      <c r="D57" s="529">
        <v>0</v>
      </c>
      <c r="E57" s="476"/>
      <c r="F57" s="476"/>
      <c r="G57" s="476"/>
      <c r="H57" s="528">
        <v>0</v>
      </c>
      <c r="I57" s="476"/>
      <c r="J57" s="476"/>
      <c r="K57" s="476"/>
      <c r="L57" s="522"/>
    </row>
    <row r="58" spans="1:12" s="484" customFormat="1" ht="14.25" thickTop="1" thickBot="1" x14ac:dyDescent="0.25">
      <c r="A58" s="1507" t="s">
        <v>600</v>
      </c>
      <c r="B58" s="482">
        <v>8510</v>
      </c>
      <c r="C58" s="528">
        <v>0</v>
      </c>
      <c r="D58" s="529">
        <v>0</v>
      </c>
      <c r="E58" s="476"/>
      <c r="F58" s="476"/>
      <c r="G58" s="476"/>
      <c r="H58" s="528">
        <v>0</v>
      </c>
      <c r="I58" s="476"/>
      <c r="J58" s="476"/>
      <c r="K58" s="476"/>
      <c r="L58" s="522"/>
    </row>
    <row r="59" spans="1:12" s="484" customFormat="1" ht="14.25" thickTop="1" thickBot="1" x14ac:dyDescent="0.25">
      <c r="A59" s="1509" t="s">
        <v>718</v>
      </c>
      <c r="B59" s="482">
        <v>8520</v>
      </c>
      <c r="C59" s="528">
        <v>0</v>
      </c>
      <c r="D59" s="529">
        <v>0</v>
      </c>
      <c r="E59" s="476"/>
      <c r="F59" s="476"/>
      <c r="G59" s="476"/>
      <c r="H59" s="528">
        <v>0</v>
      </c>
      <c r="I59" s="476"/>
      <c r="J59" s="476"/>
      <c r="K59" s="476"/>
      <c r="L59" s="522"/>
    </row>
    <row r="60" spans="1:12" s="484" customFormat="1" ht="14.25" thickTop="1" thickBot="1" x14ac:dyDescent="0.25">
      <c r="A60" s="1507" t="s">
        <v>601</v>
      </c>
      <c r="B60" s="482">
        <v>8530</v>
      </c>
      <c r="C60" s="528">
        <v>0</v>
      </c>
      <c r="D60" s="529">
        <v>0</v>
      </c>
      <c r="E60" s="476"/>
      <c r="F60" s="476"/>
      <c r="G60" s="476"/>
      <c r="H60" s="528">
        <v>0</v>
      </c>
      <c r="I60" s="476"/>
      <c r="J60" s="476"/>
      <c r="K60" s="476"/>
      <c r="L60" s="522"/>
    </row>
    <row r="61" spans="1:12" s="484" customFormat="1" ht="14.25" thickTop="1" thickBot="1" x14ac:dyDescent="0.25">
      <c r="A61" s="1508"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7" t="s">
        <v>768</v>
      </c>
      <c r="B62" s="482">
        <v>8610</v>
      </c>
      <c r="C62" s="528">
        <v>0</v>
      </c>
      <c r="D62" s="529">
        <v>0</v>
      </c>
      <c r="E62" s="476"/>
      <c r="F62" s="476"/>
      <c r="G62" s="476"/>
      <c r="H62" s="476"/>
      <c r="I62" s="476"/>
      <c r="J62" s="476"/>
      <c r="K62" s="476"/>
      <c r="L62" s="522"/>
    </row>
    <row r="63" spans="1:12" s="484" customFormat="1" ht="14.25" thickTop="1" thickBot="1" x14ac:dyDescent="0.25">
      <c r="A63" s="1508" t="s">
        <v>719</v>
      </c>
      <c r="B63" s="482">
        <v>8620</v>
      </c>
      <c r="C63" s="528">
        <v>0</v>
      </c>
      <c r="D63" s="529">
        <v>0</v>
      </c>
      <c r="E63" s="476"/>
      <c r="F63" s="476"/>
      <c r="G63" s="476"/>
      <c r="H63" s="476"/>
      <c r="I63" s="476"/>
      <c r="J63" s="476"/>
      <c r="K63" s="476"/>
      <c r="L63" s="522"/>
    </row>
    <row r="64" spans="1:12" s="484" customFormat="1" ht="13.5" customHeight="1" thickTop="1" thickBot="1" x14ac:dyDescent="0.25">
      <c r="A64" s="1507" t="s">
        <v>769</v>
      </c>
      <c r="B64" s="482">
        <v>8630</v>
      </c>
      <c r="C64" s="528">
        <v>0</v>
      </c>
      <c r="D64" s="529">
        <v>0</v>
      </c>
      <c r="E64" s="476"/>
      <c r="F64" s="476"/>
      <c r="G64" s="476"/>
      <c r="H64" s="476"/>
      <c r="I64" s="476"/>
      <c r="J64" s="476"/>
      <c r="K64" s="476"/>
      <c r="L64" s="522"/>
    </row>
    <row r="65" spans="1:12" s="484" customFormat="1" ht="14.25" thickTop="1" thickBot="1" x14ac:dyDescent="0.25">
      <c r="A65" s="1508" t="s">
        <v>770</v>
      </c>
      <c r="B65" s="482">
        <v>8640</v>
      </c>
      <c r="C65" s="528">
        <v>0</v>
      </c>
      <c r="D65" s="529">
        <v>0</v>
      </c>
      <c r="E65" s="476"/>
      <c r="F65" s="476"/>
      <c r="G65" s="476"/>
      <c r="H65" s="476"/>
      <c r="I65" s="476"/>
      <c r="J65" s="476"/>
      <c r="K65" s="476"/>
      <c r="L65" s="522"/>
    </row>
    <row r="66" spans="1:12" s="484" customFormat="1" ht="14.25" thickTop="1" thickBot="1" x14ac:dyDescent="0.25">
      <c r="A66" s="1507" t="s">
        <v>771</v>
      </c>
      <c r="B66" s="482">
        <v>8710</v>
      </c>
      <c r="C66" s="528">
        <v>0</v>
      </c>
      <c r="D66" s="529">
        <v>0</v>
      </c>
      <c r="E66" s="476"/>
      <c r="F66" s="476"/>
      <c r="G66" s="476"/>
      <c r="H66" s="476"/>
      <c r="I66" s="476"/>
      <c r="J66" s="476"/>
      <c r="K66" s="476"/>
      <c r="L66" s="522"/>
    </row>
    <row r="67" spans="1:12" s="484" customFormat="1" ht="14.25" thickTop="1" thickBot="1" x14ac:dyDescent="0.25">
      <c r="A67" s="1508" t="s">
        <v>720</v>
      </c>
      <c r="B67" s="482">
        <v>8720</v>
      </c>
      <c r="C67" s="528">
        <v>0</v>
      </c>
      <c r="D67" s="529">
        <v>0</v>
      </c>
      <c r="E67" s="476"/>
      <c r="F67" s="476"/>
      <c r="G67" s="476"/>
      <c r="H67" s="476"/>
      <c r="I67" s="476"/>
      <c r="J67" s="476"/>
      <c r="K67" s="476"/>
      <c r="L67" s="522"/>
    </row>
    <row r="68" spans="1:12" s="484" customFormat="1" ht="14.25" thickTop="1" thickBot="1" x14ac:dyDescent="0.25">
      <c r="A68" s="1509" t="s">
        <v>772</v>
      </c>
      <c r="B68" s="482">
        <v>8730</v>
      </c>
      <c r="C68" s="528">
        <v>0</v>
      </c>
      <c r="D68" s="529">
        <v>0</v>
      </c>
      <c r="E68" s="476"/>
      <c r="F68" s="476"/>
      <c r="G68" s="476"/>
      <c r="H68" s="476"/>
      <c r="I68" s="476"/>
      <c r="J68" s="476"/>
      <c r="K68" s="476"/>
      <c r="L68" s="522"/>
    </row>
    <row r="69" spans="1:12" s="484" customFormat="1" ht="14.25" thickTop="1" thickBot="1" x14ac:dyDescent="0.25">
      <c r="A69" s="1508" t="s">
        <v>773</v>
      </c>
      <c r="B69" s="482">
        <v>8740</v>
      </c>
      <c r="C69" s="528">
        <v>0</v>
      </c>
      <c r="D69" s="529">
        <v>0</v>
      </c>
      <c r="E69" s="476"/>
      <c r="F69" s="476"/>
      <c r="G69" s="476"/>
      <c r="H69" s="476"/>
      <c r="I69" s="476"/>
      <c r="J69" s="476"/>
      <c r="K69" s="476"/>
      <c r="L69" s="522"/>
    </row>
    <row r="70" spans="1:12" s="484" customFormat="1" ht="14.25" thickTop="1" thickBot="1" x14ac:dyDescent="0.25">
      <c r="A70" s="1507" t="s">
        <v>774</v>
      </c>
      <c r="B70" s="482">
        <v>8810</v>
      </c>
      <c r="C70" s="528">
        <v>0</v>
      </c>
      <c r="D70" s="529">
        <v>0</v>
      </c>
      <c r="E70" s="476"/>
      <c r="F70" s="476"/>
      <c r="G70" s="476"/>
      <c r="H70" s="476"/>
      <c r="I70" s="476"/>
      <c r="J70" s="476"/>
      <c r="K70" s="476"/>
      <c r="L70" s="522"/>
    </row>
    <row r="71" spans="1:12" s="484" customFormat="1" ht="14.25" thickTop="1" thickBot="1" x14ac:dyDescent="0.25">
      <c r="A71" s="1507" t="s">
        <v>778</v>
      </c>
      <c r="B71" s="482">
        <v>8820</v>
      </c>
      <c r="C71" s="528">
        <v>0</v>
      </c>
      <c r="D71" s="529">
        <v>0</v>
      </c>
      <c r="E71" s="476"/>
      <c r="F71" s="476"/>
      <c r="G71" s="476"/>
      <c r="H71" s="476"/>
      <c r="I71" s="476"/>
      <c r="J71" s="476"/>
      <c r="K71" s="476"/>
      <c r="L71" s="522"/>
    </row>
    <row r="72" spans="1:12" s="484" customFormat="1" ht="14.25" thickTop="1" thickBot="1" x14ac:dyDescent="0.25">
      <c r="A72" s="1507" t="s">
        <v>775</v>
      </c>
      <c r="B72" s="482">
        <v>8830</v>
      </c>
      <c r="C72" s="528">
        <v>0</v>
      </c>
      <c r="D72" s="529">
        <v>0</v>
      </c>
      <c r="E72" s="476"/>
      <c r="F72" s="476"/>
      <c r="G72" s="476"/>
      <c r="H72" s="476"/>
      <c r="I72" s="476"/>
      <c r="J72" s="476"/>
      <c r="K72" s="476"/>
      <c r="L72" s="522"/>
    </row>
    <row r="73" spans="1:12" s="484" customFormat="1" ht="14.25" thickTop="1" thickBot="1" x14ac:dyDescent="0.25">
      <c r="A73" s="1507" t="s">
        <v>776</v>
      </c>
      <c r="B73" s="482">
        <v>8840</v>
      </c>
      <c r="C73" s="528">
        <v>0</v>
      </c>
      <c r="D73" s="529">
        <v>200000</v>
      </c>
      <c r="E73" s="476"/>
      <c r="F73" s="476"/>
      <c r="G73" s="476"/>
      <c r="H73" s="476"/>
      <c r="I73" s="476"/>
      <c r="J73" s="476"/>
      <c r="K73" s="479"/>
      <c r="L73" s="522"/>
    </row>
    <row r="74" spans="1:12" s="484" customFormat="1" ht="14.25" thickTop="1" thickBot="1" x14ac:dyDescent="0.25">
      <c r="A74" s="1507"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0"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39" t="s">
        <v>460</v>
      </c>
      <c r="B76" s="2240"/>
      <c r="C76" s="1720">
        <f t="shared" ref="C76:K76" si="7">SUM(C47:C75)</f>
        <v>0</v>
      </c>
      <c r="D76" s="1720">
        <f t="shared" si="7"/>
        <v>200000</v>
      </c>
      <c r="E76" s="1720">
        <f t="shared" si="7"/>
        <v>0</v>
      </c>
      <c r="F76" s="1720">
        <f t="shared" si="7"/>
        <v>0</v>
      </c>
      <c r="G76" s="1720">
        <f t="shared" si="7"/>
        <v>0</v>
      </c>
      <c r="H76" s="1720">
        <f t="shared" si="7"/>
        <v>0</v>
      </c>
      <c r="I76" s="1720">
        <f t="shared" si="7"/>
        <v>200000</v>
      </c>
      <c r="J76" s="1720">
        <f t="shared" si="7"/>
        <v>0</v>
      </c>
      <c r="K76" s="1720">
        <f t="shared" si="7"/>
        <v>0</v>
      </c>
      <c r="L76" s="522"/>
    </row>
    <row r="77" spans="1:12" ht="14.25" thickTop="1" thickBot="1" x14ac:dyDescent="0.25">
      <c r="A77" s="2241" t="s">
        <v>1239</v>
      </c>
      <c r="B77" s="2242"/>
      <c r="C77" s="1720">
        <f t="shared" ref="C77:K77" si="8">C44-C76</f>
        <v>0</v>
      </c>
      <c r="D77" s="1720">
        <f t="shared" si="8"/>
        <v>0</v>
      </c>
      <c r="E77" s="1720">
        <f t="shared" si="8"/>
        <v>0</v>
      </c>
      <c r="F77" s="1720">
        <f t="shared" si="8"/>
        <v>0</v>
      </c>
      <c r="G77" s="1720">
        <f t="shared" si="8"/>
        <v>0</v>
      </c>
      <c r="H77" s="1720">
        <f t="shared" si="8"/>
        <v>2753171</v>
      </c>
      <c r="I77" s="1720">
        <f t="shared" si="8"/>
        <v>-200000</v>
      </c>
      <c r="J77" s="1720">
        <f t="shared" si="8"/>
        <v>0</v>
      </c>
      <c r="K77" s="1720">
        <f t="shared" si="8"/>
        <v>0</v>
      </c>
      <c r="L77" s="347"/>
    </row>
    <row r="78" spans="1:12" ht="21.75" customHeight="1" thickTop="1" thickBot="1" x14ac:dyDescent="0.25">
      <c r="A78" s="2245" t="s">
        <v>618</v>
      </c>
      <c r="B78" s="2246"/>
      <c r="C78" s="1719">
        <f t="shared" ref="C78:K78" si="9">C20+C77</f>
        <v>491749</v>
      </c>
      <c r="D78" s="1719">
        <f t="shared" si="9"/>
        <v>280040</v>
      </c>
      <c r="E78" s="1719">
        <f t="shared" si="9"/>
        <v>40189</v>
      </c>
      <c r="F78" s="1719">
        <f t="shared" si="9"/>
        <v>246996</v>
      </c>
      <c r="G78" s="1719">
        <f t="shared" si="9"/>
        <v>96346</v>
      </c>
      <c r="H78" s="1719">
        <f t="shared" si="9"/>
        <v>3322178</v>
      </c>
      <c r="I78" s="1719">
        <f t="shared" si="9"/>
        <v>-155007</v>
      </c>
      <c r="J78" s="1719">
        <f t="shared" si="9"/>
        <v>25778</v>
      </c>
      <c r="K78" s="1719">
        <f t="shared" si="9"/>
        <v>8187</v>
      </c>
      <c r="L78" s="531"/>
    </row>
    <row r="79" spans="1:12" ht="13.5" thickTop="1" x14ac:dyDescent="0.2">
      <c r="A79" s="1511" t="s">
        <v>2068</v>
      </c>
      <c r="B79" s="532"/>
      <c r="C79" s="467">
        <v>7778932</v>
      </c>
      <c r="D79" s="467">
        <v>1396539</v>
      </c>
      <c r="E79" s="467">
        <v>1629048</v>
      </c>
      <c r="F79" s="467">
        <v>565949</v>
      </c>
      <c r="G79" s="467">
        <v>856161</v>
      </c>
      <c r="H79" s="467">
        <v>0</v>
      </c>
      <c r="I79" s="467">
        <v>641489</v>
      </c>
      <c r="J79" s="467">
        <v>231020</v>
      </c>
      <c r="K79" s="467">
        <v>55090</v>
      </c>
      <c r="L79" s="347"/>
    </row>
    <row r="80" spans="1:12" x14ac:dyDescent="0.2">
      <c r="A80" s="2251" t="s">
        <v>1893</v>
      </c>
      <c r="B80" s="2252"/>
      <c r="C80" s="467">
        <v>0</v>
      </c>
      <c r="D80" s="467">
        <v>0</v>
      </c>
      <c r="E80" s="467">
        <v>0</v>
      </c>
      <c r="F80" s="467">
        <v>0</v>
      </c>
      <c r="G80" s="467">
        <v>0</v>
      </c>
      <c r="H80" s="467">
        <v>0</v>
      </c>
      <c r="I80" s="467">
        <v>0</v>
      </c>
      <c r="J80" s="467">
        <v>0</v>
      </c>
      <c r="K80" s="467">
        <v>0</v>
      </c>
      <c r="L80" s="347"/>
    </row>
    <row r="81" spans="1:12" ht="13.5" thickBot="1" x14ac:dyDescent="0.25">
      <c r="A81" s="2243" t="s">
        <v>2069</v>
      </c>
      <c r="B81" s="2244"/>
      <c r="C81" s="1705">
        <f>(SUM(C78:C80))</f>
        <v>8270681</v>
      </c>
      <c r="D81" s="1705">
        <f>SUM(D78:D80)</f>
        <v>1676579</v>
      </c>
      <c r="E81" s="1705">
        <f t="shared" ref="E81:K81" si="10">SUM(E78:E80)</f>
        <v>1669237</v>
      </c>
      <c r="F81" s="1705">
        <f t="shared" si="10"/>
        <v>812945</v>
      </c>
      <c r="G81" s="1705">
        <f t="shared" si="10"/>
        <v>952507</v>
      </c>
      <c r="H81" s="1705">
        <f t="shared" si="10"/>
        <v>3322178</v>
      </c>
      <c r="I81" s="1705">
        <f t="shared" si="10"/>
        <v>486482</v>
      </c>
      <c r="J81" s="1705">
        <f t="shared" si="10"/>
        <v>256798</v>
      </c>
      <c r="K81" s="1705">
        <f t="shared" si="10"/>
        <v>63277</v>
      </c>
      <c r="L81" s="347"/>
    </row>
    <row r="82" spans="1:12" ht="0.75" customHeight="1" thickTop="1" thickBot="1" x14ac:dyDescent="0.25">
      <c r="A82" s="534" t="s">
        <v>361</v>
      </c>
      <c r="B82" s="535"/>
      <c r="C82" s="536">
        <f>(C81-C79)</f>
        <v>491749</v>
      </c>
      <c r="D82" s="536">
        <f t="shared" ref="D82:K82" si="11">(D81-D79)</f>
        <v>280040</v>
      </c>
      <c r="E82" s="536">
        <f t="shared" si="11"/>
        <v>40189</v>
      </c>
      <c r="F82" s="536">
        <f t="shared" si="11"/>
        <v>246996</v>
      </c>
      <c r="G82" s="536">
        <f t="shared" si="11"/>
        <v>96346</v>
      </c>
      <c r="H82" s="536">
        <f t="shared" si="11"/>
        <v>3322178</v>
      </c>
      <c r="I82" s="536">
        <f t="shared" si="11"/>
        <v>-155007</v>
      </c>
      <c r="J82" s="536">
        <f t="shared" si="11"/>
        <v>25778</v>
      </c>
      <c r="K82" s="536">
        <f t="shared" si="11"/>
        <v>8187</v>
      </c>
    </row>
    <row r="83" spans="1:12" ht="14.25" hidden="1" thickTop="1" thickBot="1" x14ac:dyDescent="0.25">
      <c r="A83" s="537" t="s">
        <v>362</v>
      </c>
      <c r="B83" s="464"/>
      <c r="C83" s="538">
        <f>C82/C81</f>
        <v>5.9456893573818163E-2</v>
      </c>
      <c r="D83" s="538">
        <f t="shared" ref="D83:K83" si="12">D82/D81</f>
        <v>0.16703060219649657</v>
      </c>
      <c r="E83" s="538">
        <f t="shared" si="12"/>
        <v>2.407626957705826E-2</v>
      </c>
      <c r="F83" s="538">
        <f t="shared" si="12"/>
        <v>0.30382867229640381</v>
      </c>
      <c r="G83" s="538">
        <f t="shared" si="12"/>
        <v>0.10114991280903972</v>
      </c>
      <c r="H83" s="538">
        <f t="shared" si="12"/>
        <v>1</v>
      </c>
      <c r="I83" s="538">
        <f t="shared" si="12"/>
        <v>-0.3186284384622658</v>
      </c>
      <c r="J83" s="538">
        <f t="shared" si="12"/>
        <v>0.10038240173210072</v>
      </c>
      <c r="K83" s="538">
        <f t="shared" si="12"/>
        <v>0.12938350427485501</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0" sqref="L30"/>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47" t="s">
        <v>1900</v>
      </c>
      <c r="B1" s="452"/>
      <c r="C1" s="453" t="s">
        <v>445</v>
      </c>
      <c r="D1" s="453" t="s">
        <v>446</v>
      </c>
      <c r="E1" s="453" t="s">
        <v>447</v>
      </c>
      <c r="F1" s="453" t="s">
        <v>448</v>
      </c>
      <c r="G1" s="453" t="s">
        <v>449</v>
      </c>
      <c r="H1" s="453" t="s">
        <v>450</v>
      </c>
      <c r="I1" s="453" t="s">
        <v>451</v>
      </c>
      <c r="J1" s="453" t="s">
        <v>452</v>
      </c>
      <c r="K1" s="453" t="s">
        <v>780</v>
      </c>
    </row>
    <row r="2" spans="1:12" ht="36" x14ac:dyDescent="0.2">
      <c r="A2" s="224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1"/>
      <c r="D4" s="541"/>
      <c r="E4" s="541"/>
      <c r="F4" s="542"/>
      <c r="G4" s="543"/>
      <c r="H4" s="544"/>
      <c r="I4" s="544"/>
      <c r="J4" s="544"/>
      <c r="K4" s="544"/>
    </row>
    <row r="5" spans="1:12" ht="15" x14ac:dyDescent="0.2">
      <c r="A5" s="491" t="s">
        <v>1758</v>
      </c>
      <c r="B5" s="545"/>
      <c r="C5" s="480">
        <v>1381715</v>
      </c>
      <c r="D5" s="480">
        <v>375466</v>
      </c>
      <c r="E5" s="480">
        <v>177629</v>
      </c>
      <c r="F5" s="546">
        <v>150186</v>
      </c>
      <c r="G5" s="466">
        <v>285246</v>
      </c>
      <c r="H5" s="466">
        <v>0</v>
      </c>
      <c r="I5" s="466">
        <v>37546</v>
      </c>
      <c r="J5" s="466">
        <v>564912</v>
      </c>
      <c r="K5" s="466">
        <v>37546</v>
      </c>
    </row>
    <row r="6" spans="1:12" ht="15" x14ac:dyDescent="0.2">
      <c r="A6" s="463" t="s">
        <v>1759</v>
      </c>
      <c r="B6" s="470">
        <v>1130</v>
      </c>
      <c r="C6" s="466">
        <v>37546</v>
      </c>
      <c r="D6" s="466">
        <v>0</v>
      </c>
      <c r="E6" s="475"/>
      <c r="F6" s="475"/>
      <c r="G6" s="468"/>
      <c r="H6" s="468"/>
      <c r="I6" s="468"/>
      <c r="J6" s="468"/>
      <c r="K6" s="468"/>
    </row>
    <row r="7" spans="1:12" x14ac:dyDescent="0.2">
      <c r="A7" s="463" t="s">
        <v>112</v>
      </c>
      <c r="B7" s="547">
        <v>1140</v>
      </c>
      <c r="C7" s="466">
        <v>30037</v>
      </c>
      <c r="D7" s="466">
        <v>0</v>
      </c>
      <c r="E7" s="468"/>
      <c r="F7" s="467">
        <v>0</v>
      </c>
      <c r="G7" s="467">
        <v>0</v>
      </c>
      <c r="H7" s="467">
        <v>0</v>
      </c>
      <c r="I7" s="468"/>
      <c r="J7" s="468"/>
      <c r="K7" s="468"/>
    </row>
    <row r="8" spans="1:12" x14ac:dyDescent="0.2">
      <c r="A8" s="463" t="s">
        <v>433</v>
      </c>
      <c r="B8" s="470">
        <v>1150</v>
      </c>
      <c r="C8" s="475"/>
      <c r="D8" s="475"/>
      <c r="E8" s="476"/>
      <c r="F8" s="476"/>
      <c r="G8" s="480">
        <v>359378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2" t="s">
        <v>29</v>
      </c>
      <c r="B12" s="1723"/>
      <c r="C12" s="1724">
        <f t="shared" ref="C12:K12" si="0">SUM(C5:C11)</f>
        <v>1449298</v>
      </c>
      <c r="D12" s="1724">
        <f t="shared" si="0"/>
        <v>375466</v>
      </c>
      <c r="E12" s="1724">
        <f t="shared" si="0"/>
        <v>177629</v>
      </c>
      <c r="F12" s="1724">
        <f t="shared" si="0"/>
        <v>150186</v>
      </c>
      <c r="G12" s="1724">
        <f t="shared" si="0"/>
        <v>644624</v>
      </c>
      <c r="H12" s="1724">
        <f t="shared" si="0"/>
        <v>0</v>
      </c>
      <c r="I12" s="1724">
        <f t="shared" si="0"/>
        <v>37546</v>
      </c>
      <c r="J12" s="1724">
        <f t="shared" si="0"/>
        <v>564912</v>
      </c>
      <c r="K12" s="1705">
        <f t="shared" si="0"/>
        <v>37546</v>
      </c>
    </row>
    <row r="13" spans="1:12" ht="15.75" customHeight="1" thickTop="1" x14ac:dyDescent="0.2">
      <c r="A13" s="1609" t="s">
        <v>471</v>
      </c>
      <c r="B13" s="1610">
        <v>1200</v>
      </c>
      <c r="C13" s="551"/>
      <c r="D13" s="551"/>
      <c r="E13" s="551"/>
      <c r="F13" s="551"/>
      <c r="G13" s="551"/>
      <c r="H13" s="551"/>
      <c r="I13" s="551"/>
      <c r="J13" s="551"/>
      <c r="K13" s="468"/>
    </row>
    <row r="14" spans="1:12" x14ac:dyDescent="0.2">
      <c r="A14" s="463" t="s">
        <v>3</v>
      </c>
      <c r="B14" s="470">
        <v>1210</v>
      </c>
      <c r="C14" s="549">
        <v>170</v>
      </c>
      <c r="D14" s="466">
        <v>44</v>
      </c>
      <c r="E14" s="466">
        <v>21</v>
      </c>
      <c r="F14" s="466">
        <v>18</v>
      </c>
      <c r="G14" s="466">
        <v>75</v>
      </c>
      <c r="H14" s="466">
        <v>0</v>
      </c>
      <c r="I14" s="466">
        <v>4</v>
      </c>
      <c r="J14" s="467">
        <v>66</v>
      </c>
      <c r="K14" s="466">
        <v>4</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1760</v>
      </c>
      <c r="B16" s="547">
        <v>1230</v>
      </c>
      <c r="C16" s="549">
        <v>247124</v>
      </c>
      <c r="D16" s="466">
        <v>71890</v>
      </c>
      <c r="E16" s="466">
        <v>0</v>
      </c>
      <c r="F16" s="466">
        <v>0</v>
      </c>
      <c r="G16" s="466">
        <v>107062</v>
      </c>
      <c r="H16" s="466">
        <v>0</v>
      </c>
      <c r="I16" s="466">
        <v>0</v>
      </c>
      <c r="J16" s="467">
        <v>0</v>
      </c>
      <c r="K16" s="466">
        <v>0</v>
      </c>
    </row>
    <row r="17" spans="1:11" ht="12.75" customHeight="1" x14ac:dyDescent="0.2">
      <c r="A17" s="463" t="s">
        <v>840</v>
      </c>
      <c r="B17" s="470">
        <v>1290</v>
      </c>
      <c r="C17" s="549">
        <v>2116</v>
      </c>
      <c r="D17" s="466">
        <v>548</v>
      </c>
      <c r="E17" s="466">
        <v>261</v>
      </c>
      <c r="F17" s="466">
        <v>219</v>
      </c>
      <c r="G17" s="466">
        <v>931</v>
      </c>
      <c r="H17" s="466">
        <v>0</v>
      </c>
      <c r="I17" s="466">
        <v>55</v>
      </c>
      <c r="J17" s="467">
        <v>825</v>
      </c>
      <c r="K17" s="466">
        <v>55</v>
      </c>
    </row>
    <row r="18" spans="1:11" ht="12.75" customHeight="1" thickBot="1" x14ac:dyDescent="0.25">
      <c r="A18" s="1725" t="s">
        <v>558</v>
      </c>
      <c r="B18" s="1726"/>
      <c r="C18" s="1727">
        <f>SUM(C14:C17)</f>
        <v>249410</v>
      </c>
      <c r="D18" s="1727">
        <f t="shared" ref="D18:K18" si="1">SUM(D14:D17)</f>
        <v>72482</v>
      </c>
      <c r="E18" s="1727">
        <f t="shared" si="1"/>
        <v>282</v>
      </c>
      <c r="F18" s="1727">
        <f t="shared" si="1"/>
        <v>237</v>
      </c>
      <c r="G18" s="1727">
        <f t="shared" si="1"/>
        <v>108068</v>
      </c>
      <c r="H18" s="1727">
        <f t="shared" si="1"/>
        <v>0</v>
      </c>
      <c r="I18" s="1727">
        <f t="shared" si="1"/>
        <v>59</v>
      </c>
      <c r="J18" s="1727">
        <f t="shared" si="1"/>
        <v>891</v>
      </c>
      <c r="K18" s="1728">
        <f t="shared" si="1"/>
        <v>59</v>
      </c>
    </row>
    <row r="19" spans="1:11" ht="15.75" customHeight="1" thickTop="1" x14ac:dyDescent="0.2">
      <c r="A19" s="1609" t="s">
        <v>472</v>
      </c>
      <c r="B19" s="1610">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3240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2" t="s">
        <v>615</v>
      </c>
      <c r="B39" s="554">
        <v>1354</v>
      </c>
      <c r="C39" s="487">
        <v>0</v>
      </c>
      <c r="D39" s="468"/>
      <c r="E39" s="468"/>
      <c r="F39" s="468"/>
      <c r="G39" s="468"/>
      <c r="H39" s="468"/>
      <c r="I39" s="468"/>
      <c r="J39" s="468"/>
      <c r="K39" s="468"/>
    </row>
    <row r="40" spans="1:11" ht="12.75" customHeight="1" thickBot="1" x14ac:dyDescent="0.25">
      <c r="A40" s="1725" t="s">
        <v>559</v>
      </c>
      <c r="B40" s="1726"/>
      <c r="C40" s="1705">
        <f>SUM(C20:C39)</f>
        <v>3240</v>
      </c>
      <c r="D40" s="468"/>
      <c r="E40" s="468"/>
      <c r="F40" s="468"/>
      <c r="G40" s="468"/>
      <c r="H40" s="468"/>
      <c r="I40" s="468"/>
      <c r="J40" s="468"/>
      <c r="K40" s="468"/>
    </row>
    <row r="41" spans="1:11" ht="15.75" customHeight="1" thickTop="1" x14ac:dyDescent="0.2">
      <c r="A41" s="1609" t="s">
        <v>292</v>
      </c>
      <c r="B41" s="1610">
        <v>1400</v>
      </c>
      <c r="C41" s="468"/>
      <c r="D41" s="468"/>
      <c r="E41" s="468"/>
      <c r="F41" s="519"/>
      <c r="G41" s="468"/>
      <c r="H41" s="468"/>
      <c r="I41" s="468"/>
      <c r="J41" s="468"/>
      <c r="K41" s="468"/>
    </row>
    <row r="42" spans="1:11" ht="12.75" customHeight="1" x14ac:dyDescent="0.2">
      <c r="A42" s="463" t="s">
        <v>1136</v>
      </c>
      <c r="B42" s="470">
        <v>1411</v>
      </c>
      <c r="C42" s="468"/>
      <c r="D42" s="468"/>
      <c r="E42" s="468"/>
      <c r="F42" s="480">
        <v>7119</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29747</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5">
        <v>1431</v>
      </c>
      <c r="C51" s="468"/>
      <c r="D51" s="468"/>
      <c r="E51" s="468"/>
      <c r="F51" s="466">
        <v>0</v>
      </c>
      <c r="G51" s="468"/>
      <c r="H51" s="468"/>
      <c r="I51" s="468"/>
      <c r="J51" s="468"/>
      <c r="K51" s="468"/>
    </row>
    <row r="52" spans="1:11" ht="12.75" customHeight="1" x14ac:dyDescent="0.2">
      <c r="A52" s="1513" t="s">
        <v>1168</v>
      </c>
      <c r="B52" s="555">
        <v>1432</v>
      </c>
      <c r="C52" s="468"/>
      <c r="D52" s="468"/>
      <c r="E52" s="468"/>
      <c r="F52" s="466">
        <v>0</v>
      </c>
      <c r="G52" s="468"/>
      <c r="H52" s="468"/>
      <c r="I52" s="468"/>
      <c r="J52" s="468"/>
      <c r="K52" s="468"/>
    </row>
    <row r="53" spans="1:11" ht="12.75" customHeight="1" x14ac:dyDescent="0.2">
      <c r="A53" s="1513" t="s">
        <v>63</v>
      </c>
      <c r="B53" s="555">
        <v>1433</v>
      </c>
      <c r="C53" s="468"/>
      <c r="D53" s="468"/>
      <c r="E53" s="468"/>
      <c r="F53" s="466">
        <v>0</v>
      </c>
      <c r="G53" s="468"/>
      <c r="H53" s="468"/>
      <c r="I53" s="468"/>
      <c r="J53" s="468"/>
      <c r="K53" s="468"/>
    </row>
    <row r="54" spans="1:11" ht="12.75" customHeight="1" x14ac:dyDescent="0.2">
      <c r="A54" s="1513" t="s">
        <v>64</v>
      </c>
      <c r="B54" s="555">
        <v>1434</v>
      </c>
      <c r="C54" s="468"/>
      <c r="D54" s="468"/>
      <c r="E54" s="468"/>
      <c r="F54" s="467">
        <v>0</v>
      </c>
      <c r="G54" s="468"/>
      <c r="H54" s="468"/>
      <c r="I54" s="468"/>
      <c r="J54" s="468"/>
      <c r="K54" s="468"/>
    </row>
    <row r="55" spans="1:11" ht="12.75" customHeight="1" x14ac:dyDescent="0.2">
      <c r="A55" s="1513" t="s">
        <v>65</v>
      </c>
      <c r="B55" s="555">
        <v>1441</v>
      </c>
      <c r="C55" s="468"/>
      <c r="D55" s="468"/>
      <c r="E55" s="468"/>
      <c r="F55" s="466">
        <v>0</v>
      </c>
      <c r="G55" s="468"/>
      <c r="H55" s="468"/>
      <c r="I55" s="468"/>
      <c r="J55" s="468"/>
      <c r="K55" s="468"/>
    </row>
    <row r="56" spans="1:11" ht="12.75" customHeight="1" x14ac:dyDescent="0.2">
      <c r="A56" s="1513" t="s">
        <v>1169</v>
      </c>
      <c r="B56" s="555">
        <v>1442</v>
      </c>
      <c r="C56" s="468"/>
      <c r="D56" s="468"/>
      <c r="E56" s="468"/>
      <c r="F56" s="466">
        <v>0</v>
      </c>
      <c r="G56" s="468"/>
      <c r="H56" s="468"/>
      <c r="I56" s="468"/>
      <c r="J56" s="468"/>
      <c r="K56" s="468"/>
    </row>
    <row r="57" spans="1:11" ht="12.75" customHeight="1" x14ac:dyDescent="0.2">
      <c r="A57" s="1513" t="s">
        <v>510</v>
      </c>
      <c r="B57" s="555">
        <v>1443</v>
      </c>
      <c r="C57" s="468"/>
      <c r="D57" s="468"/>
      <c r="E57" s="468"/>
      <c r="F57" s="466">
        <v>0</v>
      </c>
      <c r="G57" s="468"/>
      <c r="H57" s="468"/>
      <c r="I57" s="468"/>
      <c r="J57" s="468"/>
      <c r="K57" s="468"/>
    </row>
    <row r="58" spans="1:11" ht="12.75" customHeight="1" x14ac:dyDescent="0.2">
      <c r="A58" s="1513" t="s">
        <v>67</v>
      </c>
      <c r="B58" s="555">
        <v>1444</v>
      </c>
      <c r="C58" s="468"/>
      <c r="D58" s="468"/>
      <c r="E58" s="468"/>
      <c r="F58" s="466">
        <v>0</v>
      </c>
      <c r="G58" s="468"/>
      <c r="H58" s="468"/>
      <c r="I58" s="468"/>
      <c r="J58" s="468"/>
      <c r="K58" s="468"/>
    </row>
    <row r="59" spans="1:11" ht="12.75" customHeight="1" x14ac:dyDescent="0.2">
      <c r="A59" s="1513" t="s">
        <v>933</v>
      </c>
      <c r="B59" s="555">
        <v>1451</v>
      </c>
      <c r="C59" s="468"/>
      <c r="D59" s="468"/>
      <c r="E59" s="468"/>
      <c r="F59" s="466">
        <v>0</v>
      </c>
      <c r="G59" s="468"/>
      <c r="H59" s="468"/>
      <c r="I59" s="468"/>
      <c r="J59" s="468"/>
      <c r="K59" s="468"/>
    </row>
    <row r="60" spans="1:11" ht="12.75" customHeight="1" x14ac:dyDescent="0.2">
      <c r="A60" s="1513"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4" t="s">
        <v>935</v>
      </c>
      <c r="B62" s="556">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36866</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89114</v>
      </c>
      <c r="D65" s="466">
        <v>14990</v>
      </c>
      <c r="E65" s="466">
        <v>17258</v>
      </c>
      <c r="F65" s="467">
        <v>5985</v>
      </c>
      <c r="G65" s="466">
        <v>10571</v>
      </c>
      <c r="H65" s="466">
        <v>5708</v>
      </c>
      <c r="I65" s="466">
        <v>7388</v>
      </c>
      <c r="J65" s="467">
        <v>1925</v>
      </c>
      <c r="K65" s="466">
        <v>582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5" t="s">
        <v>507</v>
      </c>
      <c r="B67" s="1726"/>
      <c r="C67" s="1705">
        <f>SUM(C65:C66)</f>
        <v>89114</v>
      </c>
      <c r="D67" s="1705">
        <f t="shared" ref="D67:K67" si="2">SUM(D65:D66)</f>
        <v>14990</v>
      </c>
      <c r="E67" s="1705">
        <f t="shared" si="2"/>
        <v>17258</v>
      </c>
      <c r="F67" s="1705">
        <f t="shared" si="2"/>
        <v>5985</v>
      </c>
      <c r="G67" s="1705">
        <f t="shared" si="2"/>
        <v>10571</v>
      </c>
      <c r="H67" s="1705">
        <f t="shared" si="2"/>
        <v>5708</v>
      </c>
      <c r="I67" s="1705">
        <f t="shared" si="2"/>
        <v>7388</v>
      </c>
      <c r="J67" s="1705">
        <f t="shared" si="2"/>
        <v>1925</v>
      </c>
      <c r="K67" s="1705">
        <f t="shared" si="2"/>
        <v>582</v>
      </c>
    </row>
    <row r="68" spans="1:11" ht="15.75" customHeight="1" thickTop="1" x14ac:dyDescent="0.2">
      <c r="A68" s="1609" t="s">
        <v>475</v>
      </c>
      <c r="B68" s="1611">
        <v>1600</v>
      </c>
      <c r="C68" s="551"/>
      <c r="D68" s="468"/>
      <c r="E68" s="468"/>
      <c r="F68" s="468"/>
      <c r="G68" s="468"/>
      <c r="H68" s="468"/>
      <c r="I68" s="468"/>
      <c r="J68" s="468"/>
      <c r="K68" s="468"/>
    </row>
    <row r="69" spans="1:11" ht="12.75" customHeight="1" x14ac:dyDescent="0.2">
      <c r="A69" s="463" t="s">
        <v>687</v>
      </c>
      <c r="B69" s="470">
        <v>1611</v>
      </c>
      <c r="C69" s="466">
        <v>89902</v>
      </c>
      <c r="D69" s="468"/>
      <c r="E69" s="468"/>
      <c r="F69" s="468"/>
      <c r="G69" s="468"/>
      <c r="H69" s="468"/>
      <c r="I69" s="468"/>
      <c r="J69" s="468"/>
      <c r="K69" s="468"/>
    </row>
    <row r="70" spans="1:11" ht="12.75" customHeight="1" x14ac:dyDescent="0.2">
      <c r="A70" s="463" t="s">
        <v>1054</v>
      </c>
      <c r="B70" s="470">
        <v>1612</v>
      </c>
      <c r="C70" s="549">
        <v>22054</v>
      </c>
      <c r="D70" s="468"/>
      <c r="E70" s="468"/>
      <c r="F70" s="468"/>
      <c r="G70" s="468"/>
      <c r="H70" s="468"/>
      <c r="I70" s="468"/>
      <c r="J70" s="468"/>
      <c r="K70" s="468"/>
    </row>
    <row r="71" spans="1:11" ht="12.75" customHeight="1" x14ac:dyDescent="0.2">
      <c r="A71" s="463" t="s">
        <v>291</v>
      </c>
      <c r="B71" s="470">
        <v>1613</v>
      </c>
      <c r="C71" s="549">
        <v>27329</v>
      </c>
      <c r="D71" s="468"/>
      <c r="E71" s="468"/>
      <c r="F71" s="468"/>
      <c r="G71" s="468"/>
      <c r="H71" s="468"/>
      <c r="I71" s="468"/>
      <c r="J71" s="468"/>
      <c r="K71" s="468"/>
    </row>
    <row r="72" spans="1:11" ht="12.75" customHeight="1" x14ac:dyDescent="0.2">
      <c r="A72" s="463" t="s">
        <v>24</v>
      </c>
      <c r="B72" s="470">
        <v>1614</v>
      </c>
      <c r="C72" s="549">
        <v>15557</v>
      </c>
      <c r="D72" s="468"/>
      <c r="E72" s="468"/>
      <c r="F72" s="468"/>
      <c r="G72" s="468"/>
      <c r="H72" s="468"/>
      <c r="I72" s="468"/>
      <c r="J72" s="468"/>
      <c r="K72" s="468"/>
    </row>
    <row r="73" spans="1:11" ht="12.75" customHeight="1" x14ac:dyDescent="0.2">
      <c r="A73" s="463" t="s">
        <v>1055</v>
      </c>
      <c r="B73" s="470">
        <v>1620</v>
      </c>
      <c r="C73" s="549">
        <v>2807</v>
      </c>
      <c r="D73" s="468"/>
      <c r="E73" s="468"/>
      <c r="F73" s="468"/>
      <c r="G73" s="468"/>
      <c r="H73" s="468"/>
      <c r="I73" s="468"/>
      <c r="J73" s="468"/>
      <c r="K73" s="468"/>
    </row>
    <row r="74" spans="1:11" ht="12.75" customHeight="1" x14ac:dyDescent="0.2">
      <c r="A74" s="463" t="s">
        <v>25</v>
      </c>
      <c r="B74" s="470">
        <v>1690</v>
      </c>
      <c r="C74" s="549">
        <v>67941</v>
      </c>
      <c r="D74" s="468"/>
      <c r="E74" s="468"/>
      <c r="F74" s="468"/>
      <c r="G74" s="468"/>
      <c r="H74" s="468"/>
      <c r="I74" s="468"/>
      <c r="J74" s="468"/>
      <c r="K74" s="468"/>
    </row>
    <row r="75" spans="1:11" ht="12.75" customHeight="1" thickBot="1" x14ac:dyDescent="0.25">
      <c r="A75" s="1725" t="s">
        <v>569</v>
      </c>
      <c r="B75" s="1726"/>
      <c r="C75" s="1705">
        <f>SUM(C69:C74)</f>
        <v>225590</v>
      </c>
      <c r="D75" s="468"/>
      <c r="E75" s="468"/>
      <c r="F75" s="468"/>
      <c r="G75" s="468"/>
      <c r="H75" s="468"/>
      <c r="I75" s="468"/>
      <c r="J75" s="468"/>
      <c r="K75" s="468"/>
    </row>
    <row r="76" spans="1:11" ht="15.75" customHeight="1" thickTop="1" x14ac:dyDescent="0.2">
      <c r="A76" s="1609" t="s">
        <v>936</v>
      </c>
      <c r="B76" s="1611">
        <v>1700</v>
      </c>
      <c r="C76" s="551"/>
      <c r="D76" s="468"/>
      <c r="E76" s="468"/>
      <c r="F76" s="468"/>
      <c r="G76" s="468"/>
      <c r="H76" s="468"/>
      <c r="I76" s="468"/>
      <c r="J76" s="468"/>
      <c r="K76" s="468"/>
    </row>
    <row r="77" spans="1:11" ht="12.75" customHeight="1" x14ac:dyDescent="0.2">
      <c r="A77" s="463" t="s">
        <v>570</v>
      </c>
      <c r="B77" s="470">
        <v>1711</v>
      </c>
      <c r="C77" s="514">
        <v>53887</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5" t="s">
        <v>259</v>
      </c>
      <c r="B82" s="1726"/>
      <c r="C82" s="1724">
        <f>SUM(C77:C81)</f>
        <v>53887</v>
      </c>
      <c r="D82" s="1705">
        <f>SUM(D77:D81)</f>
        <v>0</v>
      </c>
      <c r="E82" s="468"/>
      <c r="F82" s="468"/>
      <c r="G82" s="468"/>
      <c r="H82" s="468"/>
      <c r="I82" s="468"/>
      <c r="J82" s="468"/>
      <c r="K82" s="468"/>
    </row>
    <row r="83" spans="1:11" ht="15.75" customHeight="1" thickTop="1" x14ac:dyDescent="0.2">
      <c r="A83" s="1609" t="s">
        <v>260</v>
      </c>
      <c r="B83" s="1611">
        <v>1800</v>
      </c>
      <c r="C83" s="551"/>
      <c r="D83" s="468"/>
      <c r="E83" s="468"/>
      <c r="F83" s="468"/>
      <c r="G83" s="468"/>
      <c r="H83" s="468"/>
      <c r="I83" s="468"/>
      <c r="J83" s="468"/>
      <c r="K83" s="468"/>
    </row>
    <row r="84" spans="1:11" ht="12.75" customHeight="1" x14ac:dyDescent="0.2">
      <c r="A84" s="463" t="s">
        <v>573</v>
      </c>
      <c r="B84" s="470">
        <v>1811</v>
      </c>
      <c r="C84" s="466">
        <v>13806</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5" t="s">
        <v>261</v>
      </c>
      <c r="B93" s="1726"/>
      <c r="C93" s="1705">
        <f>SUM(C84:C92)</f>
        <v>13806</v>
      </c>
      <c r="D93" s="468"/>
      <c r="E93" s="468"/>
      <c r="F93" s="468"/>
      <c r="G93" s="468"/>
      <c r="H93" s="468"/>
      <c r="I93" s="468"/>
      <c r="J93" s="468"/>
      <c r="K93" s="468"/>
    </row>
    <row r="94" spans="1:11" ht="15.75" customHeight="1" thickTop="1" x14ac:dyDescent="0.2">
      <c r="A94" s="1609" t="s">
        <v>1199</v>
      </c>
      <c r="B94" s="1611">
        <v>1900</v>
      </c>
      <c r="C94" s="551"/>
      <c r="D94" s="519"/>
      <c r="E94" s="468"/>
      <c r="F94" s="468"/>
      <c r="G94" s="468"/>
      <c r="H94" s="468"/>
      <c r="I94" s="468"/>
      <c r="J94" s="468"/>
      <c r="K94" s="468"/>
    </row>
    <row r="95" spans="1:11" ht="12.75" customHeight="1" x14ac:dyDescent="0.2">
      <c r="A95" s="463" t="s">
        <v>1124</v>
      </c>
      <c r="B95" s="470">
        <v>1910</v>
      </c>
      <c r="C95" s="466">
        <v>0</v>
      </c>
      <c r="D95" s="549">
        <v>18717</v>
      </c>
      <c r="E95" s="519"/>
      <c r="F95" s="519"/>
      <c r="G95" s="519"/>
      <c r="H95" s="519"/>
      <c r="I95" s="519"/>
      <c r="J95" s="519"/>
      <c r="K95" s="519"/>
    </row>
    <row r="96" spans="1:11" ht="12.75" customHeight="1" x14ac:dyDescent="0.2">
      <c r="A96" s="463" t="s">
        <v>409</v>
      </c>
      <c r="B96" s="470">
        <v>1920</v>
      </c>
      <c r="C96" s="549">
        <v>63525</v>
      </c>
      <c r="D96" s="549">
        <v>0</v>
      </c>
      <c r="E96" s="478">
        <v>0</v>
      </c>
      <c r="F96" s="477">
        <v>0</v>
      </c>
      <c r="G96" s="477">
        <v>0</v>
      </c>
      <c r="H96" s="477">
        <v>0</v>
      </c>
      <c r="I96" s="477">
        <v>0</v>
      </c>
      <c r="J96" s="477">
        <v>0</v>
      </c>
      <c r="K96" s="477">
        <v>0</v>
      </c>
    </row>
    <row r="97" spans="1:12" ht="12.75" customHeight="1" x14ac:dyDescent="0.2">
      <c r="A97" s="1512" t="s">
        <v>262</v>
      </c>
      <c r="B97" s="557">
        <v>1930</v>
      </c>
      <c r="C97" s="487">
        <v>0</v>
      </c>
      <c r="D97" s="467">
        <v>509</v>
      </c>
      <c r="E97" s="474">
        <v>0</v>
      </c>
      <c r="F97" s="467">
        <v>434</v>
      </c>
      <c r="G97" s="467">
        <v>0</v>
      </c>
      <c r="H97" s="467">
        <v>0</v>
      </c>
      <c r="I97" s="467">
        <v>0</v>
      </c>
      <c r="J97" s="467">
        <v>0</v>
      </c>
      <c r="K97" s="467">
        <v>0</v>
      </c>
    </row>
    <row r="98" spans="1:12" ht="12.75" customHeight="1" x14ac:dyDescent="0.2">
      <c r="A98" s="463" t="s">
        <v>198</v>
      </c>
      <c r="B98" s="470">
        <v>1940</v>
      </c>
      <c r="C98" s="487">
        <v>501412</v>
      </c>
      <c r="D98" s="466">
        <v>0</v>
      </c>
      <c r="E98" s="510"/>
      <c r="F98" s="466">
        <v>0</v>
      </c>
      <c r="G98" s="510"/>
      <c r="H98" s="510"/>
      <c r="I98" s="508"/>
      <c r="J98" s="510"/>
      <c r="K98" s="510"/>
    </row>
    <row r="99" spans="1:12" ht="12.75" customHeight="1" x14ac:dyDescent="0.2">
      <c r="A99" s="463" t="s">
        <v>875</v>
      </c>
      <c r="B99" s="470">
        <v>1950</v>
      </c>
      <c r="C99" s="487">
        <v>1329</v>
      </c>
      <c r="D99" s="466">
        <v>84935</v>
      </c>
      <c r="E99" s="466">
        <v>0</v>
      </c>
      <c r="F99" s="466">
        <v>14842</v>
      </c>
      <c r="G99" s="466">
        <v>0</v>
      </c>
      <c r="H99" s="466">
        <v>0</v>
      </c>
      <c r="I99" s="468"/>
      <c r="J99" s="467">
        <v>0</v>
      </c>
      <c r="K99" s="466">
        <v>0</v>
      </c>
    </row>
    <row r="100" spans="1:12" ht="12.75" customHeight="1" x14ac:dyDescent="0.2">
      <c r="A100" s="463" t="s">
        <v>263</v>
      </c>
      <c r="B100" s="470">
        <v>1960</v>
      </c>
      <c r="C100" s="487">
        <v>12000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433670</v>
      </c>
      <c r="F103" s="468"/>
      <c r="G103" s="468"/>
      <c r="H103" s="487">
        <v>272642</v>
      </c>
      <c r="I103" s="468"/>
      <c r="J103" s="508"/>
      <c r="K103" s="508"/>
    </row>
    <row r="104" spans="1:12" ht="12.75" customHeight="1" x14ac:dyDescent="0.2">
      <c r="A104" s="463" t="s">
        <v>885</v>
      </c>
      <c r="B104" s="470">
        <v>1991</v>
      </c>
      <c r="C104" s="487">
        <v>185</v>
      </c>
      <c r="D104" s="466">
        <v>0</v>
      </c>
      <c r="E104" s="480">
        <v>0</v>
      </c>
      <c r="F104" s="467">
        <v>0</v>
      </c>
      <c r="G104" s="467">
        <v>0</v>
      </c>
      <c r="H104" s="466">
        <v>0</v>
      </c>
      <c r="I104" s="468"/>
      <c r="J104" s="468"/>
      <c r="K104" s="468"/>
    </row>
    <row r="105" spans="1:12" ht="12.75" customHeight="1" x14ac:dyDescent="0.2">
      <c r="A105" s="463" t="s">
        <v>876</v>
      </c>
      <c r="B105" s="470">
        <v>1992</v>
      </c>
      <c r="C105" s="466">
        <v>2675</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0</v>
      </c>
      <c r="K107" s="466">
        <v>0</v>
      </c>
    </row>
    <row r="108" spans="1:12" ht="12.75" customHeight="1" thickBot="1" x14ac:dyDescent="0.25">
      <c r="A108" s="1725" t="s">
        <v>508</v>
      </c>
      <c r="B108" s="1729"/>
      <c r="C108" s="1724">
        <f>SUM(C95:C107)</f>
        <v>581126</v>
      </c>
      <c r="D108" s="1724">
        <f t="shared" ref="D108:K108" si="3">SUM(D95:D107)</f>
        <v>104161</v>
      </c>
      <c r="E108" s="1724">
        <f t="shared" si="3"/>
        <v>433670</v>
      </c>
      <c r="F108" s="1724">
        <f t="shared" si="3"/>
        <v>15276</v>
      </c>
      <c r="G108" s="1724">
        <f t="shared" si="3"/>
        <v>0</v>
      </c>
      <c r="H108" s="1724">
        <f t="shared" si="3"/>
        <v>272642</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2665471</v>
      </c>
      <c r="D109" s="1732">
        <f t="shared" si="4"/>
        <v>567099</v>
      </c>
      <c r="E109" s="1732">
        <f t="shared" si="4"/>
        <v>628839</v>
      </c>
      <c r="F109" s="1732">
        <f t="shared" si="4"/>
        <v>208550</v>
      </c>
      <c r="G109" s="1732">
        <f t="shared" si="4"/>
        <v>763263</v>
      </c>
      <c r="H109" s="1732">
        <f t="shared" si="4"/>
        <v>278350</v>
      </c>
      <c r="I109" s="1732">
        <f t="shared" si="4"/>
        <v>44993</v>
      </c>
      <c r="J109" s="1732">
        <f t="shared" si="4"/>
        <v>567728</v>
      </c>
      <c r="K109" s="1719">
        <f t="shared" si="4"/>
        <v>38187</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3" t="s">
        <v>839</v>
      </c>
      <c r="B114" s="1734" t="s">
        <v>590</v>
      </c>
      <c r="C114" s="1735">
        <f>SUM(C111:C113)</f>
        <v>0</v>
      </c>
      <c r="D114" s="1735">
        <f>SUM(D111:D113)</f>
        <v>0</v>
      </c>
      <c r="E114" s="559" t="s">
        <v>1231</v>
      </c>
      <c r="F114" s="1735">
        <f>SUM(F111:F113)</f>
        <v>0</v>
      </c>
      <c r="G114" s="1735">
        <f>SUM(G111:G113)</f>
        <v>0</v>
      </c>
      <c r="H114" s="559"/>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0"/>
      <c r="D116" s="519"/>
      <c r="E116" s="559"/>
      <c r="F116" s="519"/>
      <c r="G116" s="519"/>
      <c r="H116" s="559"/>
      <c r="I116" s="468"/>
      <c r="J116" s="519"/>
      <c r="K116" s="519"/>
    </row>
    <row r="117" spans="1:11" ht="12.75" customHeight="1" x14ac:dyDescent="0.2">
      <c r="A117" s="463" t="s">
        <v>1764</v>
      </c>
      <c r="B117" s="560">
        <v>3001</v>
      </c>
      <c r="C117" s="514">
        <v>9290485</v>
      </c>
      <c r="D117" s="480">
        <v>1574232</v>
      </c>
      <c r="E117" s="466">
        <v>0</v>
      </c>
      <c r="F117" s="480">
        <v>0</v>
      </c>
      <c r="G117" s="480">
        <v>0</v>
      </c>
      <c r="H117" s="466">
        <v>700000</v>
      </c>
      <c r="I117" s="468"/>
      <c r="J117" s="467">
        <v>0</v>
      </c>
      <c r="K117" s="466">
        <v>0</v>
      </c>
    </row>
    <row r="118" spans="1:11" ht="12.75" customHeight="1" x14ac:dyDescent="0.2">
      <c r="A118" s="463" t="s">
        <v>1897</v>
      </c>
      <c r="B118" s="560">
        <v>3002</v>
      </c>
      <c r="C118" s="549">
        <v>0</v>
      </c>
      <c r="D118" s="466">
        <v>0</v>
      </c>
      <c r="E118" s="466">
        <v>0</v>
      </c>
      <c r="F118" s="466">
        <v>0</v>
      </c>
      <c r="G118" s="466">
        <v>0</v>
      </c>
      <c r="H118" s="466">
        <v>0</v>
      </c>
      <c r="I118" s="468"/>
      <c r="J118" s="467">
        <v>0</v>
      </c>
      <c r="K118" s="466">
        <v>0</v>
      </c>
    </row>
    <row r="119" spans="1:11" ht="12.75" customHeight="1" x14ac:dyDescent="0.2">
      <c r="A119" s="463" t="s">
        <v>1898</v>
      </c>
      <c r="B119" s="560">
        <v>3005</v>
      </c>
      <c r="C119" s="549">
        <v>0</v>
      </c>
      <c r="D119" s="466">
        <v>0</v>
      </c>
      <c r="E119" s="466">
        <v>0</v>
      </c>
      <c r="F119" s="466">
        <v>0</v>
      </c>
      <c r="G119" s="466">
        <v>0</v>
      </c>
      <c r="H119" s="466">
        <v>0</v>
      </c>
      <c r="I119" s="468"/>
      <c r="J119" s="467">
        <v>0</v>
      </c>
      <c r="K119" s="466">
        <v>0</v>
      </c>
    </row>
    <row r="120" spans="1:11" x14ac:dyDescent="0.2">
      <c r="A120" s="1513" t="s">
        <v>1899</v>
      </c>
      <c r="B120" s="562">
        <v>3099</v>
      </c>
      <c r="C120" s="549">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9290485</v>
      </c>
      <c r="D121" s="1724">
        <f t="shared" si="5"/>
        <v>1574232</v>
      </c>
      <c r="E121" s="1724">
        <f t="shared" si="5"/>
        <v>0</v>
      </c>
      <c r="F121" s="1724">
        <f t="shared" si="5"/>
        <v>0</v>
      </c>
      <c r="G121" s="1724">
        <f t="shared" si="5"/>
        <v>0</v>
      </c>
      <c r="H121" s="1724">
        <f t="shared" si="5"/>
        <v>700000</v>
      </c>
      <c r="I121" s="468"/>
      <c r="J121" s="1724">
        <f>SUM(J117:J120)</f>
        <v>0</v>
      </c>
      <c r="K121" s="1705">
        <f>SUM(K117:K120)</f>
        <v>0</v>
      </c>
    </row>
    <row r="122" spans="1:11" ht="15.75" customHeight="1" thickTop="1" x14ac:dyDescent="0.2">
      <c r="A122" s="1609" t="s">
        <v>1570</v>
      </c>
      <c r="B122" s="1614"/>
      <c r="C122" s="563"/>
      <c r="D122" s="507"/>
      <c r="E122" s="468"/>
      <c r="F122" s="564"/>
      <c r="G122" s="468"/>
      <c r="H122" s="468"/>
      <c r="I122" s="468"/>
      <c r="J122" s="468"/>
      <c r="K122" s="468"/>
    </row>
    <row r="123" spans="1:11" ht="15" customHeight="1" x14ac:dyDescent="0.2">
      <c r="A123" s="1615" t="s">
        <v>688</v>
      </c>
      <c r="B123" s="1616"/>
      <c r="C123" s="519"/>
      <c r="D123" s="507"/>
      <c r="E123" s="468"/>
      <c r="F123" s="519"/>
      <c r="G123" s="468"/>
      <c r="H123" s="468"/>
      <c r="I123" s="468"/>
      <c r="J123" s="468"/>
      <c r="K123" s="468"/>
    </row>
    <row r="124" spans="1:11" ht="12.75" customHeight="1" x14ac:dyDescent="0.2">
      <c r="A124" s="463" t="s">
        <v>921</v>
      </c>
      <c r="B124" s="565">
        <v>3100</v>
      </c>
      <c r="C124" s="480">
        <v>134016</v>
      </c>
      <c r="D124" s="559"/>
      <c r="E124" s="468"/>
      <c r="F124" s="546">
        <v>0</v>
      </c>
      <c r="G124" s="468"/>
      <c r="H124" s="468"/>
      <c r="I124" s="468"/>
      <c r="J124" s="468"/>
      <c r="K124" s="468"/>
    </row>
    <row r="125" spans="1:11" ht="12.75" customHeight="1" x14ac:dyDescent="0.2">
      <c r="A125" s="463" t="s">
        <v>1521</v>
      </c>
      <c r="B125" s="560">
        <v>3105</v>
      </c>
      <c r="C125" s="466">
        <v>131949</v>
      </c>
      <c r="D125" s="559"/>
      <c r="E125" s="468"/>
      <c r="F125" s="466">
        <v>0</v>
      </c>
      <c r="G125" s="468"/>
      <c r="H125" s="468"/>
      <c r="I125" s="468"/>
      <c r="J125" s="468"/>
      <c r="K125" s="468"/>
    </row>
    <row r="126" spans="1:11" ht="12.75" customHeight="1" x14ac:dyDescent="0.2">
      <c r="A126" s="463" t="s">
        <v>922</v>
      </c>
      <c r="B126" s="560">
        <v>3110</v>
      </c>
      <c r="C126" s="549">
        <v>36682</v>
      </c>
      <c r="D126" s="466">
        <v>0</v>
      </c>
      <c r="E126" s="468"/>
      <c r="F126" s="466">
        <v>0</v>
      </c>
      <c r="G126" s="468"/>
      <c r="H126" s="468"/>
      <c r="I126" s="468"/>
      <c r="J126" s="468"/>
      <c r="K126" s="468"/>
    </row>
    <row r="127" spans="1:11" ht="12.75" customHeight="1" x14ac:dyDescent="0.2">
      <c r="A127" s="463" t="s">
        <v>107</v>
      </c>
      <c r="B127" s="560">
        <v>3120</v>
      </c>
      <c r="C127" s="466">
        <v>4989</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5" t="s">
        <v>1092</v>
      </c>
      <c r="B131" s="1737"/>
      <c r="C131" s="1724">
        <f>SUM(C124:C130)</f>
        <v>307636</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7" t="s">
        <v>268</v>
      </c>
      <c r="B132" s="1618"/>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63227</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8485</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5" t="s">
        <v>624</v>
      </c>
      <c r="B140" s="1737"/>
      <c r="C140" s="1724">
        <f>SUM(C133:C139)</f>
        <v>71712</v>
      </c>
      <c r="D140" s="1724">
        <f>SUM(D133:D139)</f>
        <v>0</v>
      </c>
      <c r="E140" s="559" t="s">
        <v>1231</v>
      </c>
      <c r="F140" s="476"/>
      <c r="G140" s="1724">
        <f>SUM(G133:G139)</f>
        <v>0</v>
      </c>
      <c r="H140" s="468" t="s">
        <v>1231</v>
      </c>
      <c r="I140" s="468" t="s">
        <v>1231</v>
      </c>
      <c r="J140" s="468" t="s">
        <v>1231</v>
      </c>
      <c r="K140" s="468" t="s">
        <v>1231</v>
      </c>
    </row>
    <row r="141" spans="1:11" ht="15.75" customHeight="1" thickTop="1" x14ac:dyDescent="0.2">
      <c r="A141" s="1617" t="s">
        <v>691</v>
      </c>
      <c r="B141" s="1618"/>
      <c r="C141" s="551"/>
      <c r="D141" s="564"/>
      <c r="E141" s="559"/>
      <c r="F141" s="551"/>
      <c r="G141" s="551"/>
      <c r="H141" s="468"/>
      <c r="I141" s="468"/>
      <c r="J141" s="468"/>
      <c r="K141" s="468"/>
    </row>
    <row r="142" spans="1:11" ht="12.75" customHeight="1" x14ac:dyDescent="0.2">
      <c r="A142" s="463" t="s">
        <v>625</v>
      </c>
      <c r="B142" s="560">
        <v>3305</v>
      </c>
      <c r="C142" s="466">
        <v>62278</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5" t="s">
        <v>414</v>
      </c>
      <c r="B144" s="1737"/>
      <c r="C144" s="1705">
        <f>SUM(C142:C143)</f>
        <v>62278</v>
      </c>
      <c r="D144" s="468"/>
      <c r="E144" s="507"/>
      <c r="F144" s="468"/>
      <c r="G144" s="1738">
        <f>SUM(G142:G143)</f>
        <v>0</v>
      </c>
      <c r="H144" s="468"/>
      <c r="I144" s="468"/>
      <c r="J144" s="468"/>
      <c r="K144" s="468"/>
    </row>
    <row r="145" spans="1:11" s="202" customFormat="1" ht="12.75" customHeight="1" thickTop="1" x14ac:dyDescent="0.2">
      <c r="A145" s="1515" t="s">
        <v>1116</v>
      </c>
      <c r="B145" s="566">
        <v>3360</v>
      </c>
      <c r="C145" s="567">
        <v>14528</v>
      </c>
      <c r="D145" s="568"/>
      <c r="E145" s="507"/>
      <c r="F145" s="468"/>
      <c r="G145" s="569"/>
      <c r="H145" s="468"/>
      <c r="I145" s="468"/>
      <c r="J145" s="468"/>
      <c r="K145" s="468"/>
    </row>
    <row r="146" spans="1:11" ht="12.75" customHeight="1" thickBot="1" x14ac:dyDescent="0.25">
      <c r="A146" s="1516" t="s">
        <v>979</v>
      </c>
      <c r="B146" s="570">
        <v>3365</v>
      </c>
      <c r="C146" s="571">
        <v>0</v>
      </c>
      <c r="D146" s="530">
        <v>0</v>
      </c>
      <c r="E146" s="559"/>
      <c r="F146" s="468"/>
      <c r="G146" s="530">
        <v>0</v>
      </c>
      <c r="H146" s="468"/>
      <c r="I146" s="468"/>
      <c r="J146" s="468"/>
      <c r="K146" s="468"/>
    </row>
    <row r="147" spans="1:11" ht="12.75" customHeight="1" thickTop="1" thickBot="1" x14ac:dyDescent="0.25">
      <c r="A147" s="1517" t="s">
        <v>140</v>
      </c>
      <c r="B147" s="572">
        <v>3370</v>
      </c>
      <c r="C147" s="571">
        <v>29051</v>
      </c>
      <c r="D147" s="571">
        <v>0</v>
      </c>
      <c r="E147" s="507"/>
      <c r="F147" s="468"/>
      <c r="G147" s="468"/>
      <c r="H147" s="468"/>
      <c r="I147" s="468"/>
      <c r="J147" s="468"/>
      <c r="K147" s="468"/>
    </row>
    <row r="148" spans="1:11" ht="12.75" customHeight="1" thickTop="1" thickBot="1" x14ac:dyDescent="0.25">
      <c r="A148" s="1517"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7"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7" t="s">
        <v>473</v>
      </c>
      <c r="B150" s="1619"/>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652425</v>
      </c>
      <c r="G151" s="467">
        <v>0</v>
      </c>
      <c r="H151" s="468"/>
      <c r="I151" s="468"/>
      <c r="J151" s="468"/>
      <c r="K151" s="468"/>
    </row>
    <row r="152" spans="1:11" ht="12.75" customHeight="1" x14ac:dyDescent="0.2">
      <c r="A152" s="463" t="s">
        <v>1117</v>
      </c>
      <c r="B152" s="560">
        <v>3510</v>
      </c>
      <c r="C152" s="549">
        <v>0</v>
      </c>
      <c r="D152" s="466">
        <v>0</v>
      </c>
      <c r="E152" s="559"/>
      <c r="F152" s="466">
        <v>145909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5" t="s">
        <v>96</v>
      </c>
      <c r="B154" s="1737"/>
      <c r="C154" s="1724">
        <f>SUM(C151:C153)</f>
        <v>0</v>
      </c>
      <c r="D154" s="1724">
        <f>SUM(D151:D153)</f>
        <v>0</v>
      </c>
      <c r="E154" s="559"/>
      <c r="F154" s="1724">
        <f>SUM(F151:F153)</f>
        <v>798334</v>
      </c>
      <c r="G154" s="1724">
        <f>SUM(G151:G153)</f>
        <v>0</v>
      </c>
      <c r="H154" s="468"/>
      <c r="I154" s="468"/>
      <c r="J154" s="468"/>
      <c r="K154" s="468"/>
    </row>
    <row r="155" spans="1:11" ht="12.75" customHeight="1" thickTop="1" thickBot="1" x14ac:dyDescent="0.25">
      <c r="A155" s="1517" t="s">
        <v>398</v>
      </c>
      <c r="B155" s="572">
        <v>3610</v>
      </c>
      <c r="C155" s="574">
        <v>0</v>
      </c>
      <c r="D155" s="468"/>
      <c r="E155" s="507"/>
      <c r="F155" s="468"/>
      <c r="G155" s="468"/>
      <c r="H155" s="468"/>
      <c r="I155" s="468"/>
      <c r="J155" s="468"/>
      <c r="K155" s="468"/>
    </row>
    <row r="156" spans="1:11" ht="12.75" customHeight="1" thickTop="1" thickBot="1" x14ac:dyDescent="0.25">
      <c r="A156" s="1517" t="s">
        <v>52</v>
      </c>
      <c r="B156" s="572">
        <v>3660</v>
      </c>
      <c r="C156" s="571">
        <v>0</v>
      </c>
      <c r="D156" s="576">
        <v>0</v>
      </c>
      <c r="E156" s="559"/>
      <c r="F156" s="576">
        <v>0</v>
      </c>
      <c r="G156" s="576">
        <v>0</v>
      </c>
      <c r="H156" s="468"/>
      <c r="I156" s="468"/>
      <c r="J156" s="468"/>
      <c r="K156" s="468"/>
    </row>
    <row r="157" spans="1:11" ht="12.75" customHeight="1" thickTop="1" thickBot="1" x14ac:dyDescent="0.25">
      <c r="A157" s="1517" t="s">
        <v>1057</v>
      </c>
      <c r="B157" s="572">
        <v>3695</v>
      </c>
      <c r="C157" s="574">
        <v>0</v>
      </c>
      <c r="D157" s="468"/>
      <c r="E157" s="559"/>
      <c r="F157" s="574">
        <v>0</v>
      </c>
      <c r="G157" s="574">
        <v>0</v>
      </c>
      <c r="H157" s="468"/>
      <c r="I157" s="468"/>
      <c r="J157" s="468"/>
      <c r="K157" s="468"/>
    </row>
    <row r="158" spans="1:11" ht="12.75" customHeight="1" thickTop="1" thickBot="1" x14ac:dyDescent="0.25">
      <c r="A158" s="1517" t="s">
        <v>1111</v>
      </c>
      <c r="B158" s="572">
        <v>3705</v>
      </c>
      <c r="C158" s="574">
        <v>626178</v>
      </c>
      <c r="D158" s="576">
        <v>0</v>
      </c>
      <c r="E158" s="559"/>
      <c r="F158" s="574">
        <v>0</v>
      </c>
      <c r="G158" s="574">
        <v>0</v>
      </c>
      <c r="H158" s="468"/>
      <c r="I158" s="468"/>
      <c r="J158" s="468"/>
      <c r="K158" s="468"/>
    </row>
    <row r="159" spans="1:11" ht="12.75" customHeight="1" thickTop="1" thickBot="1" x14ac:dyDescent="0.25">
      <c r="A159" s="1517" t="s">
        <v>39</v>
      </c>
      <c r="B159" s="572">
        <v>3715</v>
      </c>
      <c r="C159" s="574">
        <v>0</v>
      </c>
      <c r="D159" s="468"/>
      <c r="E159" s="559"/>
      <c r="F159" s="574">
        <v>0</v>
      </c>
      <c r="G159" s="574">
        <v>0</v>
      </c>
      <c r="H159" s="468"/>
      <c r="I159" s="468"/>
      <c r="J159" s="468"/>
      <c r="K159" s="468"/>
    </row>
    <row r="160" spans="1:11" ht="12.75" customHeight="1" thickTop="1" thickBot="1" x14ac:dyDescent="0.25">
      <c r="A160" s="1517" t="s">
        <v>40</v>
      </c>
      <c r="B160" s="572">
        <v>3720</v>
      </c>
      <c r="C160" s="574">
        <v>0</v>
      </c>
      <c r="D160" s="468"/>
      <c r="E160" s="559"/>
      <c r="F160" s="574">
        <v>0</v>
      </c>
      <c r="G160" s="574">
        <v>0</v>
      </c>
      <c r="H160" s="468"/>
      <c r="I160" s="468"/>
      <c r="J160" s="468"/>
      <c r="K160" s="468"/>
    </row>
    <row r="161" spans="1:11" ht="12.75" customHeight="1" thickTop="1" thickBot="1" x14ac:dyDescent="0.25">
      <c r="A161" s="1517" t="s">
        <v>415</v>
      </c>
      <c r="B161" s="572">
        <v>3725</v>
      </c>
      <c r="C161" s="529">
        <v>0</v>
      </c>
      <c r="D161" s="468"/>
      <c r="E161" s="559"/>
      <c r="F161" s="529">
        <v>0</v>
      </c>
      <c r="G161" s="529">
        <v>0</v>
      </c>
      <c r="H161" s="468"/>
      <c r="I161" s="468"/>
      <c r="J161" s="468"/>
      <c r="K161" s="468"/>
    </row>
    <row r="162" spans="1:11" ht="12.75" customHeight="1" thickTop="1" thickBot="1" x14ac:dyDescent="0.25">
      <c r="A162" s="1517" t="s">
        <v>416</v>
      </c>
      <c r="B162" s="572">
        <v>3726</v>
      </c>
      <c r="C162" s="529">
        <v>0</v>
      </c>
      <c r="D162" s="468"/>
      <c r="E162" s="559"/>
      <c r="F162" s="529">
        <v>0</v>
      </c>
      <c r="G162" s="529">
        <v>0</v>
      </c>
      <c r="H162" s="468"/>
      <c r="I162" s="468"/>
      <c r="J162" s="468"/>
      <c r="K162" s="468"/>
    </row>
    <row r="163" spans="1:11" ht="12.75" customHeight="1" thickTop="1" thickBot="1" x14ac:dyDescent="0.25">
      <c r="A163" s="1517" t="s">
        <v>41</v>
      </c>
      <c r="B163" s="572">
        <v>3766</v>
      </c>
      <c r="C163" s="574"/>
      <c r="D163" s="576"/>
      <c r="E163" s="559"/>
      <c r="F163" s="574"/>
      <c r="G163" s="529"/>
      <c r="H163" s="468"/>
      <c r="I163" s="468"/>
      <c r="J163" s="468"/>
      <c r="K163" s="468"/>
    </row>
    <row r="164" spans="1:11" ht="12.75" customHeight="1" thickTop="1" thickBot="1" x14ac:dyDescent="0.25">
      <c r="A164" s="1517" t="s">
        <v>1042</v>
      </c>
      <c r="B164" s="572">
        <v>3767</v>
      </c>
      <c r="C164" s="574"/>
      <c r="D164" s="529"/>
      <c r="E164" s="559"/>
      <c r="F164" s="529"/>
      <c r="G164" s="529"/>
      <c r="H164" s="468"/>
      <c r="I164" s="468"/>
      <c r="J164" s="468"/>
      <c r="K164" s="468"/>
    </row>
    <row r="165" spans="1:11" ht="12.75" customHeight="1" thickTop="1" thickBot="1" x14ac:dyDescent="0.25">
      <c r="A165" s="1517"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7"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7" t="s">
        <v>913</v>
      </c>
      <c r="B167" s="572">
        <v>3815</v>
      </c>
      <c r="C167" s="574">
        <v>0</v>
      </c>
      <c r="D167" s="468"/>
      <c r="E167" s="559"/>
      <c r="F167" s="574">
        <v>0</v>
      </c>
      <c r="G167" s="468"/>
      <c r="H167" s="468"/>
      <c r="I167" s="468"/>
      <c r="J167" s="468"/>
      <c r="K167" s="468"/>
    </row>
    <row r="168" spans="1:11" ht="12.75" customHeight="1" thickTop="1" thickBot="1" x14ac:dyDescent="0.25">
      <c r="A168" s="1517" t="s">
        <v>417</v>
      </c>
      <c r="B168" s="572">
        <v>3825</v>
      </c>
      <c r="C168" s="574">
        <v>0</v>
      </c>
      <c r="D168" s="468"/>
      <c r="E168" s="559"/>
      <c r="F168" s="574">
        <v>0</v>
      </c>
      <c r="G168" s="468"/>
      <c r="H168" s="468"/>
      <c r="I168" s="468"/>
      <c r="J168" s="468"/>
      <c r="K168" s="468"/>
    </row>
    <row r="169" spans="1:11" ht="12.75" customHeight="1" thickTop="1" thickBot="1" x14ac:dyDescent="0.25">
      <c r="A169" s="1517" t="s">
        <v>366</v>
      </c>
      <c r="B169" s="572">
        <v>3920</v>
      </c>
      <c r="C169" s="564"/>
      <c r="D169" s="576">
        <v>0</v>
      </c>
      <c r="E169" s="468"/>
      <c r="F169" s="564"/>
      <c r="G169" s="468"/>
      <c r="H169" s="528">
        <v>0</v>
      </c>
      <c r="I169" s="468"/>
      <c r="J169" s="468"/>
      <c r="K169" s="468"/>
    </row>
    <row r="170" spans="1:11" ht="12.75" customHeight="1" thickTop="1" thickBot="1" x14ac:dyDescent="0.25">
      <c r="A170" s="1517" t="s">
        <v>367</v>
      </c>
      <c r="B170" s="572">
        <v>3925</v>
      </c>
      <c r="C170" s="519"/>
      <c r="D170" s="574">
        <v>0</v>
      </c>
      <c r="E170" s="519"/>
      <c r="F170" s="519"/>
      <c r="G170" s="468"/>
      <c r="H170" s="529">
        <v>0</v>
      </c>
      <c r="I170" s="468"/>
      <c r="J170" s="468"/>
      <c r="K170" s="528">
        <v>0</v>
      </c>
    </row>
    <row r="171" spans="1:11" ht="14.25" thickTop="1" thickBot="1" x14ac:dyDescent="0.25">
      <c r="A171" s="1517" t="s">
        <v>72</v>
      </c>
      <c r="B171" s="572">
        <v>3999</v>
      </c>
      <c r="C171" s="577">
        <v>60961</v>
      </c>
      <c r="D171" s="578">
        <v>0</v>
      </c>
      <c r="E171" s="578">
        <v>0</v>
      </c>
      <c r="F171" s="578">
        <v>0</v>
      </c>
      <c r="G171" s="579">
        <v>0</v>
      </c>
      <c r="H171" s="580">
        <v>0</v>
      </c>
      <c r="I171" s="579">
        <v>0</v>
      </c>
      <c r="J171" s="579">
        <v>0</v>
      </c>
      <c r="K171" s="580">
        <v>0</v>
      </c>
    </row>
    <row r="172" spans="1:11" ht="12.75" customHeight="1" thickTop="1" thickBot="1" x14ac:dyDescent="0.25">
      <c r="A172" s="2267" t="s">
        <v>418</v>
      </c>
      <c r="B172" s="2268"/>
      <c r="C172" s="1739">
        <f t="shared" ref="C172:K172" si="6">SUM(C131,C140,C144,C145:C149,C154,C155:C170,C171)</f>
        <v>1172344</v>
      </c>
      <c r="D172" s="1739">
        <f t="shared" si="6"/>
        <v>0</v>
      </c>
      <c r="E172" s="1739">
        <f t="shared" si="6"/>
        <v>0</v>
      </c>
      <c r="F172" s="1739">
        <f t="shared" si="6"/>
        <v>798334</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10462829</v>
      </c>
      <c r="D173" s="1732">
        <f>SUM(D121,D172)</f>
        <v>1574232</v>
      </c>
      <c r="E173" s="1732">
        <f>SUM(E121,E172)</f>
        <v>0</v>
      </c>
      <c r="F173" s="1732">
        <f t="shared" ref="F173:K173" si="7">SUM(F121,F172)</f>
        <v>798334</v>
      </c>
      <c r="G173" s="1732">
        <f t="shared" si="7"/>
        <v>0</v>
      </c>
      <c r="H173" s="1732">
        <f t="shared" si="7"/>
        <v>700000</v>
      </c>
      <c r="I173" s="1732">
        <f t="shared" si="7"/>
        <v>0</v>
      </c>
      <c r="J173" s="1732">
        <f t="shared" si="7"/>
        <v>0</v>
      </c>
      <c r="K173" s="1719">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269" t="s">
        <v>1572</v>
      </c>
      <c r="B175" s="2270"/>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73" t="s">
        <v>1762</v>
      </c>
      <c r="B178" s="2274"/>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277" t="s">
        <v>1761</v>
      </c>
      <c r="B179" s="2278"/>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275" t="s">
        <v>818</v>
      </c>
      <c r="B184" s="2276"/>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271" t="s">
        <v>1901</v>
      </c>
      <c r="B185" s="2272"/>
      <c r="C185" s="582"/>
      <c r="D185" s="564"/>
      <c r="E185" s="507"/>
      <c r="F185" s="564"/>
      <c r="G185" s="564"/>
      <c r="H185" s="468"/>
      <c r="I185" s="468"/>
      <c r="J185" s="468"/>
      <c r="K185" s="468"/>
    </row>
    <row r="186" spans="1:11" ht="15.75" customHeight="1" x14ac:dyDescent="0.2">
      <c r="A186" s="1620" t="s">
        <v>1690</v>
      </c>
      <c r="B186" s="1621"/>
      <c r="C186" s="520"/>
      <c r="D186" s="519"/>
      <c r="E186" s="507"/>
      <c r="F186" s="519"/>
      <c r="G186" s="519"/>
      <c r="H186" s="468"/>
      <c r="I186" s="468"/>
      <c r="J186" s="468"/>
      <c r="K186" s="468"/>
    </row>
    <row r="187" spans="1:11" ht="12.75" customHeight="1" x14ac:dyDescent="0.2">
      <c r="A187" s="463" t="s">
        <v>1691</v>
      </c>
      <c r="B187" s="470">
        <v>4100</v>
      </c>
      <c r="C187" s="514">
        <v>0</v>
      </c>
      <c r="D187" s="480">
        <v>0</v>
      </c>
      <c r="E187" s="559"/>
      <c r="F187" s="480">
        <v>0</v>
      </c>
      <c r="G187" s="480">
        <v>0</v>
      </c>
      <c r="H187" s="468"/>
      <c r="I187" s="468"/>
      <c r="J187" s="468"/>
      <c r="K187" s="468"/>
    </row>
    <row r="188" spans="1:11" ht="12.75" customHeight="1" x14ac:dyDescent="0.2">
      <c r="A188" s="463" t="s">
        <v>1692</v>
      </c>
      <c r="B188" s="470">
        <v>4105</v>
      </c>
      <c r="C188" s="549">
        <v>0</v>
      </c>
      <c r="D188" s="466">
        <v>0</v>
      </c>
      <c r="E188" s="559"/>
      <c r="F188" s="466">
        <v>0</v>
      </c>
      <c r="G188" s="466">
        <v>0</v>
      </c>
      <c r="H188" s="468"/>
      <c r="I188" s="468"/>
      <c r="J188" s="468"/>
      <c r="K188" s="468"/>
    </row>
    <row r="189" spans="1:11" ht="12.75" customHeight="1" x14ac:dyDescent="0.2">
      <c r="A189" s="463" t="s">
        <v>1694</v>
      </c>
      <c r="B189" s="470">
        <v>4107</v>
      </c>
      <c r="C189" s="549">
        <v>31060</v>
      </c>
      <c r="D189" s="466">
        <v>0</v>
      </c>
      <c r="E189" s="559"/>
      <c r="F189" s="466">
        <v>0</v>
      </c>
      <c r="G189" s="466">
        <v>0</v>
      </c>
      <c r="H189" s="468"/>
      <c r="I189" s="468"/>
      <c r="J189" s="468"/>
      <c r="K189" s="468"/>
    </row>
    <row r="190" spans="1:11" ht="12.75" customHeight="1" x14ac:dyDescent="0.2">
      <c r="A190" s="463" t="s">
        <v>1693</v>
      </c>
      <c r="B190" s="470">
        <v>4199</v>
      </c>
      <c r="C190" s="549">
        <v>0</v>
      </c>
      <c r="D190" s="466">
        <v>0</v>
      </c>
      <c r="E190" s="559"/>
      <c r="F190" s="466">
        <v>0</v>
      </c>
      <c r="G190" s="466">
        <v>0</v>
      </c>
      <c r="H190" s="468"/>
      <c r="I190" s="468"/>
      <c r="J190" s="468"/>
      <c r="K190" s="468"/>
    </row>
    <row r="191" spans="1:11" ht="12.75" customHeight="1" thickBot="1" x14ac:dyDescent="0.25">
      <c r="A191" s="1725" t="s">
        <v>1695</v>
      </c>
      <c r="B191" s="1726"/>
      <c r="C191" s="1724">
        <f>SUM(C187:C190)</f>
        <v>31060</v>
      </c>
      <c r="D191" s="1724">
        <f>SUM(D187:D190)</f>
        <v>0</v>
      </c>
      <c r="E191" s="559"/>
      <c r="F191" s="1724">
        <f>SUM(F187:F190)</f>
        <v>0</v>
      </c>
      <c r="G191" s="1724">
        <f>SUM(G187:G190)</f>
        <v>0</v>
      </c>
      <c r="H191" s="468"/>
      <c r="I191" s="468"/>
      <c r="J191" s="468"/>
      <c r="K191" s="468"/>
    </row>
    <row r="192" spans="1:11" ht="15.75" customHeight="1" thickTop="1" x14ac:dyDescent="0.2">
      <c r="A192" s="1617" t="s">
        <v>475</v>
      </c>
      <c r="B192" s="1622"/>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687271</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252177</v>
      </c>
      <c r="D196" s="468"/>
      <c r="E196" s="559"/>
      <c r="F196" s="468"/>
      <c r="G196" s="583">
        <v>0</v>
      </c>
      <c r="H196" s="468"/>
      <c r="I196" s="468"/>
      <c r="J196" s="468"/>
      <c r="K196" s="468"/>
    </row>
    <row r="197" spans="1:11" ht="12.75" customHeight="1" x14ac:dyDescent="0.2">
      <c r="A197" s="463" t="s">
        <v>1526</v>
      </c>
      <c r="B197" s="470">
        <v>4225</v>
      </c>
      <c r="C197" s="549">
        <v>54356</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47431</v>
      </c>
      <c r="D200" s="468"/>
      <c r="E200" s="559"/>
      <c r="F200" s="468"/>
      <c r="G200" s="583">
        <v>0</v>
      </c>
      <c r="H200" s="468"/>
      <c r="I200" s="468"/>
      <c r="J200" s="468"/>
      <c r="K200" s="468"/>
    </row>
    <row r="201" spans="1:11" ht="12.75" customHeight="1" thickBot="1" x14ac:dyDescent="0.25">
      <c r="A201" s="1725" t="s">
        <v>569</v>
      </c>
      <c r="B201" s="1726"/>
      <c r="C201" s="1705">
        <f>SUM(C193:C200)</f>
        <v>1041235</v>
      </c>
      <c r="D201" s="468"/>
      <c r="E201" s="468"/>
      <c r="F201" s="468"/>
      <c r="G201" s="1705">
        <f>SUM(G193:G200)</f>
        <v>0</v>
      </c>
      <c r="H201" s="468"/>
      <c r="I201" s="468"/>
      <c r="J201" s="468"/>
      <c r="K201" s="468"/>
    </row>
    <row r="202" spans="1:11" ht="15.75" customHeight="1" thickTop="1" x14ac:dyDescent="0.2">
      <c r="A202" s="1617" t="s">
        <v>1200</v>
      </c>
      <c r="B202" s="1622"/>
      <c r="C202" s="551"/>
      <c r="D202" s="468"/>
      <c r="E202" s="468"/>
      <c r="F202" s="468"/>
      <c r="G202" s="468"/>
      <c r="H202" s="468"/>
      <c r="I202" s="468"/>
      <c r="J202" s="468"/>
      <c r="K202" s="468"/>
    </row>
    <row r="203" spans="1:11" ht="12.75" customHeight="1" x14ac:dyDescent="0.2">
      <c r="A203" s="463" t="s">
        <v>974</v>
      </c>
      <c r="B203" s="470">
        <v>4300</v>
      </c>
      <c r="C203" s="466">
        <v>534627</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5" t="s">
        <v>420</v>
      </c>
      <c r="B211" s="1726"/>
      <c r="C211" s="1724">
        <f>SUM(C203:C210)</f>
        <v>534627</v>
      </c>
      <c r="D211" s="1724">
        <f>SUM(D203:D210)</f>
        <v>0</v>
      </c>
      <c r="E211" s="468"/>
      <c r="F211" s="1724">
        <f>SUM(F203:F210)</f>
        <v>0</v>
      </c>
      <c r="G211" s="1724">
        <f>SUM(G203:G210)</f>
        <v>0</v>
      </c>
      <c r="H211" s="468"/>
      <c r="I211" s="468"/>
      <c r="J211" s="468"/>
      <c r="K211" s="468"/>
    </row>
    <row r="212" spans="1:11" ht="15.75" customHeight="1" thickTop="1" x14ac:dyDescent="0.2">
      <c r="A212" s="1617" t="s">
        <v>1201</v>
      </c>
      <c r="B212" s="1622"/>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17" t="s">
        <v>1154</v>
      </c>
      <c r="B217" s="1622"/>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452227</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18" t="s">
        <v>76</v>
      </c>
      <c r="B223" s="555">
        <v>4699</v>
      </c>
      <c r="C223" s="549">
        <v>0</v>
      </c>
      <c r="D223" s="466">
        <v>0</v>
      </c>
      <c r="E223" s="468"/>
      <c r="F223" s="466">
        <v>0</v>
      </c>
      <c r="G223" s="466">
        <v>0</v>
      </c>
      <c r="H223" s="468"/>
      <c r="I223" s="468"/>
      <c r="J223" s="468"/>
      <c r="K223" s="468"/>
    </row>
    <row r="224" spans="1:11" ht="12.75" customHeight="1" thickBot="1" x14ac:dyDescent="0.25">
      <c r="A224" s="1725" t="s">
        <v>467</v>
      </c>
      <c r="B224" s="1726"/>
      <c r="C224" s="1724">
        <f>SUM(C218:C223)</f>
        <v>452227</v>
      </c>
      <c r="D224" s="1724">
        <f>SUM(D218:D223)</f>
        <v>0</v>
      </c>
      <c r="E224" s="468"/>
      <c r="F224" s="1724">
        <f>SUM(F218:F223)</f>
        <v>0</v>
      </c>
      <c r="G224" s="1724">
        <f>SUM(G218:G223)</f>
        <v>0</v>
      </c>
      <c r="H224" s="468"/>
      <c r="I224" s="468"/>
      <c r="J224" s="468"/>
      <c r="K224" s="468"/>
    </row>
    <row r="225" spans="1:11" ht="15.75" customHeight="1" thickTop="1" x14ac:dyDescent="0.2">
      <c r="A225" s="1617" t="s">
        <v>1155</v>
      </c>
      <c r="B225" s="1622"/>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1"/>
      <c r="J259" s="1724">
        <f>SUM(J230:J258)</f>
        <v>0</v>
      </c>
      <c r="K259" s="1705">
        <f>SUM(K230:K258)</f>
        <v>0</v>
      </c>
    </row>
    <row r="260" spans="1:11" ht="12.75" customHeight="1" thickTop="1" thickBot="1" x14ac:dyDescent="0.25">
      <c r="A260" s="1519" t="s">
        <v>1493</v>
      </c>
      <c r="B260" s="586">
        <v>4901</v>
      </c>
      <c r="C260" s="587">
        <v>0</v>
      </c>
      <c r="D260" s="469"/>
      <c r="E260" s="468"/>
      <c r="F260" s="468"/>
      <c r="G260" s="468"/>
      <c r="H260" s="468"/>
      <c r="I260" s="468"/>
      <c r="J260" s="468"/>
      <c r="K260" s="468"/>
    </row>
    <row r="261" spans="1:11" ht="12.75" customHeight="1" thickTop="1" thickBot="1" x14ac:dyDescent="0.25">
      <c r="A261" s="1520"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15595</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82117</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14074</v>
      </c>
      <c r="D270" s="574">
        <v>0</v>
      </c>
      <c r="E270" s="468"/>
      <c r="F270" s="574">
        <v>0</v>
      </c>
      <c r="G270" s="574">
        <v>0</v>
      </c>
      <c r="H270" s="468"/>
      <c r="I270" s="468"/>
      <c r="J270" s="468"/>
      <c r="K270" s="468"/>
    </row>
    <row r="271" spans="1:11" ht="12.75" customHeight="1" thickTop="1" thickBot="1" x14ac:dyDescent="0.25">
      <c r="A271" s="463" t="s">
        <v>395</v>
      </c>
      <c r="B271" s="470">
        <v>4992</v>
      </c>
      <c r="C271" s="573">
        <v>14309</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5" t="s">
        <v>1763</v>
      </c>
      <c r="B273" s="1744"/>
      <c r="C273" s="1732">
        <f t="shared" ref="C273:H273" si="10">SUM(C191,C201,C211,C216,C224,C228,C229,C259:C272)</f>
        <v>2185244</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2185244</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15313544</v>
      </c>
      <c r="D275" s="1732">
        <f t="shared" si="12"/>
        <v>2141331</v>
      </c>
      <c r="E275" s="1732">
        <f t="shared" si="12"/>
        <v>628839</v>
      </c>
      <c r="F275" s="1732">
        <f t="shared" si="12"/>
        <v>1006884</v>
      </c>
      <c r="G275" s="1732">
        <f t="shared" si="12"/>
        <v>763263</v>
      </c>
      <c r="H275" s="1732">
        <f t="shared" si="12"/>
        <v>978350</v>
      </c>
      <c r="I275" s="1732">
        <f t="shared" si="12"/>
        <v>44993</v>
      </c>
      <c r="J275" s="1732">
        <f t="shared" si="12"/>
        <v>567728</v>
      </c>
      <c r="K275" s="1719">
        <f t="shared" si="12"/>
        <v>38187</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1"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zoomScaleSheetLayoutView="100" workbookViewId="0">
      <pane ySplit="2" topLeftCell="A3" activePane="bottomLeft" state="frozen"/>
      <selection activeCell="L30" sqref="L30"/>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47" t="s">
        <v>1900</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281"/>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287" t="s">
        <v>315</v>
      </c>
      <c r="B3" s="2288"/>
      <c r="C3" s="1565"/>
      <c r="D3" s="1565"/>
      <c r="E3" s="1565"/>
      <c r="F3" s="1565"/>
      <c r="G3" s="1565"/>
      <c r="H3" s="1565"/>
      <c r="I3" s="1565"/>
      <c r="J3" s="1565"/>
      <c r="K3" s="1566"/>
      <c r="L3" s="1567"/>
      <c r="M3" s="608"/>
      <c r="N3" s="608"/>
    </row>
    <row r="4" spans="1:14" s="259" customFormat="1" ht="15.75" customHeight="1" x14ac:dyDescent="0.2">
      <c r="A4" s="1623" t="s">
        <v>46</v>
      </c>
      <c r="B4" s="1624" t="s">
        <v>591</v>
      </c>
      <c r="C4" s="609"/>
      <c r="D4" s="609"/>
      <c r="E4" s="609"/>
      <c r="F4" s="609"/>
      <c r="G4" s="609"/>
      <c r="H4" s="609"/>
      <c r="I4" s="610"/>
      <c r="J4" s="609"/>
      <c r="K4" s="611"/>
      <c r="L4" s="609"/>
      <c r="M4" s="612"/>
      <c r="N4" s="612"/>
    </row>
    <row r="5" spans="1:14" x14ac:dyDescent="0.2">
      <c r="A5" s="1521" t="s">
        <v>1018</v>
      </c>
      <c r="B5" s="613">
        <v>1100</v>
      </c>
      <c r="C5" s="466">
        <v>5075437</v>
      </c>
      <c r="D5" s="466">
        <v>581519</v>
      </c>
      <c r="E5" s="466">
        <v>96263</v>
      </c>
      <c r="F5" s="466">
        <v>287374</v>
      </c>
      <c r="G5" s="466">
        <v>110674</v>
      </c>
      <c r="H5" s="466">
        <v>297</v>
      </c>
      <c r="I5" s="467">
        <v>0</v>
      </c>
      <c r="J5" s="467">
        <v>0</v>
      </c>
      <c r="K5" s="1688">
        <f>SUM(C5:J5)</f>
        <v>6151564</v>
      </c>
      <c r="L5" s="466">
        <v>6541109</v>
      </c>
    </row>
    <row r="6" spans="1:14" x14ac:dyDescent="0.2">
      <c r="A6" s="1521" t="s">
        <v>1508</v>
      </c>
      <c r="B6" s="613" t="s">
        <v>1506</v>
      </c>
      <c r="C6" s="476"/>
      <c r="D6" s="476"/>
      <c r="E6" s="466">
        <v>0</v>
      </c>
      <c r="F6" s="476"/>
      <c r="G6" s="476"/>
      <c r="H6" s="476"/>
      <c r="I6" s="476"/>
      <c r="J6" s="476"/>
      <c r="K6" s="1688">
        <f>SUM(C6,E6)</f>
        <v>0</v>
      </c>
      <c r="L6" s="466">
        <v>0</v>
      </c>
    </row>
    <row r="7" spans="1:14" x14ac:dyDescent="0.2">
      <c r="A7" s="1521" t="s">
        <v>165</v>
      </c>
      <c r="B7" s="613" t="s">
        <v>1024</v>
      </c>
      <c r="C7" s="467">
        <v>156159</v>
      </c>
      <c r="D7" s="467">
        <v>28532</v>
      </c>
      <c r="E7" s="467">
        <v>0</v>
      </c>
      <c r="F7" s="467">
        <v>32282</v>
      </c>
      <c r="G7" s="467">
        <v>32871</v>
      </c>
      <c r="H7" s="467">
        <v>0</v>
      </c>
      <c r="I7" s="467">
        <v>0</v>
      </c>
      <c r="J7" s="467">
        <v>0</v>
      </c>
      <c r="K7" s="1688">
        <f t="shared" ref="K7:K32" si="0">SUM(C7:J7)</f>
        <v>249844</v>
      </c>
      <c r="L7" s="466">
        <v>199866</v>
      </c>
    </row>
    <row r="8" spans="1:14" x14ac:dyDescent="0.2">
      <c r="A8" s="1521" t="s">
        <v>166</v>
      </c>
      <c r="B8" s="613">
        <v>1200</v>
      </c>
      <c r="C8" s="466">
        <v>79349</v>
      </c>
      <c r="D8" s="466">
        <v>8751</v>
      </c>
      <c r="E8" s="466">
        <v>548862</v>
      </c>
      <c r="F8" s="466">
        <v>0</v>
      </c>
      <c r="G8" s="466">
        <v>0</v>
      </c>
      <c r="H8" s="466">
        <v>0</v>
      </c>
      <c r="I8" s="467">
        <v>0</v>
      </c>
      <c r="J8" s="467">
        <v>0</v>
      </c>
      <c r="K8" s="1688">
        <f t="shared" si="0"/>
        <v>636962</v>
      </c>
      <c r="L8" s="466">
        <v>949793</v>
      </c>
    </row>
    <row r="9" spans="1:14" x14ac:dyDescent="0.2">
      <c r="A9" s="1521" t="s">
        <v>745</v>
      </c>
      <c r="B9" s="613" t="s">
        <v>1025</v>
      </c>
      <c r="C9" s="467">
        <v>0</v>
      </c>
      <c r="D9" s="467">
        <v>0</v>
      </c>
      <c r="E9" s="467">
        <v>0</v>
      </c>
      <c r="F9" s="467">
        <v>0</v>
      </c>
      <c r="G9" s="467">
        <v>0</v>
      </c>
      <c r="H9" s="467">
        <v>0</v>
      </c>
      <c r="I9" s="467">
        <v>0</v>
      </c>
      <c r="J9" s="467">
        <v>0</v>
      </c>
      <c r="K9" s="1688">
        <f t="shared" si="0"/>
        <v>0</v>
      </c>
      <c r="L9" s="466">
        <v>0</v>
      </c>
    </row>
    <row r="10" spans="1:14" x14ac:dyDescent="0.2">
      <c r="A10" s="1521" t="s">
        <v>746</v>
      </c>
      <c r="B10" s="613">
        <v>1250</v>
      </c>
      <c r="C10" s="466">
        <v>381740</v>
      </c>
      <c r="D10" s="466">
        <v>87448</v>
      </c>
      <c r="E10" s="466">
        <v>0</v>
      </c>
      <c r="F10" s="466">
        <v>0</v>
      </c>
      <c r="G10" s="466">
        <v>0</v>
      </c>
      <c r="H10" s="466">
        <v>0</v>
      </c>
      <c r="I10" s="467">
        <v>0</v>
      </c>
      <c r="J10" s="467">
        <v>0</v>
      </c>
      <c r="K10" s="1688">
        <f t="shared" si="0"/>
        <v>469188</v>
      </c>
      <c r="L10" s="466">
        <v>572395</v>
      </c>
    </row>
    <row r="11" spans="1:14" x14ac:dyDescent="0.2">
      <c r="A11" s="1521" t="s">
        <v>1192</v>
      </c>
      <c r="B11" s="613" t="s">
        <v>163</v>
      </c>
      <c r="C11" s="467">
        <v>0</v>
      </c>
      <c r="D11" s="467">
        <v>0</v>
      </c>
      <c r="E11" s="467">
        <v>0</v>
      </c>
      <c r="F11" s="467">
        <v>0</v>
      </c>
      <c r="G11" s="467">
        <v>0</v>
      </c>
      <c r="H11" s="467">
        <v>0</v>
      </c>
      <c r="I11" s="467">
        <v>0</v>
      </c>
      <c r="J11" s="467">
        <v>0</v>
      </c>
      <c r="K11" s="1688">
        <f t="shared" si="0"/>
        <v>0</v>
      </c>
      <c r="L11" s="466">
        <v>0</v>
      </c>
    </row>
    <row r="12" spans="1:14" x14ac:dyDescent="0.2">
      <c r="A12" s="1521" t="s">
        <v>1019</v>
      </c>
      <c r="B12" s="613">
        <v>1300</v>
      </c>
      <c r="C12" s="466">
        <v>0</v>
      </c>
      <c r="D12" s="466">
        <v>0</v>
      </c>
      <c r="E12" s="466">
        <v>0</v>
      </c>
      <c r="F12" s="466">
        <v>0</v>
      </c>
      <c r="G12" s="466">
        <v>0</v>
      </c>
      <c r="H12" s="466">
        <v>0</v>
      </c>
      <c r="I12" s="467">
        <v>0</v>
      </c>
      <c r="J12" s="467">
        <v>0</v>
      </c>
      <c r="K12" s="1688">
        <f t="shared" si="0"/>
        <v>0</v>
      </c>
      <c r="L12" s="466">
        <v>764</v>
      </c>
    </row>
    <row r="13" spans="1:14" x14ac:dyDescent="0.2">
      <c r="A13" s="1521" t="s">
        <v>747</v>
      </c>
      <c r="B13" s="613">
        <v>1400</v>
      </c>
      <c r="C13" s="467">
        <v>274061</v>
      </c>
      <c r="D13" s="466">
        <v>32376</v>
      </c>
      <c r="E13" s="466">
        <v>3079</v>
      </c>
      <c r="F13" s="466">
        <v>35218</v>
      </c>
      <c r="G13" s="466">
        <v>0</v>
      </c>
      <c r="H13" s="466">
        <v>0</v>
      </c>
      <c r="I13" s="467">
        <v>0</v>
      </c>
      <c r="J13" s="467">
        <v>0</v>
      </c>
      <c r="K13" s="1688">
        <f t="shared" si="0"/>
        <v>344734</v>
      </c>
      <c r="L13" s="466">
        <v>365270</v>
      </c>
    </row>
    <row r="14" spans="1:14" x14ac:dyDescent="0.2">
      <c r="A14" s="1521" t="s">
        <v>1020</v>
      </c>
      <c r="B14" s="613">
        <v>1500</v>
      </c>
      <c r="C14" s="467">
        <v>361710</v>
      </c>
      <c r="D14" s="466">
        <v>10002</v>
      </c>
      <c r="E14" s="466">
        <v>155187</v>
      </c>
      <c r="F14" s="466">
        <v>119567</v>
      </c>
      <c r="G14" s="466">
        <v>80480</v>
      </c>
      <c r="H14" s="466">
        <v>0</v>
      </c>
      <c r="I14" s="467">
        <v>0</v>
      </c>
      <c r="J14" s="467">
        <v>0</v>
      </c>
      <c r="K14" s="1688">
        <f t="shared" si="0"/>
        <v>726946</v>
      </c>
      <c r="L14" s="466">
        <v>683352</v>
      </c>
    </row>
    <row r="15" spans="1:14" x14ac:dyDescent="0.2">
      <c r="A15" s="1521" t="s">
        <v>1021</v>
      </c>
      <c r="B15" s="613">
        <v>1600</v>
      </c>
      <c r="C15" s="466">
        <v>12837</v>
      </c>
      <c r="D15" s="466">
        <v>217</v>
      </c>
      <c r="E15" s="466">
        <v>0</v>
      </c>
      <c r="F15" s="466">
        <v>0</v>
      </c>
      <c r="G15" s="466">
        <v>0</v>
      </c>
      <c r="H15" s="466">
        <v>0</v>
      </c>
      <c r="I15" s="467">
        <v>0</v>
      </c>
      <c r="J15" s="467">
        <v>0</v>
      </c>
      <c r="K15" s="1688">
        <f t="shared" si="0"/>
        <v>13054</v>
      </c>
      <c r="L15" s="466">
        <v>13404</v>
      </c>
    </row>
    <row r="16" spans="1:14" x14ac:dyDescent="0.2">
      <c r="A16" s="1521" t="s">
        <v>1044</v>
      </c>
      <c r="B16" s="613" t="s">
        <v>444</v>
      </c>
      <c r="C16" s="466">
        <v>0</v>
      </c>
      <c r="D16" s="466">
        <v>0</v>
      </c>
      <c r="E16" s="466">
        <v>0</v>
      </c>
      <c r="F16" s="466">
        <v>0</v>
      </c>
      <c r="G16" s="466">
        <v>0</v>
      </c>
      <c r="H16" s="466">
        <v>0</v>
      </c>
      <c r="I16" s="467">
        <v>0</v>
      </c>
      <c r="J16" s="467">
        <v>0</v>
      </c>
      <c r="K16" s="1688">
        <f t="shared" si="0"/>
        <v>0</v>
      </c>
      <c r="L16" s="466">
        <v>0</v>
      </c>
    </row>
    <row r="17" spans="1:12" x14ac:dyDescent="0.2">
      <c r="A17" s="1521" t="s">
        <v>748</v>
      </c>
      <c r="B17" s="613" t="s">
        <v>164</v>
      </c>
      <c r="C17" s="467">
        <v>91199</v>
      </c>
      <c r="D17" s="467">
        <v>8002</v>
      </c>
      <c r="E17" s="467">
        <v>107</v>
      </c>
      <c r="F17" s="467">
        <v>1468</v>
      </c>
      <c r="G17" s="467">
        <v>0</v>
      </c>
      <c r="H17" s="467">
        <v>0</v>
      </c>
      <c r="I17" s="467">
        <v>0</v>
      </c>
      <c r="J17" s="467">
        <v>0</v>
      </c>
      <c r="K17" s="1688">
        <f t="shared" si="0"/>
        <v>100776</v>
      </c>
      <c r="L17" s="466">
        <v>105190</v>
      </c>
    </row>
    <row r="18" spans="1:12" x14ac:dyDescent="0.2">
      <c r="A18" s="1521" t="s">
        <v>1148</v>
      </c>
      <c r="B18" s="613">
        <v>1800</v>
      </c>
      <c r="C18" s="466">
        <v>76236</v>
      </c>
      <c r="D18" s="466">
        <v>4462</v>
      </c>
      <c r="E18" s="466">
        <v>0</v>
      </c>
      <c r="F18" s="466">
        <v>0</v>
      </c>
      <c r="G18" s="466">
        <v>0</v>
      </c>
      <c r="H18" s="466">
        <v>0</v>
      </c>
      <c r="I18" s="467">
        <v>0</v>
      </c>
      <c r="J18" s="467">
        <v>0</v>
      </c>
      <c r="K18" s="1688">
        <f t="shared" si="0"/>
        <v>80698</v>
      </c>
      <c r="L18" s="466">
        <v>81599</v>
      </c>
    </row>
    <row r="19" spans="1:12" x14ac:dyDescent="0.2">
      <c r="A19" s="1521" t="s">
        <v>136</v>
      </c>
      <c r="B19" s="613">
        <v>1900</v>
      </c>
      <c r="C19" s="466">
        <v>142904</v>
      </c>
      <c r="D19" s="466">
        <v>21057</v>
      </c>
      <c r="E19" s="466">
        <v>1123</v>
      </c>
      <c r="F19" s="466">
        <v>1410</v>
      </c>
      <c r="G19" s="466">
        <v>22</v>
      </c>
      <c r="H19" s="466">
        <v>0</v>
      </c>
      <c r="I19" s="467">
        <v>0</v>
      </c>
      <c r="J19" s="467">
        <v>0</v>
      </c>
      <c r="K19" s="1688">
        <f t="shared" si="0"/>
        <v>166516</v>
      </c>
      <c r="L19" s="466">
        <v>310410</v>
      </c>
    </row>
    <row r="20" spans="1:12" x14ac:dyDescent="0.2">
      <c r="A20" s="1522" t="s">
        <v>762</v>
      </c>
      <c r="B20" s="601" t="s">
        <v>749</v>
      </c>
      <c r="C20" s="476"/>
      <c r="D20" s="476"/>
      <c r="E20" s="476"/>
      <c r="F20" s="476"/>
      <c r="G20" s="476"/>
      <c r="H20" s="467">
        <v>0</v>
      </c>
      <c r="I20" s="615"/>
      <c r="J20" s="475"/>
      <c r="K20" s="1688">
        <f t="shared" si="0"/>
        <v>0</v>
      </c>
      <c r="L20" s="466">
        <v>0</v>
      </c>
    </row>
    <row r="21" spans="1:12" x14ac:dyDescent="0.2">
      <c r="A21" s="1522" t="s">
        <v>763</v>
      </c>
      <c r="B21" s="601" t="s">
        <v>750</v>
      </c>
      <c r="C21" s="476"/>
      <c r="D21" s="476"/>
      <c r="E21" s="476"/>
      <c r="F21" s="476"/>
      <c r="G21" s="476"/>
      <c r="H21" s="474">
        <v>0</v>
      </c>
      <c r="I21" s="615"/>
      <c r="J21" s="476"/>
      <c r="K21" s="1688">
        <f t="shared" si="0"/>
        <v>0</v>
      </c>
      <c r="L21" s="466">
        <v>0</v>
      </c>
    </row>
    <row r="22" spans="1:12" x14ac:dyDescent="0.2">
      <c r="A22" s="1522" t="s">
        <v>764</v>
      </c>
      <c r="B22" s="601" t="s">
        <v>751</v>
      </c>
      <c r="C22" s="476"/>
      <c r="D22" s="476"/>
      <c r="E22" s="476"/>
      <c r="F22" s="476"/>
      <c r="G22" s="476"/>
      <c r="H22" s="474">
        <v>287799</v>
      </c>
      <c r="I22" s="615"/>
      <c r="J22" s="476"/>
      <c r="K22" s="1688">
        <f t="shared" si="0"/>
        <v>287799</v>
      </c>
      <c r="L22" s="466">
        <v>0</v>
      </c>
    </row>
    <row r="23" spans="1:12" x14ac:dyDescent="0.2">
      <c r="A23" s="1522" t="s">
        <v>765</v>
      </c>
      <c r="B23" s="601" t="s">
        <v>752</v>
      </c>
      <c r="C23" s="476"/>
      <c r="D23" s="476"/>
      <c r="E23" s="476"/>
      <c r="F23" s="476"/>
      <c r="G23" s="476"/>
      <c r="H23" s="474">
        <v>0</v>
      </c>
      <c r="I23" s="615"/>
      <c r="J23" s="476"/>
      <c r="K23" s="1688">
        <f t="shared" si="0"/>
        <v>0</v>
      </c>
      <c r="L23" s="466">
        <v>0</v>
      </c>
    </row>
    <row r="24" spans="1:12" ht="12.75" customHeight="1" x14ac:dyDescent="0.2">
      <c r="A24" s="1522" t="s">
        <v>766</v>
      </c>
      <c r="B24" s="601" t="s">
        <v>753</v>
      </c>
      <c r="C24" s="476"/>
      <c r="D24" s="476"/>
      <c r="E24" s="476"/>
      <c r="F24" s="476"/>
      <c r="G24" s="476"/>
      <c r="H24" s="474">
        <v>0</v>
      </c>
      <c r="I24" s="615"/>
      <c r="J24" s="476"/>
      <c r="K24" s="1688">
        <f t="shared" si="0"/>
        <v>0</v>
      </c>
      <c r="L24" s="466">
        <v>0</v>
      </c>
    </row>
    <row r="25" spans="1:12" ht="12.75" customHeight="1" x14ac:dyDescent="0.2">
      <c r="A25" s="1522" t="s">
        <v>835</v>
      </c>
      <c r="B25" s="601" t="s">
        <v>754</v>
      </c>
      <c r="C25" s="476"/>
      <c r="D25" s="476"/>
      <c r="E25" s="476"/>
      <c r="F25" s="476"/>
      <c r="G25" s="476"/>
      <c r="H25" s="474">
        <v>0</v>
      </c>
      <c r="I25" s="615"/>
      <c r="J25" s="476"/>
      <c r="K25" s="1688">
        <f t="shared" si="0"/>
        <v>0</v>
      </c>
      <c r="L25" s="466">
        <v>0</v>
      </c>
    </row>
    <row r="26" spans="1:12" x14ac:dyDescent="0.2">
      <c r="A26" s="1522" t="s">
        <v>643</v>
      </c>
      <c r="B26" s="601" t="s">
        <v>755</v>
      </c>
      <c r="C26" s="476"/>
      <c r="D26" s="476"/>
      <c r="E26" s="476"/>
      <c r="F26" s="476"/>
      <c r="G26" s="476"/>
      <c r="H26" s="474">
        <v>0</v>
      </c>
      <c r="I26" s="615"/>
      <c r="J26" s="476"/>
      <c r="K26" s="1688">
        <f t="shared" si="0"/>
        <v>0</v>
      </c>
      <c r="L26" s="466">
        <v>0</v>
      </c>
    </row>
    <row r="27" spans="1:12" x14ac:dyDescent="0.2">
      <c r="A27" s="1522" t="s">
        <v>644</v>
      </c>
      <c r="B27" s="601" t="s">
        <v>756</v>
      </c>
      <c r="C27" s="476"/>
      <c r="D27" s="476"/>
      <c r="E27" s="476"/>
      <c r="F27" s="476"/>
      <c r="G27" s="476"/>
      <c r="H27" s="474">
        <v>0</v>
      </c>
      <c r="I27" s="615"/>
      <c r="J27" s="476"/>
      <c r="K27" s="1688">
        <f t="shared" si="0"/>
        <v>0</v>
      </c>
      <c r="L27" s="466">
        <v>0</v>
      </c>
    </row>
    <row r="28" spans="1:12" x14ac:dyDescent="0.2">
      <c r="A28" s="1522" t="s">
        <v>152</v>
      </c>
      <c r="B28" s="601" t="s">
        <v>757</v>
      </c>
      <c r="C28" s="476"/>
      <c r="D28" s="476"/>
      <c r="E28" s="476"/>
      <c r="F28" s="476"/>
      <c r="G28" s="476"/>
      <c r="H28" s="474">
        <v>0</v>
      </c>
      <c r="I28" s="615"/>
      <c r="J28" s="476"/>
      <c r="K28" s="1688">
        <f t="shared" si="0"/>
        <v>0</v>
      </c>
      <c r="L28" s="466">
        <v>0</v>
      </c>
    </row>
    <row r="29" spans="1:12" x14ac:dyDescent="0.2">
      <c r="A29" s="1522" t="s">
        <v>153</v>
      </c>
      <c r="B29" s="601" t="s">
        <v>758</v>
      </c>
      <c r="C29" s="476"/>
      <c r="D29" s="476"/>
      <c r="E29" s="476"/>
      <c r="F29" s="476"/>
      <c r="G29" s="476"/>
      <c r="H29" s="474">
        <v>0</v>
      </c>
      <c r="I29" s="615"/>
      <c r="J29" s="476"/>
      <c r="K29" s="1688">
        <f t="shared" si="0"/>
        <v>0</v>
      </c>
      <c r="L29" s="466">
        <v>0</v>
      </c>
    </row>
    <row r="30" spans="1:12" x14ac:dyDescent="0.2">
      <c r="A30" s="1522" t="s">
        <v>154</v>
      </c>
      <c r="B30" s="601" t="s">
        <v>759</v>
      </c>
      <c r="C30" s="476"/>
      <c r="D30" s="476"/>
      <c r="E30" s="476"/>
      <c r="F30" s="476"/>
      <c r="G30" s="476"/>
      <c r="H30" s="474">
        <v>0</v>
      </c>
      <c r="I30" s="615"/>
      <c r="J30" s="476"/>
      <c r="K30" s="1688">
        <f t="shared" si="0"/>
        <v>0</v>
      </c>
      <c r="L30" s="466">
        <v>0</v>
      </c>
    </row>
    <row r="31" spans="1:12" x14ac:dyDescent="0.2">
      <c r="A31" s="1522" t="s">
        <v>155</v>
      </c>
      <c r="B31" s="601" t="s">
        <v>760</v>
      </c>
      <c r="C31" s="476"/>
      <c r="D31" s="476"/>
      <c r="E31" s="476"/>
      <c r="F31" s="476"/>
      <c r="G31" s="476"/>
      <c r="H31" s="474">
        <v>0</v>
      </c>
      <c r="I31" s="615"/>
      <c r="J31" s="476"/>
      <c r="K31" s="1688">
        <f t="shared" si="0"/>
        <v>0</v>
      </c>
      <c r="L31" s="466">
        <v>0</v>
      </c>
    </row>
    <row r="32" spans="1:12" x14ac:dyDescent="0.2">
      <c r="A32" s="1523" t="s">
        <v>1191</v>
      </c>
      <c r="B32" s="613" t="s">
        <v>761</v>
      </c>
      <c r="C32" s="476"/>
      <c r="D32" s="476"/>
      <c r="E32" s="476"/>
      <c r="F32" s="476"/>
      <c r="G32" s="476"/>
      <c r="H32" s="474">
        <v>0</v>
      </c>
      <c r="I32" s="615"/>
      <c r="J32" s="479"/>
      <c r="K32" s="1688">
        <f t="shared" si="0"/>
        <v>0</v>
      </c>
      <c r="L32" s="466">
        <v>0</v>
      </c>
    </row>
    <row r="33" spans="1:14" ht="12.75" customHeight="1" thickBot="1" x14ac:dyDescent="0.25">
      <c r="A33" s="1685" t="s">
        <v>1765</v>
      </c>
      <c r="B33" s="1686" t="s">
        <v>591</v>
      </c>
      <c r="C33" s="1687">
        <f>SUM(C5:C32)</f>
        <v>6651632</v>
      </c>
      <c r="D33" s="1687">
        <f t="shared" ref="D33:L33" si="1">SUM(D5:D32)</f>
        <v>782366</v>
      </c>
      <c r="E33" s="1687">
        <f t="shared" si="1"/>
        <v>804621</v>
      </c>
      <c r="F33" s="1687">
        <f t="shared" si="1"/>
        <v>477319</v>
      </c>
      <c r="G33" s="1687">
        <f t="shared" si="1"/>
        <v>224047</v>
      </c>
      <c r="H33" s="1687">
        <f t="shared" si="1"/>
        <v>288096</v>
      </c>
      <c r="I33" s="1687">
        <f t="shared" si="1"/>
        <v>0</v>
      </c>
      <c r="J33" s="1687">
        <f t="shared" si="1"/>
        <v>0</v>
      </c>
      <c r="K33" s="1687">
        <f t="shared" si="1"/>
        <v>9228081</v>
      </c>
      <c r="L33" s="1687">
        <f t="shared" si="1"/>
        <v>9823152</v>
      </c>
    </row>
    <row r="34" spans="1:14" s="619" customFormat="1" ht="15.75" customHeight="1" thickTop="1" x14ac:dyDescent="0.2">
      <c r="A34" s="1625" t="s">
        <v>48</v>
      </c>
      <c r="B34" s="1626"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1" t="s">
        <v>1150</v>
      </c>
      <c r="B36" s="613">
        <v>2110</v>
      </c>
      <c r="C36" s="480">
        <v>0</v>
      </c>
      <c r="D36" s="480">
        <v>0</v>
      </c>
      <c r="E36" s="480">
        <v>0</v>
      </c>
      <c r="F36" s="480">
        <v>0</v>
      </c>
      <c r="G36" s="480">
        <v>0</v>
      </c>
      <c r="H36" s="480">
        <v>0</v>
      </c>
      <c r="I36" s="467">
        <v>0</v>
      </c>
      <c r="J36" s="467">
        <v>0</v>
      </c>
      <c r="K36" s="1688">
        <f t="shared" ref="K36:K41" si="2">SUM(C36:J36)</f>
        <v>0</v>
      </c>
      <c r="L36" s="466">
        <v>0</v>
      </c>
    </row>
    <row r="37" spans="1:14" x14ac:dyDescent="0.2">
      <c r="A37" s="1521" t="s">
        <v>1151</v>
      </c>
      <c r="B37" s="613">
        <v>2120</v>
      </c>
      <c r="C37" s="466">
        <v>168897</v>
      </c>
      <c r="D37" s="466">
        <v>25910</v>
      </c>
      <c r="E37" s="466">
        <v>0</v>
      </c>
      <c r="F37" s="466">
        <v>0</v>
      </c>
      <c r="G37" s="466">
        <v>0</v>
      </c>
      <c r="H37" s="466">
        <v>0</v>
      </c>
      <c r="I37" s="467">
        <v>0</v>
      </c>
      <c r="J37" s="467">
        <v>0</v>
      </c>
      <c r="K37" s="1688">
        <f t="shared" si="2"/>
        <v>194807</v>
      </c>
      <c r="L37" s="466">
        <v>176615</v>
      </c>
    </row>
    <row r="38" spans="1:14" x14ac:dyDescent="0.2">
      <c r="A38" s="1521" t="s">
        <v>207</v>
      </c>
      <c r="B38" s="613">
        <v>2130</v>
      </c>
      <c r="C38" s="466">
        <v>109077</v>
      </c>
      <c r="D38" s="466">
        <v>13741</v>
      </c>
      <c r="E38" s="466">
        <v>4187</v>
      </c>
      <c r="F38" s="466">
        <v>11635</v>
      </c>
      <c r="G38" s="466">
        <v>0</v>
      </c>
      <c r="H38" s="466">
        <v>0</v>
      </c>
      <c r="I38" s="467">
        <v>0</v>
      </c>
      <c r="J38" s="467">
        <v>0</v>
      </c>
      <c r="K38" s="1688">
        <f t="shared" si="2"/>
        <v>138640</v>
      </c>
      <c r="L38" s="466">
        <v>154573</v>
      </c>
    </row>
    <row r="39" spans="1:14" x14ac:dyDescent="0.2">
      <c r="A39" s="1521" t="s">
        <v>208</v>
      </c>
      <c r="B39" s="613">
        <v>2140</v>
      </c>
      <c r="C39" s="466">
        <v>0</v>
      </c>
      <c r="D39" s="466">
        <v>0</v>
      </c>
      <c r="E39" s="466">
        <v>0</v>
      </c>
      <c r="F39" s="466">
        <v>0</v>
      </c>
      <c r="G39" s="466">
        <v>0</v>
      </c>
      <c r="H39" s="466">
        <v>0</v>
      </c>
      <c r="I39" s="467">
        <v>0</v>
      </c>
      <c r="J39" s="467">
        <v>0</v>
      </c>
      <c r="K39" s="1688">
        <f t="shared" si="2"/>
        <v>0</v>
      </c>
      <c r="L39" s="466">
        <v>0</v>
      </c>
    </row>
    <row r="40" spans="1:14" x14ac:dyDescent="0.2">
      <c r="A40" s="1521" t="s">
        <v>209</v>
      </c>
      <c r="B40" s="613">
        <v>2150</v>
      </c>
      <c r="C40" s="466">
        <v>0</v>
      </c>
      <c r="D40" s="466">
        <v>0</v>
      </c>
      <c r="E40" s="466">
        <v>0</v>
      </c>
      <c r="F40" s="466">
        <v>0</v>
      </c>
      <c r="G40" s="466">
        <v>0</v>
      </c>
      <c r="H40" s="466">
        <v>0</v>
      </c>
      <c r="I40" s="467">
        <v>0</v>
      </c>
      <c r="J40" s="467">
        <v>0</v>
      </c>
      <c r="K40" s="1688">
        <f t="shared" si="2"/>
        <v>0</v>
      </c>
      <c r="L40" s="466">
        <v>0</v>
      </c>
    </row>
    <row r="41" spans="1:14" x14ac:dyDescent="0.2">
      <c r="A41" s="1521" t="s">
        <v>1766</v>
      </c>
      <c r="B41" s="613">
        <v>2190</v>
      </c>
      <c r="C41" s="466">
        <v>0</v>
      </c>
      <c r="D41" s="466">
        <v>0</v>
      </c>
      <c r="E41" s="466">
        <v>0</v>
      </c>
      <c r="F41" s="466">
        <v>0</v>
      </c>
      <c r="G41" s="466">
        <v>0</v>
      </c>
      <c r="H41" s="466">
        <v>0</v>
      </c>
      <c r="I41" s="467">
        <v>0</v>
      </c>
      <c r="J41" s="467">
        <v>0</v>
      </c>
      <c r="K41" s="1688">
        <f t="shared" si="2"/>
        <v>0</v>
      </c>
      <c r="L41" s="466">
        <v>0</v>
      </c>
    </row>
    <row r="42" spans="1:14" ht="12.75" customHeight="1" thickBot="1" x14ac:dyDescent="0.25">
      <c r="A42" s="1685" t="s">
        <v>581</v>
      </c>
      <c r="B42" s="1686" t="s">
        <v>740</v>
      </c>
      <c r="C42" s="1687">
        <f>SUM(C36:C41)</f>
        <v>277974</v>
      </c>
      <c r="D42" s="1687">
        <f t="shared" ref="D42:L42" si="3">SUM(D36:D41)</f>
        <v>39651</v>
      </c>
      <c r="E42" s="1687">
        <f t="shared" si="3"/>
        <v>4187</v>
      </c>
      <c r="F42" s="1687">
        <f t="shared" si="3"/>
        <v>11635</v>
      </c>
      <c r="G42" s="1687">
        <f t="shared" si="3"/>
        <v>0</v>
      </c>
      <c r="H42" s="1687">
        <f t="shared" si="3"/>
        <v>0</v>
      </c>
      <c r="I42" s="1687">
        <f t="shared" si="3"/>
        <v>0</v>
      </c>
      <c r="J42" s="1687">
        <f t="shared" si="3"/>
        <v>0</v>
      </c>
      <c r="K42" s="1687">
        <f t="shared" si="3"/>
        <v>333447</v>
      </c>
      <c r="L42" s="1687">
        <f t="shared" si="3"/>
        <v>331188</v>
      </c>
    </row>
    <row r="43" spans="1:14" ht="15.75" customHeight="1" thickTop="1" x14ac:dyDescent="0.2">
      <c r="A43" s="623" t="s">
        <v>613</v>
      </c>
      <c r="B43" s="624"/>
      <c r="C43" s="625"/>
      <c r="D43" s="625"/>
      <c r="E43" s="625"/>
      <c r="F43" s="625"/>
      <c r="G43" s="625"/>
      <c r="H43" s="625"/>
      <c r="I43" s="615"/>
      <c r="J43" s="615"/>
      <c r="K43" s="625"/>
      <c r="L43" s="625"/>
    </row>
    <row r="44" spans="1:14" x14ac:dyDescent="0.2">
      <c r="A44" s="1521" t="s">
        <v>868</v>
      </c>
      <c r="B44" s="613">
        <v>2210</v>
      </c>
      <c r="C44" s="480">
        <v>54469</v>
      </c>
      <c r="D44" s="480">
        <v>11116</v>
      </c>
      <c r="E44" s="480">
        <v>25163</v>
      </c>
      <c r="F44" s="480">
        <v>71075</v>
      </c>
      <c r="G44" s="480">
        <v>0</v>
      </c>
      <c r="H44" s="480">
        <v>0</v>
      </c>
      <c r="I44" s="467">
        <v>0</v>
      </c>
      <c r="J44" s="467">
        <v>0</v>
      </c>
      <c r="K44" s="1689">
        <f>SUM(C44:J44)</f>
        <v>161823</v>
      </c>
      <c r="L44" s="480">
        <v>131770</v>
      </c>
    </row>
    <row r="45" spans="1:14" x14ac:dyDescent="0.2">
      <c r="A45" s="1521" t="s">
        <v>869</v>
      </c>
      <c r="B45" s="613">
        <v>2220</v>
      </c>
      <c r="C45" s="467">
        <v>87445</v>
      </c>
      <c r="D45" s="466">
        <v>16417</v>
      </c>
      <c r="E45" s="466">
        <v>4085</v>
      </c>
      <c r="F45" s="466">
        <v>27818</v>
      </c>
      <c r="G45" s="466">
        <v>4525</v>
      </c>
      <c r="H45" s="466">
        <v>0</v>
      </c>
      <c r="I45" s="467">
        <v>0</v>
      </c>
      <c r="J45" s="467">
        <v>0</v>
      </c>
      <c r="K45" s="1689">
        <f>SUM(C45:J45)</f>
        <v>140290</v>
      </c>
      <c r="L45" s="466">
        <v>321874</v>
      </c>
    </row>
    <row r="46" spans="1:14" x14ac:dyDescent="0.2">
      <c r="A46" s="1521" t="s">
        <v>870</v>
      </c>
      <c r="B46" s="613">
        <v>2230</v>
      </c>
      <c r="C46" s="467">
        <v>0</v>
      </c>
      <c r="D46" s="466">
        <v>0</v>
      </c>
      <c r="E46" s="466">
        <v>25670</v>
      </c>
      <c r="F46" s="466">
        <v>0</v>
      </c>
      <c r="G46" s="466">
        <v>0</v>
      </c>
      <c r="H46" s="466">
        <v>0</v>
      </c>
      <c r="I46" s="467">
        <v>0</v>
      </c>
      <c r="J46" s="467">
        <v>0</v>
      </c>
      <c r="K46" s="1689">
        <f>SUM(C46:J46)</f>
        <v>25670</v>
      </c>
      <c r="L46" s="466">
        <v>19392</v>
      </c>
    </row>
    <row r="47" spans="1:14" ht="12.75" customHeight="1" thickBot="1" x14ac:dyDescent="0.25">
      <c r="A47" s="1685" t="s">
        <v>582</v>
      </c>
      <c r="B47" s="1686" t="s">
        <v>32</v>
      </c>
      <c r="C47" s="1687">
        <f>SUM(C44:C46)</f>
        <v>141914</v>
      </c>
      <c r="D47" s="1687">
        <f t="shared" ref="D47:K47" si="4">SUM(D44:D46)</f>
        <v>27533</v>
      </c>
      <c r="E47" s="1687">
        <f t="shared" si="4"/>
        <v>54918</v>
      </c>
      <c r="F47" s="1687">
        <f t="shared" si="4"/>
        <v>98893</v>
      </c>
      <c r="G47" s="1687">
        <f t="shared" si="4"/>
        <v>4525</v>
      </c>
      <c r="H47" s="1687">
        <f t="shared" si="4"/>
        <v>0</v>
      </c>
      <c r="I47" s="1687">
        <f t="shared" si="4"/>
        <v>0</v>
      </c>
      <c r="J47" s="1687">
        <f t="shared" si="4"/>
        <v>0</v>
      </c>
      <c r="K47" s="1687">
        <f t="shared" si="4"/>
        <v>327783</v>
      </c>
      <c r="L47" s="1687">
        <f>SUM(L44:L46)</f>
        <v>473036</v>
      </c>
    </row>
    <row r="48" spans="1:14" ht="15.75" customHeight="1" thickTop="1" x14ac:dyDescent="0.2">
      <c r="A48" s="623" t="s">
        <v>631</v>
      </c>
      <c r="B48" s="624"/>
      <c r="C48" s="625"/>
      <c r="D48" s="625"/>
      <c r="E48" s="625"/>
      <c r="F48" s="625"/>
      <c r="G48" s="625"/>
      <c r="H48" s="625"/>
      <c r="I48" s="615"/>
      <c r="J48" s="615"/>
      <c r="K48" s="625"/>
      <c r="L48" s="625"/>
    </row>
    <row r="49" spans="1:14" x14ac:dyDescent="0.2">
      <c r="A49" s="1521" t="s">
        <v>871</v>
      </c>
      <c r="B49" s="613">
        <v>2310</v>
      </c>
      <c r="C49" s="480">
        <v>3000</v>
      </c>
      <c r="D49" s="480">
        <v>2696</v>
      </c>
      <c r="E49" s="480">
        <v>104420</v>
      </c>
      <c r="F49" s="480">
        <v>7695</v>
      </c>
      <c r="G49" s="480">
        <v>0</v>
      </c>
      <c r="H49" s="480">
        <v>0</v>
      </c>
      <c r="I49" s="467">
        <v>0</v>
      </c>
      <c r="J49" s="467">
        <v>0</v>
      </c>
      <c r="K49" s="1689">
        <f>SUM(C49:J49)</f>
        <v>117811</v>
      </c>
      <c r="L49" s="466">
        <v>128268</v>
      </c>
    </row>
    <row r="50" spans="1:14" x14ac:dyDescent="0.2">
      <c r="A50" s="1521" t="s">
        <v>872</v>
      </c>
      <c r="B50" s="613">
        <v>2320</v>
      </c>
      <c r="C50" s="466">
        <v>183735</v>
      </c>
      <c r="D50" s="466">
        <v>23753</v>
      </c>
      <c r="E50" s="466">
        <v>4159</v>
      </c>
      <c r="F50" s="466">
        <v>812</v>
      </c>
      <c r="G50" s="466">
        <v>0</v>
      </c>
      <c r="H50" s="466">
        <v>2274</v>
      </c>
      <c r="I50" s="467">
        <v>0</v>
      </c>
      <c r="J50" s="467">
        <v>0</v>
      </c>
      <c r="K50" s="1689">
        <f>SUM(C50:J50)</f>
        <v>214733</v>
      </c>
      <c r="L50" s="466">
        <v>221240</v>
      </c>
    </row>
    <row r="51" spans="1:14" x14ac:dyDescent="0.2">
      <c r="A51" s="1521" t="s">
        <v>44</v>
      </c>
      <c r="B51" s="613">
        <v>2330</v>
      </c>
      <c r="C51" s="466">
        <v>11275</v>
      </c>
      <c r="D51" s="466">
        <v>3360</v>
      </c>
      <c r="E51" s="466">
        <v>3000</v>
      </c>
      <c r="F51" s="466">
        <v>0</v>
      </c>
      <c r="G51" s="466">
        <v>0</v>
      </c>
      <c r="H51" s="466">
        <v>0</v>
      </c>
      <c r="I51" s="467">
        <v>0</v>
      </c>
      <c r="J51" s="467">
        <v>0</v>
      </c>
      <c r="K51" s="1689">
        <f>SUM(C51:J51)</f>
        <v>17635</v>
      </c>
      <c r="L51" s="466">
        <v>8436</v>
      </c>
    </row>
    <row r="52" spans="1:14" ht="22.5" x14ac:dyDescent="0.2">
      <c r="A52" s="1522" t="s">
        <v>316</v>
      </c>
      <c r="B52" s="626" t="s">
        <v>384</v>
      </c>
      <c r="C52" s="474">
        <v>0</v>
      </c>
      <c r="D52" s="474">
        <v>0</v>
      </c>
      <c r="E52" s="474">
        <v>0</v>
      </c>
      <c r="F52" s="474">
        <v>0</v>
      </c>
      <c r="G52" s="474">
        <v>0</v>
      </c>
      <c r="H52" s="474">
        <v>0</v>
      </c>
      <c r="I52" s="474">
        <v>0</v>
      </c>
      <c r="J52" s="474">
        <v>0</v>
      </c>
      <c r="K52" s="1689">
        <f>SUM(C52:J52)</f>
        <v>0</v>
      </c>
      <c r="L52" s="466">
        <v>0</v>
      </c>
    </row>
    <row r="53" spans="1:14" ht="12.75" customHeight="1" thickBot="1" x14ac:dyDescent="0.25">
      <c r="A53" s="1685" t="s">
        <v>741</v>
      </c>
      <c r="B53" s="1686" t="s">
        <v>33</v>
      </c>
      <c r="C53" s="1687">
        <f>SUM(C49:C52)</f>
        <v>198010</v>
      </c>
      <c r="D53" s="1687">
        <f t="shared" ref="D53:L53" si="5">SUM(D49:D52)</f>
        <v>29809</v>
      </c>
      <c r="E53" s="1687">
        <f t="shared" si="5"/>
        <v>111579</v>
      </c>
      <c r="F53" s="1687">
        <f t="shared" si="5"/>
        <v>8507</v>
      </c>
      <c r="G53" s="1687">
        <f t="shared" si="5"/>
        <v>0</v>
      </c>
      <c r="H53" s="1687">
        <f t="shared" si="5"/>
        <v>2274</v>
      </c>
      <c r="I53" s="1687">
        <f t="shared" si="5"/>
        <v>0</v>
      </c>
      <c r="J53" s="1687">
        <f t="shared" si="5"/>
        <v>0</v>
      </c>
      <c r="K53" s="1687">
        <f t="shared" si="5"/>
        <v>350179</v>
      </c>
      <c r="L53" s="1687">
        <f t="shared" si="5"/>
        <v>357944</v>
      </c>
    </row>
    <row r="54" spans="1:14" ht="15.75" customHeight="1" thickTop="1" x14ac:dyDescent="0.2">
      <c r="A54" s="623" t="s">
        <v>632</v>
      </c>
      <c r="B54" s="624"/>
      <c r="C54" s="625"/>
      <c r="D54" s="625"/>
      <c r="E54" s="625"/>
      <c r="F54" s="625"/>
      <c r="G54" s="625"/>
      <c r="H54" s="625"/>
      <c r="I54" s="615"/>
      <c r="J54" s="615"/>
      <c r="K54" s="625"/>
      <c r="L54" s="625"/>
    </row>
    <row r="55" spans="1:14" x14ac:dyDescent="0.2">
      <c r="A55" s="1521" t="s">
        <v>1127</v>
      </c>
      <c r="B55" s="613">
        <v>2410</v>
      </c>
      <c r="C55" s="480">
        <v>925149</v>
      </c>
      <c r="D55" s="480">
        <v>108265</v>
      </c>
      <c r="E55" s="480">
        <v>121643</v>
      </c>
      <c r="F55" s="480">
        <v>19169</v>
      </c>
      <c r="G55" s="480">
        <v>6056</v>
      </c>
      <c r="H55" s="480">
        <v>2182</v>
      </c>
      <c r="I55" s="467">
        <v>0</v>
      </c>
      <c r="J55" s="467">
        <v>0</v>
      </c>
      <c r="K55" s="1689">
        <f>SUM(C55:J55)</f>
        <v>1182464</v>
      </c>
      <c r="L55" s="480">
        <v>1321078</v>
      </c>
    </row>
    <row r="56" spans="1:14" ht="12.75" customHeight="1" x14ac:dyDescent="0.2">
      <c r="A56" s="1525" t="s">
        <v>394</v>
      </c>
      <c r="B56" s="627">
        <v>2490</v>
      </c>
      <c r="C56" s="466">
        <v>0</v>
      </c>
      <c r="D56" s="466">
        <v>0</v>
      </c>
      <c r="E56" s="466">
        <v>0</v>
      </c>
      <c r="F56" s="466">
        <v>0</v>
      </c>
      <c r="G56" s="466">
        <v>0</v>
      </c>
      <c r="H56" s="466">
        <v>0</v>
      </c>
      <c r="I56" s="467">
        <v>0</v>
      </c>
      <c r="J56" s="467">
        <v>0</v>
      </c>
      <c r="K56" s="1689">
        <f>SUM(C56:J56)</f>
        <v>0</v>
      </c>
      <c r="L56" s="466">
        <v>0</v>
      </c>
    </row>
    <row r="57" spans="1:14" s="343" customFormat="1" ht="12.75" customHeight="1" thickBot="1" x14ac:dyDescent="0.25">
      <c r="A57" s="1685" t="s">
        <v>281</v>
      </c>
      <c r="B57" s="1690" t="s">
        <v>34</v>
      </c>
      <c r="C57" s="1691">
        <f>SUM(C55:C56)</f>
        <v>925149</v>
      </c>
      <c r="D57" s="1691">
        <f t="shared" ref="D57:K57" si="6">SUM(D55:D56)</f>
        <v>108265</v>
      </c>
      <c r="E57" s="1691">
        <f t="shared" si="6"/>
        <v>121643</v>
      </c>
      <c r="F57" s="1691">
        <f t="shared" si="6"/>
        <v>19169</v>
      </c>
      <c r="G57" s="1691">
        <f t="shared" si="6"/>
        <v>6056</v>
      </c>
      <c r="H57" s="1691">
        <f t="shared" si="6"/>
        <v>2182</v>
      </c>
      <c r="I57" s="1691">
        <f t="shared" si="6"/>
        <v>0</v>
      </c>
      <c r="J57" s="1691">
        <f t="shared" si="6"/>
        <v>0</v>
      </c>
      <c r="K57" s="1691">
        <f t="shared" si="6"/>
        <v>1182464</v>
      </c>
      <c r="L57" s="1687">
        <f>SUM(L55:L56)</f>
        <v>1321078</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1" t="s">
        <v>1128</v>
      </c>
      <c r="B59" s="613">
        <v>2510</v>
      </c>
      <c r="C59" s="480">
        <v>0</v>
      </c>
      <c r="D59" s="480">
        <v>0</v>
      </c>
      <c r="E59" s="480">
        <v>0</v>
      </c>
      <c r="F59" s="480">
        <v>0</v>
      </c>
      <c r="G59" s="480">
        <v>0</v>
      </c>
      <c r="H59" s="480">
        <v>0</v>
      </c>
      <c r="I59" s="467">
        <v>0</v>
      </c>
      <c r="J59" s="467">
        <v>0</v>
      </c>
      <c r="K59" s="1689">
        <f t="shared" ref="K59:K64" si="7">SUM(C59:J59)</f>
        <v>0</v>
      </c>
      <c r="L59" s="480">
        <v>0</v>
      </c>
      <c r="M59" s="608"/>
      <c r="N59" s="608"/>
    </row>
    <row r="60" spans="1:14" s="343" customFormat="1" x14ac:dyDescent="0.2">
      <c r="A60" s="1521" t="s">
        <v>483</v>
      </c>
      <c r="B60" s="613">
        <v>2520</v>
      </c>
      <c r="C60" s="466">
        <v>200538</v>
      </c>
      <c r="D60" s="466">
        <v>20227</v>
      </c>
      <c r="E60" s="466">
        <v>16035</v>
      </c>
      <c r="F60" s="466">
        <v>9606</v>
      </c>
      <c r="G60" s="466">
        <v>0</v>
      </c>
      <c r="H60" s="466">
        <v>0</v>
      </c>
      <c r="I60" s="467">
        <v>0</v>
      </c>
      <c r="J60" s="467">
        <v>0</v>
      </c>
      <c r="K60" s="1689">
        <f t="shared" si="7"/>
        <v>246406</v>
      </c>
      <c r="L60" s="466">
        <v>223620</v>
      </c>
      <c r="M60" s="608"/>
      <c r="N60" s="608"/>
    </row>
    <row r="61" spans="1:14" s="343" customFormat="1" x14ac:dyDescent="0.2">
      <c r="A61" s="1521" t="s">
        <v>206</v>
      </c>
      <c r="B61" s="613">
        <v>2540</v>
      </c>
      <c r="C61" s="467">
        <v>20664</v>
      </c>
      <c r="D61" s="466">
        <v>2517</v>
      </c>
      <c r="E61" s="466">
        <v>33902</v>
      </c>
      <c r="F61" s="466">
        <v>24100</v>
      </c>
      <c r="G61" s="466">
        <v>15257</v>
      </c>
      <c r="H61" s="466">
        <v>0</v>
      </c>
      <c r="I61" s="467">
        <v>0</v>
      </c>
      <c r="J61" s="467">
        <v>0</v>
      </c>
      <c r="K61" s="1689">
        <f t="shared" si="7"/>
        <v>96440</v>
      </c>
      <c r="L61" s="466">
        <v>68804</v>
      </c>
      <c r="M61" s="608"/>
      <c r="N61" s="608"/>
    </row>
    <row r="62" spans="1:14" s="343" customFormat="1" x14ac:dyDescent="0.2">
      <c r="A62" s="1521" t="s">
        <v>1010</v>
      </c>
      <c r="B62" s="613">
        <v>2550</v>
      </c>
      <c r="C62" s="467">
        <v>0</v>
      </c>
      <c r="D62" s="466">
        <v>0</v>
      </c>
      <c r="E62" s="466">
        <v>140512</v>
      </c>
      <c r="F62" s="466">
        <v>0</v>
      </c>
      <c r="G62" s="466">
        <v>0</v>
      </c>
      <c r="H62" s="466">
        <v>0</v>
      </c>
      <c r="I62" s="467">
        <v>0</v>
      </c>
      <c r="J62" s="467">
        <v>0</v>
      </c>
      <c r="K62" s="1689">
        <f t="shared" si="7"/>
        <v>140512</v>
      </c>
      <c r="L62" s="466">
        <v>35000</v>
      </c>
      <c r="M62" s="608"/>
      <c r="N62" s="608"/>
    </row>
    <row r="63" spans="1:14" s="608" customFormat="1" x14ac:dyDescent="0.2">
      <c r="A63" s="1521" t="s">
        <v>102</v>
      </c>
      <c r="B63" s="613">
        <v>2560</v>
      </c>
      <c r="C63" s="466">
        <v>320337</v>
      </c>
      <c r="D63" s="466">
        <v>108722</v>
      </c>
      <c r="E63" s="466">
        <v>20280</v>
      </c>
      <c r="F63" s="466">
        <v>497575</v>
      </c>
      <c r="G63" s="466">
        <v>43964</v>
      </c>
      <c r="H63" s="466">
        <v>0</v>
      </c>
      <c r="I63" s="467">
        <v>0</v>
      </c>
      <c r="J63" s="467">
        <v>0</v>
      </c>
      <c r="K63" s="1689">
        <f t="shared" si="7"/>
        <v>990878</v>
      </c>
      <c r="L63" s="466">
        <v>1154366</v>
      </c>
    </row>
    <row r="64" spans="1:14" s="608" customFormat="1" x14ac:dyDescent="0.2">
      <c r="A64" s="1526" t="s">
        <v>103</v>
      </c>
      <c r="B64" s="629">
        <v>2570</v>
      </c>
      <c r="C64" s="480">
        <v>0</v>
      </c>
      <c r="D64" s="480">
        <v>0</v>
      </c>
      <c r="E64" s="480">
        <v>0</v>
      </c>
      <c r="F64" s="480">
        <v>0</v>
      </c>
      <c r="G64" s="480">
        <v>0</v>
      </c>
      <c r="H64" s="480">
        <v>0</v>
      </c>
      <c r="I64" s="467">
        <v>0</v>
      </c>
      <c r="J64" s="467">
        <v>0</v>
      </c>
      <c r="K64" s="1689">
        <f t="shared" si="7"/>
        <v>0</v>
      </c>
      <c r="L64" s="480">
        <v>0</v>
      </c>
    </row>
    <row r="65" spans="1:14" s="343" customFormat="1" ht="12.75" customHeight="1" thickBot="1" x14ac:dyDescent="0.25">
      <c r="A65" s="1685" t="s">
        <v>743</v>
      </c>
      <c r="B65" s="1686" t="s">
        <v>35</v>
      </c>
      <c r="C65" s="1687">
        <f>SUM(C59:C64)</f>
        <v>541539</v>
      </c>
      <c r="D65" s="1687">
        <f t="shared" ref="D65:L65" si="8">SUM(D59:D64)</f>
        <v>131466</v>
      </c>
      <c r="E65" s="1687">
        <f t="shared" si="8"/>
        <v>210729</v>
      </c>
      <c r="F65" s="1687">
        <f t="shared" si="8"/>
        <v>531281</v>
      </c>
      <c r="G65" s="1687">
        <f t="shared" si="8"/>
        <v>59221</v>
      </c>
      <c r="H65" s="1687">
        <f t="shared" si="8"/>
        <v>0</v>
      </c>
      <c r="I65" s="1687">
        <f t="shared" si="8"/>
        <v>0</v>
      </c>
      <c r="J65" s="1687">
        <f t="shared" si="8"/>
        <v>0</v>
      </c>
      <c r="K65" s="1687">
        <f t="shared" si="8"/>
        <v>1474236</v>
      </c>
      <c r="L65" s="1687">
        <f t="shared" si="8"/>
        <v>1481790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1" t="s">
        <v>1120</v>
      </c>
      <c r="B67" s="613">
        <v>2610</v>
      </c>
      <c r="C67" s="466">
        <v>0</v>
      </c>
      <c r="D67" s="466">
        <v>0</v>
      </c>
      <c r="E67" s="466">
        <v>0</v>
      </c>
      <c r="F67" s="466">
        <v>0</v>
      </c>
      <c r="G67" s="466">
        <v>0</v>
      </c>
      <c r="H67" s="466">
        <v>0</v>
      </c>
      <c r="I67" s="467">
        <v>0</v>
      </c>
      <c r="J67" s="467">
        <v>0</v>
      </c>
      <c r="K67" s="1689">
        <f>SUM(C67:J67)</f>
        <v>0</v>
      </c>
      <c r="L67" s="480">
        <v>0</v>
      </c>
      <c r="M67" s="608"/>
      <c r="N67" s="608"/>
    </row>
    <row r="68" spans="1:14" s="343" customFormat="1" x14ac:dyDescent="0.2">
      <c r="A68" s="1521" t="s">
        <v>628</v>
      </c>
      <c r="B68" s="613">
        <v>2620</v>
      </c>
      <c r="C68" s="466">
        <v>0</v>
      </c>
      <c r="D68" s="466">
        <v>0</v>
      </c>
      <c r="E68" s="466">
        <v>0</v>
      </c>
      <c r="F68" s="466">
        <v>0</v>
      </c>
      <c r="G68" s="466">
        <v>0</v>
      </c>
      <c r="H68" s="466">
        <v>0</v>
      </c>
      <c r="I68" s="467">
        <v>0</v>
      </c>
      <c r="J68" s="467">
        <v>0</v>
      </c>
      <c r="K68" s="1689">
        <f>SUM(C68:J68)</f>
        <v>0</v>
      </c>
      <c r="L68" s="466">
        <v>0</v>
      </c>
      <c r="M68" s="608"/>
      <c r="N68" s="608"/>
    </row>
    <row r="69" spans="1:14" s="343" customFormat="1" x14ac:dyDescent="0.2">
      <c r="A69" s="1521" t="s">
        <v>1121</v>
      </c>
      <c r="B69" s="613">
        <v>2630</v>
      </c>
      <c r="C69" s="466">
        <v>28931</v>
      </c>
      <c r="D69" s="466">
        <v>6659</v>
      </c>
      <c r="E69" s="466">
        <v>0</v>
      </c>
      <c r="F69" s="466">
        <v>1667</v>
      </c>
      <c r="G69" s="466">
        <v>0</v>
      </c>
      <c r="H69" s="466">
        <v>0</v>
      </c>
      <c r="I69" s="467">
        <v>0</v>
      </c>
      <c r="J69" s="467">
        <v>0</v>
      </c>
      <c r="K69" s="1689">
        <f>SUM(C69:J69)</f>
        <v>37257</v>
      </c>
      <c r="L69" s="466">
        <v>37551</v>
      </c>
      <c r="M69" s="608"/>
      <c r="N69" s="608"/>
    </row>
    <row r="70" spans="1:14" s="343" customFormat="1" x14ac:dyDescent="0.2">
      <c r="A70" s="1521" t="s">
        <v>423</v>
      </c>
      <c r="B70" s="613">
        <v>2640</v>
      </c>
      <c r="C70" s="466">
        <v>0</v>
      </c>
      <c r="D70" s="466">
        <v>0</v>
      </c>
      <c r="E70" s="466">
        <v>348</v>
      </c>
      <c r="F70" s="466">
        <v>0</v>
      </c>
      <c r="G70" s="466">
        <v>0</v>
      </c>
      <c r="H70" s="466">
        <v>0</v>
      </c>
      <c r="I70" s="467">
        <v>0</v>
      </c>
      <c r="J70" s="467">
        <v>0</v>
      </c>
      <c r="K70" s="1689">
        <f>SUM(C70:J70)</f>
        <v>348</v>
      </c>
      <c r="L70" s="466">
        <v>500</v>
      </c>
      <c r="M70" s="608"/>
      <c r="N70" s="608"/>
    </row>
    <row r="71" spans="1:14" s="343" customFormat="1" x14ac:dyDescent="0.2">
      <c r="A71" s="1521" t="s">
        <v>424</v>
      </c>
      <c r="B71" s="613">
        <v>2660</v>
      </c>
      <c r="C71" s="466">
        <v>0</v>
      </c>
      <c r="D71" s="466">
        <v>0</v>
      </c>
      <c r="E71" s="466">
        <v>10576</v>
      </c>
      <c r="F71" s="466">
        <v>0</v>
      </c>
      <c r="G71" s="466">
        <v>0</v>
      </c>
      <c r="H71" s="466">
        <v>0</v>
      </c>
      <c r="I71" s="467">
        <v>0</v>
      </c>
      <c r="J71" s="467">
        <v>0</v>
      </c>
      <c r="K71" s="1689">
        <f>SUM(C71:J71)</f>
        <v>10576</v>
      </c>
      <c r="L71" s="466">
        <v>11000</v>
      </c>
      <c r="M71" s="608"/>
      <c r="N71" s="608"/>
    </row>
    <row r="72" spans="1:14" s="343" customFormat="1" ht="12.75" customHeight="1" thickBot="1" x14ac:dyDescent="0.25">
      <c r="A72" s="1685" t="s">
        <v>37</v>
      </c>
      <c r="B72" s="1692" t="s">
        <v>36</v>
      </c>
      <c r="C72" s="1687">
        <f>SUM(C67:C71)</f>
        <v>28931</v>
      </c>
      <c r="D72" s="1687">
        <f t="shared" ref="D72:K72" si="9">SUM(D67:D71)</f>
        <v>6659</v>
      </c>
      <c r="E72" s="1687">
        <f t="shared" si="9"/>
        <v>10924</v>
      </c>
      <c r="F72" s="1687">
        <f t="shared" si="9"/>
        <v>1667</v>
      </c>
      <c r="G72" s="1687">
        <f t="shared" si="9"/>
        <v>0</v>
      </c>
      <c r="H72" s="1687">
        <f t="shared" si="9"/>
        <v>0</v>
      </c>
      <c r="I72" s="1687">
        <f t="shared" si="9"/>
        <v>0</v>
      </c>
      <c r="J72" s="1687">
        <f t="shared" si="9"/>
        <v>0</v>
      </c>
      <c r="K72" s="1687">
        <f t="shared" si="9"/>
        <v>48181</v>
      </c>
      <c r="L72" s="1687">
        <f>SUM(L67:L71)</f>
        <v>49051</v>
      </c>
      <c r="M72" s="608"/>
      <c r="N72" s="608"/>
    </row>
    <row r="73" spans="1:14" s="343" customFormat="1" ht="14.25" thickTop="1" thickBot="1" x14ac:dyDescent="0.25">
      <c r="A73" s="1527" t="s">
        <v>1037</v>
      </c>
      <c r="B73" s="631" t="s">
        <v>595</v>
      </c>
      <c r="C73" s="571">
        <v>0</v>
      </c>
      <c r="D73" s="571">
        <v>0</v>
      </c>
      <c r="E73" s="571">
        <v>0</v>
      </c>
      <c r="F73" s="571">
        <v>0</v>
      </c>
      <c r="G73" s="571">
        <v>0</v>
      </c>
      <c r="H73" s="571">
        <v>0</v>
      </c>
      <c r="I73" s="529">
        <v>0</v>
      </c>
      <c r="J73" s="529">
        <v>0</v>
      </c>
      <c r="K73" s="1687">
        <f>SUM(C73:J73)</f>
        <v>0</v>
      </c>
      <c r="L73" s="574">
        <v>100</v>
      </c>
      <c r="M73" s="608"/>
      <c r="N73" s="608"/>
    </row>
    <row r="74" spans="1:14" ht="12.75" customHeight="1" thickTop="1" thickBot="1" x14ac:dyDescent="0.25">
      <c r="A74" s="1685" t="s">
        <v>865</v>
      </c>
      <c r="B74" s="1693">
        <v>2000</v>
      </c>
      <c r="C74" s="1694">
        <f>SUM(C42,C47,C53,C57,C65,C72,C73)</f>
        <v>2113517</v>
      </c>
      <c r="D74" s="1694">
        <f t="shared" ref="D74:K74" si="10">SUM(D42,D47,D53,D57,D65,D72,D73)</f>
        <v>343383</v>
      </c>
      <c r="E74" s="1694">
        <f t="shared" si="10"/>
        <v>513980</v>
      </c>
      <c r="F74" s="1694">
        <f t="shared" si="10"/>
        <v>671152</v>
      </c>
      <c r="G74" s="1694">
        <f t="shared" si="10"/>
        <v>69802</v>
      </c>
      <c r="H74" s="1694">
        <f t="shared" si="10"/>
        <v>4456</v>
      </c>
      <c r="I74" s="1694">
        <f t="shared" si="10"/>
        <v>0</v>
      </c>
      <c r="J74" s="1694">
        <f t="shared" si="10"/>
        <v>0</v>
      </c>
      <c r="K74" s="1694">
        <f t="shared" si="10"/>
        <v>3716290</v>
      </c>
      <c r="L74" s="1694">
        <f>SUM(L42,L47,L53,L57,L65,L72,L73)</f>
        <v>4014187</v>
      </c>
    </row>
    <row r="75" spans="1:14" s="259" customFormat="1" ht="15.75" customHeight="1" thickTop="1" thickBot="1" x14ac:dyDescent="0.25">
      <c r="A75" s="1627" t="s">
        <v>49</v>
      </c>
      <c r="B75" s="1628" t="s">
        <v>596</v>
      </c>
      <c r="C75" s="571">
        <v>47872</v>
      </c>
      <c r="D75" s="571">
        <v>9211</v>
      </c>
      <c r="E75" s="571">
        <v>16159</v>
      </c>
      <c r="F75" s="571">
        <v>11911</v>
      </c>
      <c r="G75" s="571">
        <v>0</v>
      </c>
      <c r="H75" s="571">
        <v>0</v>
      </c>
      <c r="I75" s="529">
        <v>0</v>
      </c>
      <c r="J75" s="529">
        <v>0</v>
      </c>
      <c r="K75" s="1687">
        <f>SUM(C75:J75)</f>
        <v>85153</v>
      </c>
      <c r="L75" s="574">
        <v>90164</v>
      </c>
      <c r="M75" s="612"/>
      <c r="N75" s="612"/>
    </row>
    <row r="76" spans="1:14" s="632" customFormat="1" ht="15.75" customHeight="1" thickTop="1" x14ac:dyDescent="0.2">
      <c r="A76" s="1629" t="s">
        <v>383</v>
      </c>
      <c r="B76" s="1626"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1" t="s">
        <v>517</v>
      </c>
      <c r="B78" s="613">
        <v>4110</v>
      </c>
      <c r="C78" s="615"/>
      <c r="D78" s="615"/>
      <c r="E78" s="480">
        <v>10913</v>
      </c>
      <c r="F78" s="615"/>
      <c r="G78" s="615"/>
      <c r="H78" s="633">
        <v>0</v>
      </c>
      <c r="I78" s="476"/>
      <c r="J78" s="476"/>
      <c r="K78" s="1688">
        <f t="shared" ref="K78:K83" si="11">SUM(C78:J78)</f>
        <v>10913</v>
      </c>
      <c r="L78" s="480">
        <v>10000</v>
      </c>
    </row>
    <row r="79" spans="1:14" x14ac:dyDescent="0.2">
      <c r="A79" s="1521" t="s">
        <v>322</v>
      </c>
      <c r="B79" s="613">
        <v>4120</v>
      </c>
      <c r="C79" s="615"/>
      <c r="D79" s="615"/>
      <c r="E79" s="466">
        <v>0</v>
      </c>
      <c r="F79" s="615"/>
      <c r="G79" s="615"/>
      <c r="H79" s="466">
        <v>5779</v>
      </c>
      <c r="I79" s="476"/>
      <c r="J79" s="476"/>
      <c r="K79" s="1688">
        <f t="shared" si="11"/>
        <v>5779</v>
      </c>
      <c r="L79" s="466">
        <v>3750</v>
      </c>
    </row>
    <row r="80" spans="1:14" x14ac:dyDescent="0.2">
      <c r="A80" s="1521" t="s">
        <v>323</v>
      </c>
      <c r="B80" s="613">
        <v>4130</v>
      </c>
      <c r="C80" s="615"/>
      <c r="D80" s="615"/>
      <c r="E80" s="466">
        <v>0</v>
      </c>
      <c r="F80" s="615"/>
      <c r="G80" s="615"/>
      <c r="H80" s="466">
        <v>0</v>
      </c>
      <c r="I80" s="476"/>
      <c r="J80" s="476"/>
      <c r="K80" s="1688">
        <f t="shared" si="11"/>
        <v>0</v>
      </c>
      <c r="L80" s="466">
        <v>0</v>
      </c>
    </row>
    <row r="81" spans="1:12" x14ac:dyDescent="0.2">
      <c r="A81" s="1521" t="s">
        <v>721</v>
      </c>
      <c r="B81" s="613">
        <v>4140</v>
      </c>
      <c r="C81" s="615"/>
      <c r="D81" s="615"/>
      <c r="E81" s="466">
        <v>0</v>
      </c>
      <c r="F81" s="615"/>
      <c r="G81" s="615"/>
      <c r="H81" s="466">
        <v>0</v>
      </c>
      <c r="I81" s="476"/>
      <c r="J81" s="476"/>
      <c r="K81" s="1688">
        <f t="shared" si="11"/>
        <v>0</v>
      </c>
      <c r="L81" s="466">
        <v>0</v>
      </c>
    </row>
    <row r="82" spans="1:12" x14ac:dyDescent="0.2">
      <c r="A82" s="1521" t="s">
        <v>88</v>
      </c>
      <c r="B82" s="613">
        <v>4170</v>
      </c>
      <c r="C82" s="615"/>
      <c r="D82" s="615"/>
      <c r="E82" s="466">
        <v>0</v>
      </c>
      <c r="F82" s="615"/>
      <c r="G82" s="615"/>
      <c r="H82" s="466">
        <v>0</v>
      </c>
      <c r="I82" s="476"/>
      <c r="J82" s="476"/>
      <c r="K82" s="1688">
        <f t="shared" si="11"/>
        <v>0</v>
      </c>
      <c r="L82" s="466">
        <v>0</v>
      </c>
    </row>
    <row r="83" spans="1:12" x14ac:dyDescent="0.2">
      <c r="A83" s="1525" t="s">
        <v>722</v>
      </c>
      <c r="B83" s="627">
        <v>4190</v>
      </c>
      <c r="C83" s="615"/>
      <c r="D83" s="615"/>
      <c r="E83" s="466">
        <v>0</v>
      </c>
      <c r="F83" s="615"/>
      <c r="G83" s="615"/>
      <c r="H83" s="466">
        <v>0</v>
      </c>
      <c r="I83" s="476"/>
      <c r="J83" s="476"/>
      <c r="K83" s="1688">
        <f t="shared" si="11"/>
        <v>0</v>
      </c>
      <c r="L83" s="466">
        <v>4556</v>
      </c>
    </row>
    <row r="84" spans="1:12" ht="13.5" thickBot="1" x14ac:dyDescent="0.25">
      <c r="A84" s="1685" t="s">
        <v>1565</v>
      </c>
      <c r="B84" s="1695">
        <v>4100</v>
      </c>
      <c r="C84" s="615"/>
      <c r="D84" s="615"/>
      <c r="E84" s="1687">
        <f>SUM(E78:E83)</f>
        <v>10913</v>
      </c>
      <c r="F84" s="615"/>
      <c r="G84" s="615"/>
      <c r="H84" s="1687">
        <f>SUM(H78:H83)</f>
        <v>5779</v>
      </c>
      <c r="I84" s="476"/>
      <c r="J84" s="476"/>
      <c r="K84" s="1687">
        <f>SUM(K78:K83)</f>
        <v>16692</v>
      </c>
      <c r="L84" s="1687">
        <f>SUM(L78:L83)</f>
        <v>18306</v>
      </c>
    </row>
    <row r="85" spans="1:12" ht="12.75" customHeight="1" thickTop="1" thickBot="1" x14ac:dyDescent="0.25">
      <c r="A85" s="1528" t="s">
        <v>273</v>
      </c>
      <c r="B85" s="634">
        <v>4210</v>
      </c>
      <c r="C85" s="615"/>
      <c r="D85" s="615"/>
      <c r="E85" s="635"/>
      <c r="F85" s="615"/>
      <c r="G85" s="615"/>
      <c r="H85" s="533">
        <v>0</v>
      </c>
      <c r="I85" s="476"/>
      <c r="J85" s="476"/>
      <c r="K85" s="1694">
        <f>H85</f>
        <v>0</v>
      </c>
      <c r="L85" s="528">
        <v>0</v>
      </c>
    </row>
    <row r="86" spans="1:12" ht="12.75" customHeight="1" thickTop="1" thickBot="1" x14ac:dyDescent="0.25">
      <c r="A86" s="1529" t="s">
        <v>723</v>
      </c>
      <c r="B86" s="636">
        <v>4220</v>
      </c>
      <c r="C86" s="615"/>
      <c r="D86" s="615"/>
      <c r="E86" s="637"/>
      <c r="F86" s="615"/>
      <c r="G86" s="615"/>
      <c r="H86" s="467">
        <v>1770585</v>
      </c>
      <c r="I86" s="476"/>
      <c r="J86" s="476"/>
      <c r="K86" s="1694">
        <f t="shared" ref="K86:K98" si="12">H86</f>
        <v>1770585</v>
      </c>
      <c r="L86" s="528">
        <v>1838500</v>
      </c>
    </row>
    <row r="87" spans="1:12" ht="14.25" thickTop="1" thickBot="1" x14ac:dyDescent="0.25">
      <c r="A87" s="1530" t="s">
        <v>724</v>
      </c>
      <c r="B87" s="638">
        <v>4230</v>
      </c>
      <c r="C87" s="615"/>
      <c r="D87" s="615"/>
      <c r="E87" s="637"/>
      <c r="F87" s="615"/>
      <c r="G87" s="615"/>
      <c r="H87" s="467">
        <v>0</v>
      </c>
      <c r="I87" s="476"/>
      <c r="J87" s="476"/>
      <c r="K87" s="1694">
        <f t="shared" si="12"/>
        <v>0</v>
      </c>
      <c r="L87" s="528">
        <v>0</v>
      </c>
    </row>
    <row r="88" spans="1:12" ht="12.75" customHeight="1" thickTop="1" thickBot="1" x14ac:dyDescent="0.25">
      <c r="A88" s="1530" t="s">
        <v>789</v>
      </c>
      <c r="B88" s="638">
        <v>4240</v>
      </c>
      <c r="C88" s="615"/>
      <c r="D88" s="615"/>
      <c r="E88" s="637"/>
      <c r="F88" s="615"/>
      <c r="G88" s="615"/>
      <c r="H88" s="467">
        <v>0</v>
      </c>
      <c r="I88" s="476"/>
      <c r="J88" s="476"/>
      <c r="K88" s="1694">
        <f t="shared" si="12"/>
        <v>0</v>
      </c>
      <c r="L88" s="528">
        <v>0</v>
      </c>
    </row>
    <row r="89" spans="1:12" ht="12.75" customHeight="1" thickTop="1" thickBot="1" x14ac:dyDescent="0.25">
      <c r="A89" s="1530" t="s">
        <v>725</v>
      </c>
      <c r="B89" s="638">
        <v>4270</v>
      </c>
      <c r="C89" s="615"/>
      <c r="D89" s="615"/>
      <c r="E89" s="637"/>
      <c r="F89" s="615"/>
      <c r="G89" s="615"/>
      <c r="H89" s="467">
        <v>0</v>
      </c>
      <c r="I89" s="476"/>
      <c r="J89" s="476"/>
      <c r="K89" s="1694">
        <f t="shared" si="12"/>
        <v>0</v>
      </c>
      <c r="L89" s="528">
        <v>0</v>
      </c>
    </row>
    <row r="90" spans="1:12" ht="12.75" customHeight="1" thickTop="1" thickBot="1" x14ac:dyDescent="0.25">
      <c r="A90" s="1530" t="s">
        <v>710</v>
      </c>
      <c r="B90" s="638">
        <v>4280</v>
      </c>
      <c r="C90" s="615"/>
      <c r="D90" s="615"/>
      <c r="E90" s="637"/>
      <c r="F90" s="615"/>
      <c r="G90" s="615"/>
      <c r="H90" s="467">
        <v>0</v>
      </c>
      <c r="I90" s="476"/>
      <c r="J90" s="476"/>
      <c r="K90" s="1694">
        <f t="shared" si="12"/>
        <v>0</v>
      </c>
      <c r="L90" s="528">
        <v>0</v>
      </c>
    </row>
    <row r="91" spans="1:12" ht="12.75" customHeight="1" thickTop="1" thickBot="1" x14ac:dyDescent="0.25">
      <c r="A91" s="1530" t="s">
        <v>711</v>
      </c>
      <c r="B91" s="638">
        <v>4290</v>
      </c>
      <c r="C91" s="615"/>
      <c r="D91" s="615"/>
      <c r="E91" s="637"/>
      <c r="F91" s="615"/>
      <c r="G91" s="615"/>
      <c r="H91" s="467">
        <v>0</v>
      </c>
      <c r="I91" s="476"/>
      <c r="J91" s="476"/>
      <c r="K91" s="1694">
        <f t="shared" si="12"/>
        <v>0</v>
      </c>
      <c r="L91" s="528">
        <v>0</v>
      </c>
    </row>
    <row r="92" spans="1:12" ht="14.25" thickTop="1" thickBot="1" x14ac:dyDescent="0.25">
      <c r="A92" s="1697" t="s">
        <v>1639</v>
      </c>
      <c r="B92" s="1695">
        <v>4200</v>
      </c>
      <c r="C92" s="615"/>
      <c r="D92" s="615"/>
      <c r="E92" s="637"/>
      <c r="F92" s="615"/>
      <c r="G92" s="615"/>
      <c r="H92" s="1687">
        <f>SUM(H85:H91)</f>
        <v>1770585</v>
      </c>
      <c r="I92" s="476"/>
      <c r="J92" s="476"/>
      <c r="K92" s="1694">
        <f t="shared" si="12"/>
        <v>1770585</v>
      </c>
      <c r="L92" s="1687">
        <f>SUM(L85:L91)</f>
        <v>1838500</v>
      </c>
    </row>
    <row r="93" spans="1:12" ht="14.25" thickTop="1" thickBot="1" x14ac:dyDescent="0.25">
      <c r="A93" s="1529" t="s">
        <v>712</v>
      </c>
      <c r="B93" s="639">
        <v>4310</v>
      </c>
      <c r="C93" s="615"/>
      <c r="D93" s="615"/>
      <c r="E93" s="637"/>
      <c r="F93" s="615"/>
      <c r="G93" s="615"/>
      <c r="H93" s="640">
        <v>0</v>
      </c>
      <c r="I93" s="476"/>
      <c r="J93" s="476"/>
      <c r="K93" s="1694">
        <f t="shared" si="12"/>
        <v>0</v>
      </c>
      <c r="L93" s="530">
        <v>0</v>
      </c>
    </row>
    <row r="94" spans="1:12" ht="12.75" customHeight="1" thickTop="1" thickBot="1" x14ac:dyDescent="0.25">
      <c r="A94" s="1530" t="s">
        <v>713</v>
      </c>
      <c r="B94" s="638">
        <v>4320</v>
      </c>
      <c r="C94" s="615"/>
      <c r="D94" s="615"/>
      <c r="E94" s="637"/>
      <c r="F94" s="615"/>
      <c r="G94" s="615"/>
      <c r="H94" s="467">
        <v>0</v>
      </c>
      <c r="I94" s="476"/>
      <c r="J94" s="476"/>
      <c r="K94" s="1694">
        <f t="shared" si="12"/>
        <v>0</v>
      </c>
      <c r="L94" s="528">
        <v>0</v>
      </c>
    </row>
    <row r="95" spans="1:12" ht="15" customHeight="1" thickTop="1" thickBot="1" x14ac:dyDescent="0.25">
      <c r="A95" s="1530" t="s">
        <v>1568</v>
      </c>
      <c r="B95" s="638">
        <v>4330</v>
      </c>
      <c r="C95" s="615"/>
      <c r="D95" s="615"/>
      <c r="E95" s="637"/>
      <c r="F95" s="615"/>
      <c r="G95" s="615"/>
      <c r="H95" s="467">
        <v>0</v>
      </c>
      <c r="I95" s="476"/>
      <c r="J95" s="476"/>
      <c r="K95" s="1694">
        <f t="shared" si="12"/>
        <v>0</v>
      </c>
      <c r="L95" s="528">
        <v>0</v>
      </c>
    </row>
    <row r="96" spans="1:12" ht="14.25" thickTop="1" thickBot="1" x14ac:dyDescent="0.25">
      <c r="A96" s="1530" t="s">
        <v>714</v>
      </c>
      <c r="B96" s="638">
        <v>4340</v>
      </c>
      <c r="C96" s="615"/>
      <c r="D96" s="615"/>
      <c r="E96" s="637"/>
      <c r="F96" s="615"/>
      <c r="G96" s="615"/>
      <c r="H96" s="467">
        <v>4994</v>
      </c>
      <c r="I96" s="476"/>
      <c r="J96" s="476"/>
      <c r="K96" s="1694">
        <f t="shared" si="12"/>
        <v>4994</v>
      </c>
      <c r="L96" s="528">
        <v>0</v>
      </c>
    </row>
    <row r="97" spans="1:14" ht="12.75" customHeight="1" thickTop="1" thickBot="1" x14ac:dyDescent="0.25">
      <c r="A97" s="1530" t="s">
        <v>787</v>
      </c>
      <c r="B97" s="638">
        <v>4370</v>
      </c>
      <c r="C97" s="615"/>
      <c r="D97" s="615"/>
      <c r="E97" s="637"/>
      <c r="F97" s="615"/>
      <c r="G97" s="615"/>
      <c r="H97" s="467">
        <v>0</v>
      </c>
      <c r="I97" s="476"/>
      <c r="J97" s="476"/>
      <c r="K97" s="1694">
        <f t="shared" si="12"/>
        <v>0</v>
      </c>
      <c r="L97" s="528">
        <v>0</v>
      </c>
    </row>
    <row r="98" spans="1:14" ht="14.25" thickTop="1" thickBot="1" x14ac:dyDescent="0.25">
      <c r="A98" s="1530" t="s">
        <v>788</v>
      </c>
      <c r="B98" s="638">
        <v>4380</v>
      </c>
      <c r="C98" s="615"/>
      <c r="D98" s="615"/>
      <c r="E98" s="641"/>
      <c r="F98" s="615"/>
      <c r="G98" s="615"/>
      <c r="H98" s="467">
        <v>0</v>
      </c>
      <c r="I98" s="476"/>
      <c r="J98" s="476"/>
      <c r="K98" s="1694">
        <f t="shared" si="12"/>
        <v>0</v>
      </c>
      <c r="L98" s="528">
        <v>0</v>
      </c>
    </row>
    <row r="99" spans="1:14" ht="14.25" thickTop="1" thickBot="1" x14ac:dyDescent="0.25">
      <c r="A99" s="1530" t="s">
        <v>385</v>
      </c>
      <c r="B99" s="638">
        <v>4390</v>
      </c>
      <c r="C99" s="615"/>
      <c r="D99" s="615"/>
      <c r="E99" s="530">
        <v>0</v>
      </c>
      <c r="F99" s="615"/>
      <c r="G99" s="615"/>
      <c r="H99" s="467">
        <v>0</v>
      </c>
      <c r="I99" s="476"/>
      <c r="J99" s="476"/>
      <c r="K99" s="1694">
        <f>SUM(E99,H99)</f>
        <v>0</v>
      </c>
      <c r="L99" s="528">
        <v>0</v>
      </c>
    </row>
    <row r="100" spans="1:14" ht="14.25" thickTop="1" thickBot="1" x14ac:dyDescent="0.25">
      <c r="A100" s="1697" t="s">
        <v>1566</v>
      </c>
      <c r="B100" s="1698">
        <v>4300</v>
      </c>
      <c r="C100" s="615"/>
      <c r="D100" s="615"/>
      <c r="E100" s="1694">
        <f>SUM(E93:E99)</f>
        <v>0</v>
      </c>
      <c r="F100" s="615"/>
      <c r="G100" s="615"/>
      <c r="H100" s="1694">
        <f>SUM(H93:H99)</f>
        <v>4994</v>
      </c>
      <c r="I100" s="476"/>
      <c r="J100" s="476"/>
      <c r="K100" s="1694">
        <f>SUM(K93:K99)</f>
        <v>4994</v>
      </c>
      <c r="L100" s="1694">
        <f>SUM(L93:L99)</f>
        <v>0</v>
      </c>
    </row>
    <row r="101" spans="1:14" ht="12.75" customHeight="1" thickTop="1" thickBot="1" x14ac:dyDescent="0.25">
      <c r="A101" s="1527" t="s">
        <v>1569</v>
      </c>
      <c r="B101" s="642" t="s">
        <v>988</v>
      </c>
      <c r="C101" s="615"/>
      <c r="D101" s="615"/>
      <c r="E101" s="529">
        <v>0</v>
      </c>
      <c r="F101" s="615"/>
      <c r="G101" s="615"/>
      <c r="H101" s="529">
        <v>0</v>
      </c>
      <c r="I101" s="476"/>
      <c r="J101" s="476"/>
      <c r="K101" s="1696">
        <f>SUM(C101:J101)</f>
        <v>0</v>
      </c>
      <c r="L101" s="528">
        <v>0</v>
      </c>
    </row>
    <row r="102" spans="1:14" ht="12.75" customHeight="1" thickTop="1" thickBot="1" x14ac:dyDescent="0.25">
      <c r="A102" s="1685" t="s">
        <v>1567</v>
      </c>
      <c r="B102" s="1695">
        <v>4000</v>
      </c>
      <c r="C102" s="615"/>
      <c r="D102" s="615"/>
      <c r="E102" s="1694">
        <f>SUM(E84,E92,E100,E101)</f>
        <v>10913</v>
      </c>
      <c r="F102" s="615"/>
      <c r="G102" s="615"/>
      <c r="H102" s="1694">
        <f>SUM(H84,H92,H100,H101)</f>
        <v>1781358</v>
      </c>
      <c r="I102" s="476"/>
      <c r="J102" s="476"/>
      <c r="K102" s="1694">
        <f>SUM(K84,K92,K100,K101)</f>
        <v>1792271</v>
      </c>
      <c r="L102" s="1694">
        <f>SUM(L84,L92,L100,L101)</f>
        <v>1856806</v>
      </c>
    </row>
    <row r="103" spans="1:14" s="632" customFormat="1" ht="15.75" customHeight="1" thickTop="1" x14ac:dyDescent="0.2">
      <c r="A103" s="1629" t="s">
        <v>534</v>
      </c>
      <c r="B103" s="1626"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1" t="s">
        <v>89</v>
      </c>
      <c r="B105" s="613">
        <v>5110</v>
      </c>
      <c r="C105" s="615"/>
      <c r="D105" s="615"/>
      <c r="E105" s="615"/>
      <c r="F105" s="615"/>
      <c r="G105" s="615"/>
      <c r="H105" s="480">
        <v>0</v>
      </c>
      <c r="I105" s="468"/>
      <c r="J105" s="468"/>
      <c r="K105" s="1688">
        <f>H105</f>
        <v>0</v>
      </c>
      <c r="L105" s="480">
        <v>0</v>
      </c>
      <c r="M105" s="210"/>
      <c r="N105" s="210"/>
    </row>
    <row r="106" spans="1:14" s="596" customFormat="1" x14ac:dyDescent="0.2">
      <c r="A106" s="1521" t="s">
        <v>90</v>
      </c>
      <c r="B106" s="613">
        <v>5120</v>
      </c>
      <c r="C106" s="615"/>
      <c r="D106" s="615"/>
      <c r="E106" s="615"/>
      <c r="F106" s="615"/>
      <c r="G106" s="615"/>
      <c r="H106" s="466">
        <v>0</v>
      </c>
      <c r="I106" s="468"/>
      <c r="J106" s="468"/>
      <c r="K106" s="1688">
        <f>H106</f>
        <v>0</v>
      </c>
      <c r="L106" s="466">
        <v>0</v>
      </c>
      <c r="M106" s="210"/>
      <c r="N106" s="210"/>
    </row>
    <row r="107" spans="1:14" s="596" customFormat="1" ht="12.75" customHeight="1" x14ac:dyDescent="0.2">
      <c r="A107" s="1521" t="s">
        <v>1232</v>
      </c>
      <c r="B107" s="613">
        <v>5130</v>
      </c>
      <c r="C107" s="615"/>
      <c r="D107" s="615"/>
      <c r="E107" s="615"/>
      <c r="F107" s="615"/>
      <c r="G107" s="615"/>
      <c r="H107" s="466">
        <v>0</v>
      </c>
      <c r="I107" s="468"/>
      <c r="J107" s="468"/>
      <c r="K107" s="1688">
        <f>H107</f>
        <v>0</v>
      </c>
      <c r="L107" s="466">
        <v>0</v>
      </c>
      <c r="M107" s="210"/>
      <c r="N107" s="210"/>
    </row>
    <row r="108" spans="1:14" s="596" customFormat="1" x14ac:dyDescent="0.2">
      <c r="A108" s="1521" t="s">
        <v>91</v>
      </c>
      <c r="B108" s="613" t="s">
        <v>610</v>
      </c>
      <c r="C108" s="615"/>
      <c r="D108" s="615"/>
      <c r="E108" s="615"/>
      <c r="F108" s="615"/>
      <c r="G108" s="615"/>
      <c r="H108" s="466">
        <v>0</v>
      </c>
      <c r="I108" s="468"/>
      <c r="J108" s="468"/>
      <c r="K108" s="1688">
        <f>H108</f>
        <v>0</v>
      </c>
      <c r="L108" s="466">
        <v>0</v>
      </c>
      <c r="M108" s="210"/>
      <c r="N108" s="210"/>
    </row>
    <row r="109" spans="1:14" s="596" customFormat="1" x14ac:dyDescent="0.2">
      <c r="A109" s="1521" t="s">
        <v>272</v>
      </c>
      <c r="B109" s="627">
        <v>5150</v>
      </c>
      <c r="C109" s="615"/>
      <c r="D109" s="615"/>
      <c r="E109" s="615"/>
      <c r="F109" s="615"/>
      <c r="G109" s="615"/>
      <c r="H109" s="466">
        <v>0</v>
      </c>
      <c r="I109" s="468"/>
      <c r="J109" s="468"/>
      <c r="K109" s="1688">
        <f>H109</f>
        <v>0</v>
      </c>
      <c r="L109" s="466">
        <v>0</v>
      </c>
      <c r="M109" s="210"/>
      <c r="N109" s="210"/>
    </row>
    <row r="110" spans="1:14" s="596" customFormat="1" ht="12.75" customHeight="1" thickBot="1" x14ac:dyDescent="0.25">
      <c r="A110" s="1685" t="s">
        <v>1164</v>
      </c>
      <c r="B110" s="1692" t="s">
        <v>742</v>
      </c>
      <c r="C110" s="615"/>
      <c r="D110" s="615"/>
      <c r="E110" s="615"/>
      <c r="F110" s="615"/>
      <c r="G110" s="615"/>
      <c r="H110" s="1687">
        <f>SUM(H105:H109)</f>
        <v>0</v>
      </c>
      <c r="I110" s="468"/>
      <c r="J110" s="468"/>
      <c r="K110" s="1687">
        <f>SUM(K105:K109)</f>
        <v>0</v>
      </c>
      <c r="L110" s="1687">
        <f>SUM(L105:L109)</f>
        <v>0</v>
      </c>
      <c r="M110" s="210"/>
      <c r="N110" s="210"/>
    </row>
    <row r="111" spans="1:14" s="596" customFormat="1" ht="12.75" customHeight="1" thickTop="1" thickBot="1" x14ac:dyDescent="0.25">
      <c r="A111" s="1531" t="s">
        <v>386</v>
      </c>
      <c r="B111" s="646" t="s">
        <v>38</v>
      </c>
      <c r="C111" s="615"/>
      <c r="D111" s="615"/>
      <c r="E111" s="615"/>
      <c r="F111" s="615"/>
      <c r="G111" s="615"/>
      <c r="H111" s="533">
        <v>0</v>
      </c>
      <c r="I111" s="468"/>
      <c r="J111" s="468"/>
      <c r="K111" s="1700">
        <f>H111</f>
        <v>0</v>
      </c>
      <c r="L111" s="530">
        <v>0</v>
      </c>
      <c r="M111" s="210"/>
      <c r="N111" s="210"/>
    </row>
    <row r="112" spans="1:14" s="596" customFormat="1" ht="12.75" customHeight="1" thickTop="1" thickBot="1" x14ac:dyDescent="0.25">
      <c r="A112" s="1685" t="s">
        <v>659</v>
      </c>
      <c r="B112" s="1686" t="s">
        <v>513</v>
      </c>
      <c r="C112" s="615"/>
      <c r="D112" s="615"/>
      <c r="E112" s="615"/>
      <c r="F112" s="615"/>
      <c r="G112" s="615"/>
      <c r="H112" s="1687">
        <f>SUM(H110:H111)</f>
        <v>0</v>
      </c>
      <c r="I112" s="468"/>
      <c r="J112" s="468"/>
      <c r="K112" s="1687">
        <f>SUM(K110:K111)</f>
        <v>0</v>
      </c>
      <c r="L112" s="1694">
        <f>SUM(L110,L111)</f>
        <v>0</v>
      </c>
      <c r="M112" s="210"/>
      <c r="N112" s="210"/>
    </row>
    <row r="113" spans="1:14" s="259" customFormat="1" ht="15.75" customHeight="1" thickTop="1" thickBot="1" x14ac:dyDescent="0.25">
      <c r="A113" s="1623" t="s">
        <v>535</v>
      </c>
      <c r="B113" s="1630" t="s">
        <v>916</v>
      </c>
      <c r="C113" s="622"/>
      <c r="D113" s="622"/>
      <c r="E113" s="615"/>
      <c r="F113" s="615"/>
      <c r="G113" s="615"/>
      <c r="H113" s="622"/>
      <c r="I113" s="468"/>
      <c r="J113" s="468"/>
      <c r="K113" s="622"/>
      <c r="L113" s="529">
        <v>50000</v>
      </c>
      <c r="M113" s="612"/>
      <c r="N113" s="612"/>
    </row>
    <row r="114" spans="1:14" ht="12.75" customHeight="1" thickTop="1" thickBot="1" x14ac:dyDescent="0.25">
      <c r="A114" s="1685" t="s">
        <v>50</v>
      </c>
      <c r="B114" s="1699"/>
      <c r="C114" s="1687">
        <f>SUM(C33,C74,C75,C102,C112,C113)</f>
        <v>8813021</v>
      </c>
      <c r="D114" s="1687">
        <f t="shared" ref="D114:K114" si="13">SUM(D33,D74,D75,D102,D112,D113)</f>
        <v>1134960</v>
      </c>
      <c r="E114" s="1687">
        <f t="shared" si="13"/>
        <v>1345673</v>
      </c>
      <c r="F114" s="1687">
        <f t="shared" si="13"/>
        <v>1160382</v>
      </c>
      <c r="G114" s="1687">
        <f t="shared" si="13"/>
        <v>293849</v>
      </c>
      <c r="H114" s="1687">
        <f>SUM(H33,H74,H75,H102,H112,H113)</f>
        <v>2073910</v>
      </c>
      <c r="I114" s="1687">
        <f t="shared" si="13"/>
        <v>0</v>
      </c>
      <c r="J114" s="1687">
        <f t="shared" si="13"/>
        <v>0</v>
      </c>
      <c r="K114" s="1687">
        <f t="shared" si="13"/>
        <v>14821795</v>
      </c>
      <c r="L114" s="1687">
        <f>SUM(L33,L74,L75,L102,L112,L113)</f>
        <v>15834309</v>
      </c>
    </row>
    <row r="115" spans="1:14" ht="13.5" thickTop="1" x14ac:dyDescent="0.2">
      <c r="A115" s="2279" t="s">
        <v>1053</v>
      </c>
      <c r="B115" s="2280"/>
      <c r="C115" s="617"/>
      <c r="D115" s="617"/>
      <c r="E115" s="617"/>
      <c r="F115" s="617"/>
      <c r="G115" s="617"/>
      <c r="H115" s="617"/>
      <c r="I115" s="617"/>
      <c r="J115" s="617"/>
      <c r="K115" s="1701">
        <f>'Revenues 9-14'!C275-'Expenditures 15-22'!K114</f>
        <v>491749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84" t="s">
        <v>314</v>
      </c>
      <c r="B117" s="2285"/>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5" t="s">
        <v>167</v>
      </c>
      <c r="B120" s="627">
        <v>2190</v>
      </c>
      <c r="C120" s="466">
        <v>0</v>
      </c>
      <c r="D120" s="466">
        <v>0</v>
      </c>
      <c r="E120" s="466">
        <v>0</v>
      </c>
      <c r="F120" s="466">
        <v>0</v>
      </c>
      <c r="G120" s="466">
        <v>0</v>
      </c>
      <c r="H120" s="466">
        <v>0</v>
      </c>
      <c r="I120" s="467">
        <v>0</v>
      </c>
      <c r="J120" s="467">
        <v>0</v>
      </c>
      <c r="K120" s="1688">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1" t="s">
        <v>1128</v>
      </c>
      <c r="B122" s="613">
        <v>2510</v>
      </c>
      <c r="C122" s="466">
        <v>0</v>
      </c>
      <c r="D122" s="466">
        <v>0</v>
      </c>
      <c r="E122" s="466">
        <v>0</v>
      </c>
      <c r="F122" s="466">
        <v>0</v>
      </c>
      <c r="G122" s="466">
        <v>0</v>
      </c>
      <c r="H122" s="466">
        <v>0</v>
      </c>
      <c r="I122" s="467">
        <v>0</v>
      </c>
      <c r="J122" s="467">
        <v>0</v>
      </c>
      <c r="K122" s="1687">
        <f>SUM(C122:J122)</f>
        <v>0</v>
      </c>
      <c r="L122" s="466">
        <v>0</v>
      </c>
    </row>
    <row r="123" spans="1:14" ht="14.25" thickTop="1" thickBot="1" x14ac:dyDescent="0.25">
      <c r="A123" s="1521" t="s">
        <v>4</v>
      </c>
      <c r="B123" s="613">
        <v>2530</v>
      </c>
      <c r="C123" s="466">
        <v>0</v>
      </c>
      <c r="D123" s="466">
        <v>0</v>
      </c>
      <c r="E123" s="466">
        <v>318</v>
      </c>
      <c r="F123" s="466">
        <v>0</v>
      </c>
      <c r="G123" s="466">
        <v>0</v>
      </c>
      <c r="H123" s="466">
        <v>0</v>
      </c>
      <c r="I123" s="467">
        <v>0</v>
      </c>
      <c r="J123" s="467">
        <v>0</v>
      </c>
      <c r="K123" s="1687">
        <f>SUM(C123:J123)</f>
        <v>318</v>
      </c>
      <c r="L123" s="466">
        <v>320</v>
      </c>
    </row>
    <row r="124" spans="1:14" ht="14.25" thickTop="1" thickBot="1" x14ac:dyDescent="0.25">
      <c r="A124" s="1521" t="s">
        <v>206</v>
      </c>
      <c r="B124" s="613">
        <v>2540</v>
      </c>
      <c r="C124" s="466">
        <v>499286</v>
      </c>
      <c r="D124" s="466">
        <v>70241</v>
      </c>
      <c r="E124" s="466">
        <v>401664</v>
      </c>
      <c r="F124" s="466">
        <v>404891</v>
      </c>
      <c r="G124" s="466">
        <v>484891</v>
      </c>
      <c r="H124" s="466">
        <v>0</v>
      </c>
      <c r="I124" s="467">
        <v>0</v>
      </c>
      <c r="J124" s="467">
        <v>0</v>
      </c>
      <c r="K124" s="1687">
        <f>SUM(C124:J124)</f>
        <v>1860973</v>
      </c>
      <c r="L124" s="466">
        <v>1847362</v>
      </c>
    </row>
    <row r="125" spans="1:14" ht="14.25" thickTop="1" thickBot="1" x14ac:dyDescent="0.25">
      <c r="A125" s="1521" t="s">
        <v>1010</v>
      </c>
      <c r="B125" s="613">
        <v>2550</v>
      </c>
      <c r="C125" s="466">
        <v>0</v>
      </c>
      <c r="D125" s="466">
        <v>0</v>
      </c>
      <c r="E125" s="466">
        <v>0</v>
      </c>
      <c r="F125" s="466">
        <v>0</v>
      </c>
      <c r="G125" s="466">
        <v>0</v>
      </c>
      <c r="H125" s="466">
        <v>0</v>
      </c>
      <c r="I125" s="467">
        <v>0</v>
      </c>
      <c r="J125" s="467">
        <v>0</v>
      </c>
      <c r="K125" s="1687">
        <f>SUM(C125:J125)</f>
        <v>0</v>
      </c>
      <c r="L125" s="466">
        <v>0</v>
      </c>
    </row>
    <row r="126" spans="1:14" ht="14.25" thickTop="1" thickBot="1" x14ac:dyDescent="0.25">
      <c r="A126" s="1521" t="s">
        <v>102</v>
      </c>
      <c r="B126" s="613">
        <v>2560</v>
      </c>
      <c r="C126" s="653"/>
      <c r="D126" s="653"/>
      <c r="E126" s="653"/>
      <c r="F126" s="653"/>
      <c r="G126" s="466">
        <v>0</v>
      </c>
      <c r="H126" s="653"/>
      <c r="I126" s="474">
        <v>0</v>
      </c>
      <c r="J126" s="615"/>
      <c r="K126" s="1687">
        <f>SUM(C126:J126)</f>
        <v>0</v>
      </c>
      <c r="L126" s="466">
        <v>0</v>
      </c>
    </row>
    <row r="127" spans="1:14" ht="12.75" customHeight="1" thickTop="1" thickBot="1" x14ac:dyDescent="0.25">
      <c r="A127" s="1685" t="s">
        <v>743</v>
      </c>
      <c r="B127" s="1686" t="s">
        <v>35</v>
      </c>
      <c r="C127" s="1687">
        <f>SUM(C122:C126)</f>
        <v>499286</v>
      </c>
      <c r="D127" s="1687">
        <f t="shared" ref="D127:L127" si="14">SUM(D122:D126)</f>
        <v>70241</v>
      </c>
      <c r="E127" s="1687">
        <f t="shared" si="14"/>
        <v>401982</v>
      </c>
      <c r="F127" s="1687">
        <f t="shared" si="14"/>
        <v>404891</v>
      </c>
      <c r="G127" s="1687">
        <f t="shared" si="14"/>
        <v>484891</v>
      </c>
      <c r="H127" s="1687">
        <f t="shared" si="14"/>
        <v>0</v>
      </c>
      <c r="I127" s="1687">
        <f t="shared" si="14"/>
        <v>0</v>
      </c>
      <c r="J127" s="1687">
        <f t="shared" si="14"/>
        <v>0</v>
      </c>
      <c r="K127" s="1687">
        <f t="shared" si="14"/>
        <v>1861291</v>
      </c>
      <c r="L127" s="1687">
        <f t="shared" si="14"/>
        <v>1847682</v>
      </c>
    </row>
    <row r="128" spans="1:14" ht="12.75" customHeight="1" thickTop="1" x14ac:dyDescent="0.2">
      <c r="A128" s="1528" t="s">
        <v>1037</v>
      </c>
      <c r="B128" s="654" t="s">
        <v>595</v>
      </c>
      <c r="C128" s="655">
        <v>0</v>
      </c>
      <c r="D128" s="655">
        <v>0</v>
      </c>
      <c r="E128" s="655">
        <v>0</v>
      </c>
      <c r="F128" s="655">
        <v>0</v>
      </c>
      <c r="G128" s="655">
        <v>0</v>
      </c>
      <c r="H128" s="655">
        <v>0</v>
      </c>
      <c r="I128" s="533">
        <v>0</v>
      </c>
      <c r="J128" s="533">
        <v>0</v>
      </c>
      <c r="K128" s="1702">
        <f>SUM(C128:J128)</f>
        <v>0</v>
      </c>
      <c r="L128" s="655">
        <v>0</v>
      </c>
    </row>
    <row r="129" spans="1:14" ht="12.75" customHeight="1" thickBot="1" x14ac:dyDescent="0.25">
      <c r="A129" s="1703" t="s">
        <v>865</v>
      </c>
      <c r="B129" s="1704" t="s">
        <v>590</v>
      </c>
      <c r="C129" s="1694">
        <f>SUM(C120,C127,C128)</f>
        <v>499286</v>
      </c>
      <c r="D129" s="1694">
        <f t="shared" ref="D129:L129" si="15">SUM(D120,D127,D128)</f>
        <v>70241</v>
      </c>
      <c r="E129" s="1694">
        <f t="shared" si="15"/>
        <v>401982</v>
      </c>
      <c r="F129" s="1694">
        <f t="shared" si="15"/>
        <v>404891</v>
      </c>
      <c r="G129" s="1694">
        <f t="shared" si="15"/>
        <v>484891</v>
      </c>
      <c r="H129" s="1694">
        <f t="shared" si="15"/>
        <v>0</v>
      </c>
      <c r="I129" s="1694">
        <f t="shared" si="15"/>
        <v>0</v>
      </c>
      <c r="J129" s="1694">
        <f t="shared" si="15"/>
        <v>0</v>
      </c>
      <c r="K129" s="1694">
        <f t="shared" si="15"/>
        <v>1861291</v>
      </c>
      <c r="L129" s="1694">
        <f t="shared" si="15"/>
        <v>1847682</v>
      </c>
    </row>
    <row r="130" spans="1:14" ht="15.75" customHeight="1" thickTop="1" thickBot="1" x14ac:dyDescent="0.25">
      <c r="A130" s="1627" t="s">
        <v>1096</v>
      </c>
      <c r="B130" s="1628" t="s">
        <v>596</v>
      </c>
      <c r="C130" s="574">
        <v>0</v>
      </c>
      <c r="D130" s="574">
        <v>0</v>
      </c>
      <c r="E130" s="574">
        <v>0</v>
      </c>
      <c r="F130" s="574">
        <v>0</v>
      </c>
      <c r="G130" s="574">
        <v>0</v>
      </c>
      <c r="H130" s="574">
        <v>0</v>
      </c>
      <c r="I130" s="529">
        <v>0</v>
      </c>
      <c r="J130" s="529">
        <v>0</v>
      </c>
      <c r="K130" s="1687">
        <f>SUM(C130:J130)</f>
        <v>0</v>
      </c>
      <c r="L130" s="574">
        <v>0</v>
      </c>
    </row>
    <row r="131" spans="1:14" ht="15.75" customHeight="1" thickTop="1" x14ac:dyDescent="0.2">
      <c r="A131" s="1633" t="s">
        <v>637</v>
      </c>
      <c r="B131" s="1626"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7" t="s">
        <v>517</v>
      </c>
      <c r="B133" s="1859" t="s">
        <v>1952</v>
      </c>
      <c r="C133" s="468"/>
      <c r="D133" s="468"/>
      <c r="E133" s="640">
        <v>0</v>
      </c>
      <c r="F133" s="468"/>
      <c r="G133" s="468"/>
      <c r="H133" s="640">
        <v>0</v>
      </c>
      <c r="I133" s="468"/>
      <c r="J133" s="468"/>
      <c r="K133" s="1839">
        <f>SUM(E133,H133)</f>
        <v>0</v>
      </c>
      <c r="L133" s="640">
        <v>0</v>
      </c>
      <c r="M133" s="206"/>
      <c r="N133" s="206"/>
    </row>
    <row r="134" spans="1:14" x14ac:dyDescent="0.2">
      <c r="A134" s="1521" t="s">
        <v>322</v>
      </c>
      <c r="B134" s="613">
        <v>4120</v>
      </c>
      <c r="C134" s="615"/>
      <c r="D134" s="615"/>
      <c r="E134" s="477">
        <v>0</v>
      </c>
      <c r="F134" s="615"/>
      <c r="G134" s="615"/>
      <c r="H134" s="480">
        <v>0</v>
      </c>
      <c r="I134" s="476"/>
      <c r="J134" s="615"/>
      <c r="K134" s="1689">
        <f>SUM(E134,H134)</f>
        <v>0</v>
      </c>
      <c r="L134" s="640">
        <v>0</v>
      </c>
    </row>
    <row r="135" spans="1:14" x14ac:dyDescent="0.2">
      <c r="A135" s="1521" t="s">
        <v>721</v>
      </c>
      <c r="B135" s="613">
        <v>4140</v>
      </c>
      <c r="C135" s="615"/>
      <c r="D135" s="615"/>
      <c r="E135" s="467">
        <v>0</v>
      </c>
      <c r="F135" s="615"/>
      <c r="G135" s="615"/>
      <c r="H135" s="466">
        <v>0</v>
      </c>
      <c r="I135" s="476"/>
      <c r="J135" s="615"/>
      <c r="K135" s="1689">
        <f>SUM(E135,H135)</f>
        <v>0</v>
      </c>
      <c r="L135" s="466">
        <v>0</v>
      </c>
    </row>
    <row r="136" spans="1:14" x14ac:dyDescent="0.2">
      <c r="A136" s="1525" t="s">
        <v>722</v>
      </c>
      <c r="B136" s="627">
        <v>4190</v>
      </c>
      <c r="C136" s="615"/>
      <c r="D136" s="615"/>
      <c r="E136" s="467">
        <v>0</v>
      </c>
      <c r="F136" s="615"/>
      <c r="G136" s="615"/>
      <c r="H136" s="466">
        <v>0</v>
      </c>
      <c r="I136" s="476"/>
      <c r="J136" s="615"/>
      <c r="K136" s="1689">
        <f>SUM(E136,H136)</f>
        <v>0</v>
      </c>
      <c r="L136" s="466">
        <v>0</v>
      </c>
    </row>
    <row r="137" spans="1:14" ht="12.75" customHeight="1" thickBot="1" x14ac:dyDescent="0.25">
      <c r="A137" s="1685" t="s">
        <v>501</v>
      </c>
      <c r="B137" s="1695">
        <v>4100</v>
      </c>
      <c r="C137" s="615"/>
      <c r="D137" s="615"/>
      <c r="E137" s="1687">
        <f>SUM(E133:E136)</f>
        <v>0</v>
      </c>
      <c r="F137" s="615"/>
      <c r="G137" s="615"/>
      <c r="H137" s="1687">
        <f>SUM(H133:H136)</f>
        <v>0</v>
      </c>
      <c r="I137" s="476"/>
      <c r="J137" s="615"/>
      <c r="K137" s="1687">
        <f>SUM(K133:K136)</f>
        <v>0</v>
      </c>
      <c r="L137" s="1687">
        <f>SUM(L133:L136)</f>
        <v>0</v>
      </c>
    </row>
    <row r="138" spans="1:14" ht="12.75" customHeight="1" thickTop="1" thickBot="1" x14ac:dyDescent="0.25">
      <c r="A138" s="1527" t="s">
        <v>98</v>
      </c>
      <c r="B138" s="642" t="s">
        <v>988</v>
      </c>
      <c r="C138" s="615"/>
      <c r="D138" s="615"/>
      <c r="E138" s="478">
        <v>0</v>
      </c>
      <c r="F138" s="615"/>
      <c r="G138" s="615"/>
      <c r="H138" s="574">
        <v>0</v>
      </c>
      <c r="I138" s="476"/>
      <c r="J138" s="615"/>
      <c r="K138" s="1689">
        <f>SUM(E138,H138)</f>
        <v>0</v>
      </c>
      <c r="L138" s="574">
        <v>0</v>
      </c>
    </row>
    <row r="139" spans="1:14" ht="12.75" customHeight="1" thickTop="1" thickBot="1" x14ac:dyDescent="0.25">
      <c r="A139" s="1685" t="s">
        <v>1567</v>
      </c>
      <c r="B139" s="1695">
        <v>4000</v>
      </c>
      <c r="C139" s="615"/>
      <c r="D139" s="615"/>
      <c r="E139" s="1687">
        <f>SUM(E137,E138)</f>
        <v>0</v>
      </c>
      <c r="F139" s="615"/>
      <c r="G139" s="615"/>
      <c r="H139" s="1696">
        <f>SUM(H137:H138)</f>
        <v>0</v>
      </c>
      <c r="I139" s="476"/>
      <c r="J139" s="615"/>
      <c r="K139" s="1689">
        <f>SUM(K137,K138)</f>
        <v>0</v>
      </c>
      <c r="L139" s="1696">
        <f>SUM(L137,L138)</f>
        <v>0</v>
      </c>
    </row>
    <row r="140" spans="1:14" ht="15.75" customHeight="1" thickTop="1" x14ac:dyDescent="0.2">
      <c r="A140" s="1629" t="s">
        <v>1097</v>
      </c>
      <c r="B140" s="1630"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1" t="s">
        <v>89</v>
      </c>
      <c r="B142" s="613">
        <v>5110</v>
      </c>
      <c r="C142" s="615"/>
      <c r="D142" s="615"/>
      <c r="E142" s="615"/>
      <c r="F142" s="615"/>
      <c r="G142" s="615"/>
      <c r="H142" s="480">
        <v>0</v>
      </c>
      <c r="I142" s="468"/>
      <c r="J142" s="615"/>
      <c r="K142" s="1689">
        <f>SUM(H142)</f>
        <v>0</v>
      </c>
      <c r="L142" s="480">
        <v>0</v>
      </c>
    </row>
    <row r="143" spans="1:14" x14ac:dyDescent="0.2">
      <c r="A143" s="1521" t="s">
        <v>90</v>
      </c>
      <c r="B143" s="613">
        <v>5120</v>
      </c>
      <c r="C143" s="615"/>
      <c r="D143" s="615"/>
      <c r="E143" s="615"/>
      <c r="F143" s="615"/>
      <c r="G143" s="615"/>
      <c r="H143" s="466">
        <v>0</v>
      </c>
      <c r="I143" s="468"/>
      <c r="J143" s="615"/>
      <c r="K143" s="1689">
        <f>SUM(H143)</f>
        <v>0</v>
      </c>
      <c r="L143" s="466">
        <v>0</v>
      </c>
    </row>
    <row r="144" spans="1:14" ht="12.75" customHeight="1" x14ac:dyDescent="0.2">
      <c r="A144" s="1521" t="s">
        <v>1232</v>
      </c>
      <c r="B144" s="627" t="s">
        <v>638</v>
      </c>
      <c r="C144" s="615"/>
      <c r="D144" s="615"/>
      <c r="E144" s="615"/>
      <c r="F144" s="615"/>
      <c r="G144" s="615"/>
      <c r="H144" s="466">
        <v>0</v>
      </c>
      <c r="I144" s="468"/>
      <c r="J144" s="615"/>
      <c r="K144" s="1689">
        <f>SUM(H144)</f>
        <v>0</v>
      </c>
      <c r="L144" s="466">
        <v>0</v>
      </c>
    </row>
    <row r="145" spans="1:14" x14ac:dyDescent="0.2">
      <c r="A145" s="1521" t="s">
        <v>91</v>
      </c>
      <c r="B145" s="613" t="s">
        <v>610</v>
      </c>
      <c r="C145" s="615"/>
      <c r="D145" s="615"/>
      <c r="E145" s="615"/>
      <c r="F145" s="615"/>
      <c r="G145" s="615"/>
      <c r="H145" s="466">
        <v>0</v>
      </c>
      <c r="I145" s="468"/>
      <c r="J145" s="615"/>
      <c r="K145" s="1689">
        <f>SUM(H145)</f>
        <v>0</v>
      </c>
      <c r="L145" s="466">
        <v>0</v>
      </c>
    </row>
    <row r="146" spans="1:14" ht="12.75" customHeight="1" x14ac:dyDescent="0.2">
      <c r="A146" s="1521" t="s">
        <v>640</v>
      </c>
      <c r="B146" s="613" t="s">
        <v>639</v>
      </c>
      <c r="C146" s="615"/>
      <c r="D146" s="615"/>
      <c r="E146" s="615"/>
      <c r="F146" s="615"/>
      <c r="G146" s="615"/>
      <c r="H146" s="466">
        <v>0</v>
      </c>
      <c r="I146" s="468"/>
      <c r="J146" s="615"/>
      <c r="K146" s="1689">
        <f>SUM(H146)</f>
        <v>0</v>
      </c>
      <c r="L146" s="466">
        <v>0</v>
      </c>
    </row>
    <row r="147" spans="1:14" ht="12.75" customHeight="1" thickBot="1" x14ac:dyDescent="0.25">
      <c r="A147" s="1532" t="s">
        <v>647</v>
      </c>
      <c r="B147" s="658" t="s">
        <v>742</v>
      </c>
      <c r="C147" s="615"/>
      <c r="D147" s="615"/>
      <c r="E147" s="615"/>
      <c r="F147" s="615"/>
      <c r="G147" s="615"/>
      <c r="H147" s="1705">
        <f>SUM(H142:H146)</f>
        <v>0</v>
      </c>
      <c r="I147" s="468"/>
      <c r="J147" s="615"/>
      <c r="K147" s="1687">
        <f>SUM(K142:K146)</f>
        <v>0</v>
      </c>
      <c r="L147" s="1705">
        <f>SUM(L142:L146)</f>
        <v>0</v>
      </c>
    </row>
    <row r="148" spans="1:14" ht="15.75" customHeight="1" thickTop="1" x14ac:dyDescent="0.2">
      <c r="A148" s="659" t="s">
        <v>1165</v>
      </c>
      <c r="B148" s="660" t="s">
        <v>38</v>
      </c>
      <c r="C148" s="615"/>
      <c r="D148" s="615"/>
      <c r="E148" s="615"/>
      <c r="F148" s="615"/>
      <c r="G148" s="615"/>
      <c r="H148" s="478">
        <v>0</v>
      </c>
      <c r="I148" s="468"/>
      <c r="J148" s="615"/>
      <c r="K148" s="1689">
        <f>SUM(H148)</f>
        <v>0</v>
      </c>
      <c r="L148" s="490">
        <v>0</v>
      </c>
    </row>
    <row r="149" spans="1:14" ht="12.75" customHeight="1" thickBot="1" x14ac:dyDescent="0.25">
      <c r="A149" s="1524" t="s">
        <v>659</v>
      </c>
      <c r="B149" s="616" t="s">
        <v>513</v>
      </c>
      <c r="C149" s="615"/>
      <c r="D149" s="615"/>
      <c r="E149" s="615"/>
      <c r="F149" s="615"/>
      <c r="G149" s="615"/>
      <c r="H149" s="1687">
        <f>SUM(H147,H148)</f>
        <v>0</v>
      </c>
      <c r="I149" s="468"/>
      <c r="J149" s="615"/>
      <c r="K149" s="1687">
        <f>SUM(K147:K148)</f>
        <v>0</v>
      </c>
      <c r="L149" s="1687">
        <f>SUM(L142:L146,L148)</f>
        <v>0</v>
      </c>
    </row>
    <row r="150" spans="1:14" ht="15.75" customHeight="1" thickTop="1" thickBot="1" x14ac:dyDescent="0.25">
      <c r="A150" s="1623" t="s">
        <v>1098</v>
      </c>
      <c r="B150" s="1630" t="s">
        <v>916</v>
      </c>
      <c r="C150" s="615"/>
      <c r="D150" s="615"/>
      <c r="E150" s="615"/>
      <c r="F150" s="615"/>
      <c r="G150" s="615"/>
      <c r="H150" s="661"/>
      <c r="I150" s="519"/>
      <c r="J150" s="615"/>
      <c r="K150" s="622"/>
      <c r="L150" s="571">
        <v>200000</v>
      </c>
    </row>
    <row r="151" spans="1:14" ht="12.75" customHeight="1" thickTop="1" thickBot="1" x14ac:dyDescent="0.25">
      <c r="A151" s="2296" t="s">
        <v>641</v>
      </c>
      <c r="B151" s="2276"/>
      <c r="C151" s="1687">
        <f>SUM(C129,C130,C139,C149,C150)</f>
        <v>499286</v>
      </c>
      <c r="D151" s="1687">
        <f t="shared" ref="D151:K151" si="16">SUM(D129,D130,D139,D149,D150)</f>
        <v>70241</v>
      </c>
      <c r="E151" s="1687">
        <f t="shared" si="16"/>
        <v>401982</v>
      </c>
      <c r="F151" s="1687">
        <f t="shared" si="16"/>
        <v>404891</v>
      </c>
      <c r="G151" s="1687">
        <f t="shared" si="16"/>
        <v>484891</v>
      </c>
      <c r="H151" s="1687">
        <f t="shared" si="16"/>
        <v>0</v>
      </c>
      <c r="I151" s="1687">
        <f t="shared" si="16"/>
        <v>0</v>
      </c>
      <c r="J151" s="1687">
        <f t="shared" si="16"/>
        <v>0</v>
      </c>
      <c r="K151" s="1687">
        <f t="shared" si="16"/>
        <v>1861291</v>
      </c>
      <c r="L151" s="1687">
        <f>SUM(L129,L130,L139,L149,L150)</f>
        <v>2047682</v>
      </c>
    </row>
    <row r="152" spans="1:14" ht="12.75" customHeight="1" thickTop="1" x14ac:dyDescent="0.2">
      <c r="A152" s="2299" t="s">
        <v>1240</v>
      </c>
      <c r="B152" s="2300"/>
      <c r="C152" s="617"/>
      <c r="D152" s="617"/>
      <c r="E152" s="617"/>
      <c r="F152" s="617"/>
      <c r="G152" s="617"/>
      <c r="H152" s="617"/>
      <c r="I152" s="617"/>
      <c r="J152" s="615"/>
      <c r="K152" s="1701">
        <f>'Revenues 9-14'!D275-'Expenditures 15-22'!K151</f>
        <v>280040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84" t="s">
        <v>642</v>
      </c>
      <c r="B154" s="2286"/>
      <c r="C154" s="1643"/>
      <c r="D154" s="1644"/>
      <c r="E154" s="1644"/>
      <c r="F154" s="1644"/>
      <c r="G154" s="1644"/>
      <c r="H154" s="1644"/>
      <c r="I154" s="1644"/>
      <c r="J154" s="1644"/>
      <c r="K154" s="1644"/>
      <c r="L154" s="1645"/>
      <c r="M154" s="666"/>
      <c r="N154" s="666"/>
    </row>
    <row r="155" spans="1:14" s="619" customFormat="1" ht="15.75" customHeight="1" thickBot="1" x14ac:dyDescent="0.25">
      <c r="A155" s="1634" t="s">
        <v>83</v>
      </c>
      <c r="B155" s="1635" t="s">
        <v>915</v>
      </c>
      <c r="C155" s="615"/>
      <c r="D155" s="615"/>
      <c r="E155" s="615"/>
      <c r="F155" s="615"/>
      <c r="G155" s="615"/>
      <c r="H155" s="1860"/>
      <c r="I155" s="615"/>
      <c r="J155" s="615"/>
      <c r="K155" s="1843"/>
      <c r="L155" s="1860"/>
      <c r="M155" s="618"/>
      <c r="N155" s="618"/>
    </row>
    <row r="156" spans="1:14" s="619" customFormat="1" ht="15.75" customHeight="1" thickTop="1" x14ac:dyDescent="0.2">
      <c r="A156" s="1840" t="s">
        <v>1953</v>
      </c>
      <c r="B156" s="1841"/>
      <c r="C156" s="615"/>
      <c r="D156" s="615"/>
      <c r="E156" s="615"/>
      <c r="F156" s="615"/>
      <c r="G156" s="615"/>
      <c r="H156" s="1861"/>
      <c r="I156" s="615"/>
      <c r="J156" s="615"/>
      <c r="K156" s="1842"/>
      <c r="L156" s="1861"/>
      <c r="M156" s="618"/>
      <c r="N156" s="618"/>
    </row>
    <row r="157" spans="1:14" s="619" customFormat="1" ht="12" x14ac:dyDescent="0.2">
      <c r="A157" s="1844" t="s">
        <v>517</v>
      </c>
      <c r="B157" s="1845" t="s">
        <v>1952</v>
      </c>
      <c r="C157" s="615"/>
      <c r="D157" s="615"/>
      <c r="E157" s="615"/>
      <c r="F157" s="615"/>
      <c r="G157" s="615"/>
      <c r="H157" s="640">
        <v>0</v>
      </c>
      <c r="I157" s="615"/>
      <c r="J157" s="615"/>
      <c r="K157" s="1688">
        <f>H157</f>
        <v>0</v>
      </c>
      <c r="L157" s="640">
        <v>0</v>
      </c>
      <c r="M157" s="618"/>
      <c r="N157" s="618"/>
    </row>
    <row r="158" spans="1:14" s="619" customFormat="1" ht="12" x14ac:dyDescent="0.2">
      <c r="A158" s="1844" t="s">
        <v>322</v>
      </c>
      <c r="B158" s="1845" t="s">
        <v>1954</v>
      </c>
      <c r="C158" s="615"/>
      <c r="D158" s="615"/>
      <c r="E158" s="615"/>
      <c r="F158" s="615"/>
      <c r="G158" s="615"/>
      <c r="H158" s="467">
        <v>0</v>
      </c>
      <c r="I158" s="615"/>
      <c r="J158" s="615"/>
      <c r="K158" s="1688">
        <f>H158</f>
        <v>0</v>
      </c>
      <c r="L158" s="467">
        <v>0</v>
      </c>
      <c r="M158" s="618"/>
      <c r="N158" s="618"/>
    </row>
    <row r="159" spans="1:14" s="619" customFormat="1" ht="12" x14ac:dyDescent="0.2">
      <c r="A159" s="1844" t="s">
        <v>1955</v>
      </c>
      <c r="B159" s="1845" t="s">
        <v>579</v>
      </c>
      <c r="C159" s="615"/>
      <c r="D159" s="615"/>
      <c r="E159" s="615"/>
      <c r="F159" s="615"/>
      <c r="G159" s="615"/>
      <c r="H159" s="467">
        <v>0</v>
      </c>
      <c r="I159" s="615"/>
      <c r="J159" s="615"/>
      <c r="K159" s="1688">
        <f>H159</f>
        <v>0</v>
      </c>
      <c r="L159" s="467">
        <v>0</v>
      </c>
      <c r="M159" s="618"/>
      <c r="N159" s="618"/>
    </row>
    <row r="160" spans="1:14" s="619" customFormat="1" ht="15.75" customHeight="1" thickBot="1" x14ac:dyDescent="0.25">
      <c r="A160" s="1846" t="s">
        <v>1956</v>
      </c>
      <c r="B160" s="1847" t="s">
        <v>915</v>
      </c>
      <c r="C160" s="615"/>
      <c r="D160" s="615"/>
      <c r="E160" s="615"/>
      <c r="F160" s="615"/>
      <c r="G160" s="615"/>
      <c r="H160" s="1705">
        <f>SUM(H157:H159)</f>
        <v>0</v>
      </c>
      <c r="I160" s="615"/>
      <c r="J160" s="615"/>
      <c r="K160" s="1687">
        <f>SUM(K157:K159)</f>
        <v>0</v>
      </c>
      <c r="L160" s="1705">
        <f>SUM(L157:L159)</f>
        <v>0</v>
      </c>
      <c r="M160" s="618"/>
      <c r="N160" s="618"/>
    </row>
    <row r="161" spans="1:14" s="259" customFormat="1" ht="15.75" customHeight="1" thickTop="1" x14ac:dyDescent="0.2">
      <c r="A161" s="1629" t="s">
        <v>84</v>
      </c>
      <c r="B161" s="1630"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1" t="s">
        <v>89</v>
      </c>
      <c r="B163" s="613">
        <v>5110</v>
      </c>
      <c r="C163" s="615"/>
      <c r="D163" s="615"/>
      <c r="E163" s="615"/>
      <c r="F163" s="615"/>
      <c r="G163" s="615"/>
      <c r="H163" s="640">
        <v>0</v>
      </c>
      <c r="I163" s="615"/>
      <c r="J163" s="615"/>
      <c r="K163" s="1688">
        <f>SUM(C163:J163)</f>
        <v>0</v>
      </c>
      <c r="L163" s="640">
        <v>0</v>
      </c>
    </row>
    <row r="164" spans="1:14" x14ac:dyDescent="0.2">
      <c r="A164" s="1521" t="s">
        <v>90</v>
      </c>
      <c r="B164" s="613">
        <v>5120</v>
      </c>
      <c r="C164" s="615"/>
      <c r="D164" s="615"/>
      <c r="E164" s="615"/>
      <c r="F164" s="615"/>
      <c r="G164" s="615"/>
      <c r="H164" s="466">
        <v>0</v>
      </c>
      <c r="I164" s="615"/>
      <c r="J164" s="615"/>
      <c r="K164" s="1688">
        <f>SUM(C164:J164)</f>
        <v>0</v>
      </c>
      <c r="L164" s="466">
        <v>0</v>
      </c>
    </row>
    <row r="165" spans="1:14" ht="12.75" customHeight="1" x14ac:dyDescent="0.2">
      <c r="A165" s="1521" t="s">
        <v>1232</v>
      </c>
      <c r="B165" s="613" t="s">
        <v>638</v>
      </c>
      <c r="C165" s="615"/>
      <c r="D165" s="615"/>
      <c r="E165" s="615"/>
      <c r="F165" s="615"/>
      <c r="G165" s="615"/>
      <c r="H165" s="466">
        <v>0</v>
      </c>
      <c r="I165" s="615"/>
      <c r="J165" s="615"/>
      <c r="K165" s="1688">
        <f>SUM(C165:J165)</f>
        <v>0</v>
      </c>
      <c r="L165" s="466">
        <v>0</v>
      </c>
    </row>
    <row r="166" spans="1:14" x14ac:dyDescent="0.2">
      <c r="A166" s="1521" t="s">
        <v>91</v>
      </c>
      <c r="B166" s="627" t="s">
        <v>610</v>
      </c>
      <c r="C166" s="615"/>
      <c r="D166" s="615"/>
      <c r="E166" s="615"/>
      <c r="F166" s="615"/>
      <c r="G166" s="615"/>
      <c r="H166" s="466">
        <v>0</v>
      </c>
      <c r="I166" s="615"/>
      <c r="J166" s="615"/>
      <c r="K166" s="1688">
        <f>SUM(C166:J166)</f>
        <v>0</v>
      </c>
      <c r="L166" s="466">
        <v>0</v>
      </c>
    </row>
    <row r="167" spans="1:14" ht="12.75" customHeight="1" x14ac:dyDescent="0.2">
      <c r="A167" s="1521" t="s">
        <v>640</v>
      </c>
      <c r="B167" s="613" t="s">
        <v>639</v>
      </c>
      <c r="C167" s="615"/>
      <c r="D167" s="615"/>
      <c r="E167" s="615"/>
      <c r="F167" s="615"/>
      <c r="G167" s="615"/>
      <c r="H167" s="466">
        <v>0</v>
      </c>
      <c r="I167" s="615"/>
      <c r="J167" s="615"/>
      <c r="K167" s="1688">
        <f>SUM(C167:J167)</f>
        <v>0</v>
      </c>
      <c r="L167" s="466">
        <v>0</v>
      </c>
    </row>
    <row r="168" spans="1:14" ht="13.5" thickBot="1" x14ac:dyDescent="0.25">
      <c r="A168" s="1685" t="s">
        <v>294</v>
      </c>
      <c r="B168" s="1692" t="s">
        <v>742</v>
      </c>
      <c r="C168" s="615"/>
      <c r="D168" s="615"/>
      <c r="E168" s="615"/>
      <c r="F168" s="615"/>
      <c r="G168" s="615"/>
      <c r="H168" s="1687">
        <f>SUM(H163:H167)</f>
        <v>0</v>
      </c>
      <c r="I168" s="615"/>
      <c r="J168" s="615"/>
      <c r="K168" s="1687">
        <f>SUM(K163:K167)</f>
        <v>0</v>
      </c>
      <c r="L168" s="1687">
        <f>SUM(L163:L167)</f>
        <v>0</v>
      </c>
    </row>
    <row r="169" spans="1:14" ht="15.75" customHeight="1" thickTop="1" x14ac:dyDescent="0.2">
      <c r="A169" s="668" t="s">
        <v>85</v>
      </c>
      <c r="B169" s="669" t="s">
        <v>38</v>
      </c>
      <c r="C169" s="615"/>
      <c r="D169" s="615"/>
      <c r="E169" s="615"/>
      <c r="F169" s="615"/>
      <c r="G169" s="615"/>
      <c r="H169" s="655">
        <v>110650</v>
      </c>
      <c r="I169" s="615"/>
      <c r="J169" s="615"/>
      <c r="K169" s="1688">
        <f>SUM(C169:H169)</f>
        <v>110650</v>
      </c>
      <c r="L169" s="655">
        <v>110650</v>
      </c>
    </row>
    <row r="170" spans="1:14" ht="33.75" customHeight="1" x14ac:dyDescent="0.2">
      <c r="A170" s="668" t="s">
        <v>1767</v>
      </c>
      <c r="B170" s="670" t="s">
        <v>31</v>
      </c>
      <c r="C170" s="615"/>
      <c r="D170" s="615"/>
      <c r="E170" s="615"/>
      <c r="F170" s="615"/>
      <c r="G170" s="615"/>
      <c r="H170" s="567">
        <v>478000</v>
      </c>
      <c r="I170" s="615"/>
      <c r="J170" s="615"/>
      <c r="K170" s="1688">
        <f>SUM(C170:J170)</f>
        <v>478000</v>
      </c>
      <c r="L170" s="567">
        <v>528125</v>
      </c>
    </row>
    <row r="171" spans="1:14" ht="15.75" customHeight="1" x14ac:dyDescent="0.2">
      <c r="A171" s="620" t="s">
        <v>790</v>
      </c>
      <c r="B171" s="671" t="s">
        <v>86</v>
      </c>
      <c r="C171" s="615"/>
      <c r="D171" s="615"/>
      <c r="E171" s="466">
        <v>0</v>
      </c>
      <c r="F171" s="615"/>
      <c r="G171" s="615"/>
      <c r="H171" s="567">
        <v>0</v>
      </c>
      <c r="I171" s="476"/>
      <c r="J171" s="615"/>
      <c r="K171" s="1688">
        <f>SUM(C171:J171)</f>
        <v>0</v>
      </c>
      <c r="L171" s="567">
        <v>0</v>
      </c>
    </row>
    <row r="172" spans="1:14" ht="12.75" customHeight="1" thickBot="1" x14ac:dyDescent="0.25">
      <c r="A172" s="1685" t="s">
        <v>659</v>
      </c>
      <c r="B172" s="1686" t="s">
        <v>513</v>
      </c>
      <c r="C172" s="615"/>
      <c r="D172" s="615"/>
      <c r="E172" s="1694">
        <f>SUM(E168,E169,E170,E171)</f>
        <v>0</v>
      </c>
      <c r="F172" s="615"/>
      <c r="G172" s="615"/>
      <c r="H172" s="1694">
        <f>SUM(H168,H169,H170,H171)</f>
        <v>588650</v>
      </c>
      <c r="I172" s="637"/>
      <c r="J172" s="615"/>
      <c r="K172" s="1694">
        <f>SUM(K168,K169,K170,K171)</f>
        <v>588650</v>
      </c>
      <c r="L172" s="1694">
        <f>SUM(L168,L169,L170,L171)</f>
        <v>638775</v>
      </c>
    </row>
    <row r="173" spans="1:14" ht="15.75" customHeight="1" thickTop="1" thickBot="1" x14ac:dyDescent="0.25">
      <c r="A173" s="1636" t="s">
        <v>87</v>
      </c>
      <c r="B173" s="1628" t="s">
        <v>916</v>
      </c>
      <c r="C173" s="615"/>
      <c r="D173" s="615"/>
      <c r="E173" s="622"/>
      <c r="F173" s="615"/>
      <c r="G173" s="615"/>
      <c r="H173" s="625"/>
      <c r="I173" s="637"/>
      <c r="J173" s="615"/>
      <c r="K173" s="622"/>
      <c r="L173" s="574">
        <v>0</v>
      </c>
    </row>
    <row r="174" spans="1:14" ht="12.75" customHeight="1" thickTop="1" thickBot="1" x14ac:dyDescent="0.25">
      <c r="A174" s="1706" t="s">
        <v>92</v>
      </c>
      <c r="B174" s="1707"/>
      <c r="C174" s="615"/>
      <c r="D174" s="615"/>
      <c r="E174" s="1694">
        <f>SUM(E155,E172,E173)</f>
        <v>0</v>
      </c>
      <c r="F174" s="615"/>
      <c r="G174" s="615"/>
      <c r="H174" s="1694">
        <f>SUM(H160,H172,H173)</f>
        <v>588650</v>
      </c>
      <c r="I174" s="637"/>
      <c r="J174" s="615"/>
      <c r="K174" s="1694">
        <f>SUM(K160,K172,K173)</f>
        <v>588650</v>
      </c>
      <c r="L174" s="1694">
        <f>SUM(L160,L172,L173)</f>
        <v>638775</v>
      </c>
    </row>
    <row r="175" spans="1:14" ht="13.5" thickTop="1" x14ac:dyDescent="0.2">
      <c r="A175" s="2279" t="s">
        <v>1053</v>
      </c>
      <c r="B175" s="2280"/>
      <c r="C175" s="615"/>
      <c r="D175" s="615"/>
      <c r="E175" s="615"/>
      <c r="F175" s="615"/>
      <c r="G175" s="615"/>
      <c r="H175" s="617"/>
      <c r="I175" s="615"/>
      <c r="J175" s="615"/>
      <c r="K175" s="1701">
        <f>'Revenues 9-14'!E275-'Expenditures 15-22'!K174</f>
        <v>40189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1" t="s">
        <v>994</v>
      </c>
      <c r="B177" s="1572"/>
      <c r="C177" s="1568"/>
      <c r="D177" s="1569"/>
      <c r="E177" s="1569"/>
      <c r="F177" s="1569"/>
      <c r="G177" s="1569"/>
      <c r="H177" s="1569"/>
      <c r="I177" s="1569"/>
      <c r="J177" s="1569"/>
      <c r="K177" s="1569"/>
      <c r="L177" s="1570"/>
      <c r="M177" s="608"/>
      <c r="N177" s="608"/>
    </row>
    <row r="178" spans="1:14" s="673" customFormat="1" ht="15.75" customHeight="1" x14ac:dyDescent="0.2">
      <c r="A178" s="1637" t="s">
        <v>995</v>
      </c>
      <c r="B178" s="1638"/>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1" t="s">
        <v>167</v>
      </c>
      <c r="B180" s="613">
        <v>2190</v>
      </c>
      <c r="C180" s="466">
        <v>0</v>
      </c>
      <c r="D180" s="466">
        <v>0</v>
      </c>
      <c r="E180" s="466">
        <v>0</v>
      </c>
      <c r="F180" s="466">
        <v>0</v>
      </c>
      <c r="G180" s="466">
        <v>0</v>
      </c>
      <c r="H180" s="466">
        <v>0</v>
      </c>
      <c r="I180" s="467">
        <v>0</v>
      </c>
      <c r="J180" s="467">
        <v>0</v>
      </c>
      <c r="K180" s="1688">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1" t="s">
        <v>1010</v>
      </c>
      <c r="B182" s="613">
        <v>2550</v>
      </c>
      <c r="C182" s="467">
        <v>455508</v>
      </c>
      <c r="D182" s="467">
        <v>13379</v>
      </c>
      <c r="E182" s="467">
        <v>132883</v>
      </c>
      <c r="F182" s="467">
        <v>43979</v>
      </c>
      <c r="G182" s="467">
        <v>110077</v>
      </c>
      <c r="H182" s="466">
        <v>4062</v>
      </c>
      <c r="I182" s="467">
        <v>0</v>
      </c>
      <c r="J182" s="467">
        <v>0</v>
      </c>
      <c r="K182" s="1688">
        <f>SUM(C182:J182)</f>
        <v>759888</v>
      </c>
      <c r="L182" s="466">
        <v>871216</v>
      </c>
    </row>
    <row r="183" spans="1:14" ht="12.75" customHeight="1" thickBot="1" x14ac:dyDescent="0.25">
      <c r="A183" s="1526" t="s">
        <v>1037</v>
      </c>
      <c r="B183" s="676">
        <v>2900</v>
      </c>
      <c r="C183" s="571">
        <v>0</v>
      </c>
      <c r="D183" s="571">
        <v>0</v>
      </c>
      <c r="E183" s="571">
        <v>0</v>
      </c>
      <c r="F183" s="571">
        <v>0</v>
      </c>
      <c r="G183" s="571">
        <v>0</v>
      </c>
      <c r="H183" s="571">
        <v>0</v>
      </c>
      <c r="I183" s="530">
        <v>0</v>
      </c>
      <c r="J183" s="530">
        <v>0</v>
      </c>
      <c r="K183" s="1694">
        <f>SUM(C183:J183)</f>
        <v>0</v>
      </c>
      <c r="L183" s="571">
        <v>0</v>
      </c>
    </row>
    <row r="184" spans="1:14" ht="12.75" customHeight="1" thickTop="1" thickBot="1" x14ac:dyDescent="0.25">
      <c r="A184" s="1708" t="s">
        <v>865</v>
      </c>
      <c r="B184" s="1686" t="s">
        <v>590</v>
      </c>
      <c r="C184" s="1694">
        <f>SUM(C180,C182,C183)</f>
        <v>455508</v>
      </c>
      <c r="D184" s="1694">
        <f t="shared" ref="D184:J184" si="17">SUM(D180,D182,D183)</f>
        <v>13379</v>
      </c>
      <c r="E184" s="1694">
        <f t="shared" si="17"/>
        <v>132883</v>
      </c>
      <c r="F184" s="1694">
        <f t="shared" si="17"/>
        <v>43979</v>
      </c>
      <c r="G184" s="1694">
        <f t="shared" si="17"/>
        <v>110077</v>
      </c>
      <c r="H184" s="1694">
        <f t="shared" si="17"/>
        <v>4062</v>
      </c>
      <c r="I184" s="1694">
        <f t="shared" si="17"/>
        <v>0</v>
      </c>
      <c r="J184" s="1694">
        <f t="shared" si="17"/>
        <v>0</v>
      </c>
      <c r="K184" s="1694">
        <f>SUM(K180,K182,K183)</f>
        <v>759888</v>
      </c>
      <c r="L184" s="1694">
        <f>SUM(L180, L182:L183)</f>
        <v>871216</v>
      </c>
    </row>
    <row r="185" spans="1:14" ht="15.75" customHeight="1" thickTop="1" thickBot="1" x14ac:dyDescent="0.25">
      <c r="A185" s="1639" t="s">
        <v>996</v>
      </c>
      <c r="B185" s="1628">
        <v>3000</v>
      </c>
      <c r="C185" s="574">
        <v>0</v>
      </c>
      <c r="D185" s="574">
        <v>0</v>
      </c>
      <c r="E185" s="574">
        <v>0</v>
      </c>
      <c r="F185" s="574">
        <v>0</v>
      </c>
      <c r="G185" s="574">
        <v>0</v>
      </c>
      <c r="H185" s="574">
        <v>0</v>
      </c>
      <c r="I185" s="529">
        <v>0</v>
      </c>
      <c r="J185" s="529">
        <v>0</v>
      </c>
      <c r="K185" s="1687">
        <f>SUM(C185:J185)</f>
        <v>0</v>
      </c>
      <c r="L185" s="574">
        <v>0</v>
      </c>
    </row>
    <row r="186" spans="1:14" s="673" customFormat="1" ht="15.75" customHeight="1" thickTop="1" x14ac:dyDescent="0.2">
      <c r="A186" s="1623" t="s">
        <v>93</v>
      </c>
      <c r="B186" s="1626"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1" t="s">
        <v>517</v>
      </c>
      <c r="B188" s="613">
        <v>4110</v>
      </c>
      <c r="C188" s="615"/>
      <c r="D188" s="615"/>
      <c r="E188" s="466">
        <v>0</v>
      </c>
      <c r="F188" s="615"/>
      <c r="G188" s="615"/>
      <c r="H188" s="466">
        <v>0</v>
      </c>
      <c r="I188" s="476"/>
      <c r="J188" s="615"/>
      <c r="K188" s="1688">
        <f t="shared" ref="K188:K193" si="18">SUM(E188,H188)</f>
        <v>0</v>
      </c>
      <c r="L188" s="466">
        <v>0</v>
      </c>
    </row>
    <row r="189" spans="1:14" x14ac:dyDescent="0.2">
      <c r="A189" s="1521" t="s">
        <v>322</v>
      </c>
      <c r="B189" s="613">
        <v>4120</v>
      </c>
      <c r="C189" s="615"/>
      <c r="D189" s="615"/>
      <c r="E189" s="466">
        <v>0</v>
      </c>
      <c r="F189" s="615"/>
      <c r="G189" s="615"/>
      <c r="H189" s="466">
        <v>0</v>
      </c>
      <c r="I189" s="476"/>
      <c r="J189" s="615"/>
      <c r="K189" s="1688">
        <f t="shared" si="18"/>
        <v>0</v>
      </c>
      <c r="L189" s="466">
        <v>0</v>
      </c>
    </row>
    <row r="190" spans="1:14" x14ac:dyDescent="0.2">
      <c r="A190" s="1521" t="s">
        <v>323</v>
      </c>
      <c r="B190" s="627">
        <v>4130</v>
      </c>
      <c r="C190" s="615"/>
      <c r="D190" s="615"/>
      <c r="E190" s="466">
        <v>0</v>
      </c>
      <c r="F190" s="615"/>
      <c r="G190" s="615"/>
      <c r="H190" s="466">
        <v>0</v>
      </c>
      <c r="I190" s="476"/>
      <c r="J190" s="615"/>
      <c r="K190" s="1688">
        <f t="shared" si="18"/>
        <v>0</v>
      </c>
      <c r="L190" s="466">
        <v>0</v>
      </c>
    </row>
    <row r="191" spans="1:14" x14ac:dyDescent="0.2">
      <c r="A191" s="1521" t="s">
        <v>721</v>
      </c>
      <c r="B191" s="613">
        <v>4140</v>
      </c>
      <c r="C191" s="615"/>
      <c r="D191" s="615"/>
      <c r="E191" s="466">
        <v>0</v>
      </c>
      <c r="F191" s="615"/>
      <c r="G191" s="615"/>
      <c r="H191" s="466">
        <v>0</v>
      </c>
      <c r="I191" s="476"/>
      <c r="J191" s="615"/>
      <c r="K191" s="1688">
        <f t="shared" si="18"/>
        <v>0</v>
      </c>
      <c r="L191" s="466">
        <v>0</v>
      </c>
    </row>
    <row r="192" spans="1:14" x14ac:dyDescent="0.2">
      <c r="A192" s="1521" t="s">
        <v>88</v>
      </c>
      <c r="B192" s="613">
        <v>4170</v>
      </c>
      <c r="C192" s="615"/>
      <c r="D192" s="615"/>
      <c r="E192" s="466">
        <v>0</v>
      </c>
      <c r="F192" s="615"/>
      <c r="G192" s="615"/>
      <c r="H192" s="466">
        <v>0</v>
      </c>
      <c r="I192" s="476"/>
      <c r="J192" s="615"/>
      <c r="K192" s="1688">
        <f t="shared" si="18"/>
        <v>0</v>
      </c>
      <c r="L192" s="466">
        <v>0</v>
      </c>
    </row>
    <row r="193" spans="1:14" x14ac:dyDescent="0.2">
      <c r="A193" s="1525" t="s">
        <v>722</v>
      </c>
      <c r="B193" s="627">
        <v>4190</v>
      </c>
      <c r="C193" s="615"/>
      <c r="D193" s="615"/>
      <c r="E193" s="466">
        <v>0</v>
      </c>
      <c r="F193" s="615"/>
      <c r="G193" s="615"/>
      <c r="H193" s="466">
        <v>0</v>
      </c>
      <c r="I193" s="476"/>
      <c r="J193" s="615"/>
      <c r="K193" s="1688">
        <f t="shared" si="18"/>
        <v>0</v>
      </c>
      <c r="L193" s="466">
        <v>0</v>
      </c>
    </row>
    <row r="194" spans="1:14" ht="12.75" customHeight="1" thickBot="1" x14ac:dyDescent="0.25">
      <c r="A194" s="1685" t="s">
        <v>1202</v>
      </c>
      <c r="B194" s="1686" t="s">
        <v>580</v>
      </c>
      <c r="C194" s="615"/>
      <c r="D194" s="615"/>
      <c r="E194" s="1687">
        <f>SUM(E188:E193)</f>
        <v>0</v>
      </c>
      <c r="F194" s="615"/>
      <c r="G194" s="615"/>
      <c r="H194" s="1687">
        <f>SUM(H188:H193)</f>
        <v>0</v>
      </c>
      <c r="I194" s="476"/>
      <c r="J194" s="615"/>
      <c r="K194" s="1687">
        <f>SUM(K188:K193)</f>
        <v>0</v>
      </c>
      <c r="L194" s="1687">
        <f>SUM(L188:L193)</f>
        <v>0</v>
      </c>
    </row>
    <row r="195" spans="1:14" ht="15.75" customHeight="1" thickTop="1" x14ac:dyDescent="0.2">
      <c r="A195" s="668" t="s">
        <v>94</v>
      </c>
      <c r="B195" s="677" t="s">
        <v>988</v>
      </c>
      <c r="C195" s="615"/>
      <c r="D195" s="615"/>
      <c r="E195" s="655">
        <v>0</v>
      </c>
      <c r="F195" s="615"/>
      <c r="G195" s="615"/>
      <c r="H195" s="655">
        <v>0</v>
      </c>
      <c r="I195" s="476"/>
      <c r="J195" s="615"/>
      <c r="K195" s="1702">
        <f>SUM(E195,H195)</f>
        <v>0</v>
      </c>
      <c r="L195" s="655">
        <v>0</v>
      </c>
    </row>
    <row r="196" spans="1:14" ht="12.75" customHeight="1" thickBot="1" x14ac:dyDescent="0.25">
      <c r="A196" s="1685" t="s">
        <v>1567</v>
      </c>
      <c r="B196" s="1686" t="s">
        <v>915</v>
      </c>
      <c r="C196" s="615"/>
      <c r="D196" s="615"/>
      <c r="E196" s="1694">
        <f>SUM(E194,E195)</f>
        <v>0</v>
      </c>
      <c r="F196" s="615"/>
      <c r="G196" s="615"/>
      <c r="H196" s="1694">
        <f>SUM(H194,H195)</f>
        <v>0</v>
      </c>
      <c r="I196" s="476"/>
      <c r="J196" s="615"/>
      <c r="K196" s="1694">
        <f>SUM(K194,K195)</f>
        <v>0</v>
      </c>
      <c r="L196" s="1694">
        <f>SUM(L194,L195)</f>
        <v>0</v>
      </c>
    </row>
    <row r="197" spans="1:14" s="673" customFormat="1" ht="15.75" customHeight="1" thickTop="1" x14ac:dyDescent="0.2">
      <c r="A197" s="1629" t="s">
        <v>997</v>
      </c>
      <c r="B197" s="1626"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1" t="s">
        <v>89</v>
      </c>
      <c r="B199" s="613">
        <v>5110</v>
      </c>
      <c r="C199" s="615"/>
      <c r="D199" s="615"/>
      <c r="E199" s="615"/>
      <c r="F199" s="615"/>
      <c r="G199" s="615"/>
      <c r="H199" s="466">
        <v>0</v>
      </c>
      <c r="I199" s="615"/>
      <c r="J199" s="615"/>
      <c r="K199" s="1688">
        <f>SUM(H199)</f>
        <v>0</v>
      </c>
      <c r="L199" s="466">
        <v>0</v>
      </c>
    </row>
    <row r="200" spans="1:14" x14ac:dyDescent="0.2">
      <c r="A200" s="1521" t="s">
        <v>90</v>
      </c>
      <c r="B200" s="613">
        <v>5120</v>
      </c>
      <c r="C200" s="615"/>
      <c r="D200" s="615"/>
      <c r="E200" s="615"/>
      <c r="F200" s="615"/>
      <c r="G200" s="615"/>
      <c r="H200" s="466">
        <v>0</v>
      </c>
      <c r="I200" s="615"/>
      <c r="J200" s="615"/>
      <c r="K200" s="1688">
        <f>SUM(H200)</f>
        <v>0</v>
      </c>
      <c r="L200" s="466">
        <v>0</v>
      </c>
    </row>
    <row r="201" spans="1:14" ht="12.75" customHeight="1" x14ac:dyDescent="0.2">
      <c r="A201" s="1521" t="s">
        <v>1232</v>
      </c>
      <c r="B201" s="627" t="s">
        <v>638</v>
      </c>
      <c r="C201" s="615"/>
      <c r="D201" s="615"/>
      <c r="E201" s="615"/>
      <c r="F201" s="615"/>
      <c r="G201" s="615"/>
      <c r="H201" s="466">
        <v>0</v>
      </c>
      <c r="I201" s="615"/>
      <c r="J201" s="615"/>
      <c r="K201" s="1688">
        <f>SUM(H201)</f>
        <v>0</v>
      </c>
      <c r="L201" s="466">
        <v>0</v>
      </c>
    </row>
    <row r="202" spans="1:14" x14ac:dyDescent="0.2">
      <c r="A202" s="1521" t="s">
        <v>91</v>
      </c>
      <c r="B202" s="613" t="s">
        <v>610</v>
      </c>
      <c r="C202" s="615"/>
      <c r="D202" s="615"/>
      <c r="E202" s="615"/>
      <c r="F202" s="615"/>
      <c r="G202" s="615"/>
      <c r="H202" s="466">
        <v>0</v>
      </c>
      <c r="I202" s="615"/>
      <c r="J202" s="615"/>
      <c r="K202" s="1688">
        <f>SUM(H202)</f>
        <v>0</v>
      </c>
      <c r="L202" s="466">
        <v>0</v>
      </c>
    </row>
    <row r="203" spans="1:14" x14ac:dyDescent="0.2">
      <c r="A203" s="1533" t="s">
        <v>640</v>
      </c>
      <c r="B203" s="613" t="s">
        <v>639</v>
      </c>
      <c r="C203" s="615"/>
      <c r="D203" s="615"/>
      <c r="E203" s="615"/>
      <c r="F203" s="615"/>
      <c r="G203" s="615"/>
      <c r="H203" s="471">
        <v>0</v>
      </c>
      <c r="I203" s="615"/>
      <c r="J203" s="615"/>
      <c r="K203" s="1688">
        <f>SUM(H203)</f>
        <v>0</v>
      </c>
      <c r="L203" s="471">
        <v>0</v>
      </c>
    </row>
    <row r="204" spans="1:14" ht="13.5" thickBot="1" x14ac:dyDescent="0.25">
      <c r="A204" s="1685" t="s">
        <v>294</v>
      </c>
      <c r="B204" s="1686" t="s">
        <v>742</v>
      </c>
      <c r="C204" s="615"/>
      <c r="D204" s="615"/>
      <c r="E204" s="615"/>
      <c r="F204" s="615"/>
      <c r="G204" s="615"/>
      <c r="H204" s="1687">
        <f>SUM(H199:H203)</f>
        <v>0</v>
      </c>
      <c r="I204" s="615"/>
      <c r="J204" s="615"/>
      <c r="K204" s="1687">
        <f>SUM(K199:K203)</f>
        <v>0</v>
      </c>
      <c r="L204" s="1687">
        <f>SUM(L199:L203)</f>
        <v>0</v>
      </c>
    </row>
    <row r="205" spans="1:14" ht="15.75" customHeight="1" thickTop="1" x14ac:dyDescent="0.2">
      <c r="A205" s="678" t="s">
        <v>85</v>
      </c>
      <c r="B205" s="679" t="s">
        <v>38</v>
      </c>
      <c r="C205" s="615"/>
      <c r="D205" s="615"/>
      <c r="E205" s="615"/>
      <c r="F205" s="615"/>
      <c r="G205" s="615"/>
      <c r="H205" s="533">
        <v>0</v>
      </c>
      <c r="I205" s="615"/>
      <c r="J205" s="615"/>
      <c r="K205" s="1702">
        <f>SUM(H205)</f>
        <v>0</v>
      </c>
      <c r="L205" s="533">
        <v>0</v>
      </c>
    </row>
    <row r="206" spans="1:14" ht="30" customHeight="1" x14ac:dyDescent="0.2">
      <c r="A206" s="680" t="s">
        <v>1768</v>
      </c>
      <c r="B206" s="671" t="s">
        <v>31</v>
      </c>
      <c r="C206" s="615"/>
      <c r="D206" s="615"/>
      <c r="E206" s="615"/>
      <c r="F206" s="615"/>
      <c r="G206" s="615"/>
      <c r="H206" s="466">
        <v>0</v>
      </c>
      <c r="I206" s="615"/>
      <c r="J206" s="615"/>
      <c r="K206" s="1688">
        <f>SUM(H206)</f>
        <v>0</v>
      </c>
      <c r="L206" s="466">
        <v>0</v>
      </c>
    </row>
    <row r="207" spans="1:14" ht="15.75" customHeight="1" x14ac:dyDescent="0.2">
      <c r="A207" s="620" t="s">
        <v>790</v>
      </c>
      <c r="B207" s="671" t="s">
        <v>86</v>
      </c>
      <c r="C207" s="615"/>
      <c r="D207" s="615"/>
      <c r="E207" s="615"/>
      <c r="F207" s="615"/>
      <c r="G207" s="615"/>
      <c r="H207" s="467">
        <v>0</v>
      </c>
      <c r="I207" s="615"/>
      <c r="J207" s="615"/>
      <c r="K207" s="1688">
        <f>H207</f>
        <v>0</v>
      </c>
      <c r="L207" s="466">
        <v>0</v>
      </c>
    </row>
    <row r="208" spans="1:14" ht="12.75" customHeight="1" thickBot="1" x14ac:dyDescent="0.25">
      <c r="A208" s="1703" t="s">
        <v>659</v>
      </c>
      <c r="B208" s="1704" t="s">
        <v>513</v>
      </c>
      <c r="C208" s="615"/>
      <c r="D208" s="615"/>
      <c r="E208" s="615"/>
      <c r="F208" s="615"/>
      <c r="G208" s="615"/>
      <c r="H208" s="1694">
        <f>SUM(H204,H205,H206,H207)</f>
        <v>0</v>
      </c>
      <c r="I208" s="615"/>
      <c r="J208" s="615"/>
      <c r="K208" s="1694">
        <f>SUM(K204,K205,K206,K207)</f>
        <v>0</v>
      </c>
      <c r="L208" s="1694">
        <f>SUM(L204,L205,L206,L207)</f>
        <v>0</v>
      </c>
    </row>
    <row r="209" spans="1:14" ht="15.75" customHeight="1" thickTop="1" thickBot="1" x14ac:dyDescent="0.25">
      <c r="A209" s="1623" t="s">
        <v>927</v>
      </c>
      <c r="B209" s="1630" t="s">
        <v>916</v>
      </c>
      <c r="C209" s="622"/>
      <c r="D209" s="622"/>
      <c r="E209" s="622"/>
      <c r="F209" s="622"/>
      <c r="G209" s="622"/>
      <c r="H209" s="622"/>
      <c r="I209" s="615"/>
      <c r="J209" s="615"/>
      <c r="K209" s="622"/>
      <c r="L209" s="574">
        <v>50000</v>
      </c>
    </row>
    <row r="210" spans="1:14" ht="12.75" customHeight="1" thickTop="1" thickBot="1" x14ac:dyDescent="0.25">
      <c r="A210" s="1709" t="s">
        <v>295</v>
      </c>
      <c r="B210" s="1710"/>
      <c r="C210" s="1687">
        <f>SUM(C184,C185)</f>
        <v>455508</v>
      </c>
      <c r="D210" s="1687">
        <f>SUM(D184,D185)</f>
        <v>13379</v>
      </c>
      <c r="E210" s="1687">
        <f>SUM(E184,E185,E196)</f>
        <v>132883</v>
      </c>
      <c r="F210" s="1687">
        <f>SUM(F184,F185)</f>
        <v>43979</v>
      </c>
      <c r="G210" s="1687">
        <f>SUM(G184,G185)</f>
        <v>110077</v>
      </c>
      <c r="H210" s="1687">
        <f>SUM(H184,H185,H196,H208,H209)</f>
        <v>4062</v>
      </c>
      <c r="I210" s="1687">
        <f>SUM(I184,I185)</f>
        <v>0</v>
      </c>
      <c r="J210" s="1687">
        <f>SUM(J184,J185)</f>
        <v>0</v>
      </c>
      <c r="K210" s="1688">
        <f>SUM(K184,K185,K196,K208,K209)</f>
        <v>759888</v>
      </c>
      <c r="L210" s="1687">
        <f>SUM(L184,L185,L196,L208,L209)</f>
        <v>921216</v>
      </c>
    </row>
    <row r="211" spans="1:14" ht="13.5" thickTop="1" x14ac:dyDescent="0.2">
      <c r="A211" s="2279" t="s">
        <v>1053</v>
      </c>
      <c r="B211" s="2280"/>
      <c r="C211" s="617"/>
      <c r="D211" s="617"/>
      <c r="E211" s="617"/>
      <c r="F211" s="617"/>
      <c r="G211" s="617"/>
      <c r="H211" s="617"/>
      <c r="I211" s="615"/>
      <c r="J211" s="615"/>
      <c r="K211" s="1701">
        <f>'Revenues 9-14'!F275-'Expenditures 15-22'!K210</f>
        <v>246996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01" t="s">
        <v>1022</v>
      </c>
      <c r="B213" s="2302"/>
      <c r="C213" s="1568"/>
      <c r="D213" s="1569"/>
      <c r="E213" s="1569"/>
      <c r="F213" s="1569"/>
      <c r="G213" s="1569"/>
      <c r="H213" s="1569"/>
      <c r="I213" s="1569"/>
      <c r="J213" s="1569"/>
      <c r="K213" s="1569"/>
      <c r="L213" s="1570"/>
      <c r="M213" s="608"/>
      <c r="N213" s="608"/>
    </row>
    <row r="214" spans="1:14" s="673" customFormat="1" ht="15.75" customHeight="1" x14ac:dyDescent="0.2">
      <c r="A214" s="1640" t="s">
        <v>928</v>
      </c>
      <c r="B214" s="1632" t="s">
        <v>591</v>
      </c>
      <c r="C214" s="615"/>
      <c r="D214" s="622"/>
      <c r="E214" s="615"/>
      <c r="F214" s="615"/>
      <c r="G214" s="615"/>
      <c r="H214" s="615"/>
      <c r="I214" s="615"/>
      <c r="J214" s="615"/>
      <c r="K214" s="622"/>
      <c r="L214" s="622"/>
      <c r="M214" s="664"/>
      <c r="N214" s="664"/>
    </row>
    <row r="215" spans="1:14" x14ac:dyDescent="0.2">
      <c r="A215" s="1521" t="s">
        <v>1018</v>
      </c>
      <c r="B215" s="613">
        <v>1100</v>
      </c>
      <c r="C215" s="615"/>
      <c r="D215" s="466">
        <v>115307</v>
      </c>
      <c r="E215" s="615"/>
      <c r="F215" s="615"/>
      <c r="G215" s="615"/>
      <c r="H215" s="615"/>
      <c r="I215" s="615"/>
      <c r="J215" s="615"/>
      <c r="K215" s="1688">
        <f>D215</f>
        <v>115307</v>
      </c>
      <c r="L215" s="466">
        <v>87292</v>
      </c>
    </row>
    <row r="216" spans="1:14" x14ac:dyDescent="0.2">
      <c r="A216" s="1521" t="s">
        <v>165</v>
      </c>
      <c r="B216" s="613" t="s">
        <v>1024</v>
      </c>
      <c r="C216" s="615"/>
      <c r="D216" s="467">
        <v>10003</v>
      </c>
      <c r="E216" s="615"/>
      <c r="F216" s="615"/>
      <c r="G216" s="615"/>
      <c r="H216" s="615"/>
      <c r="I216" s="615"/>
      <c r="J216" s="615"/>
      <c r="K216" s="1688">
        <f t="shared" ref="K216:K228" si="19">D216</f>
        <v>10003</v>
      </c>
      <c r="L216" s="466">
        <v>42462</v>
      </c>
    </row>
    <row r="217" spans="1:14" x14ac:dyDescent="0.2">
      <c r="A217" s="1521" t="s">
        <v>166</v>
      </c>
      <c r="B217" s="613">
        <v>1200</v>
      </c>
      <c r="C217" s="615"/>
      <c r="D217" s="466">
        <v>6369</v>
      </c>
      <c r="E217" s="615"/>
      <c r="F217" s="615"/>
      <c r="G217" s="615"/>
      <c r="H217" s="615"/>
      <c r="I217" s="615"/>
      <c r="J217" s="615"/>
      <c r="K217" s="1688">
        <f t="shared" si="19"/>
        <v>6369</v>
      </c>
      <c r="L217" s="466">
        <v>63660</v>
      </c>
    </row>
    <row r="218" spans="1:14" x14ac:dyDescent="0.2">
      <c r="A218" s="1521" t="s">
        <v>296</v>
      </c>
      <c r="B218" s="613" t="s">
        <v>1025</v>
      </c>
      <c r="C218" s="615"/>
      <c r="D218" s="467">
        <v>0</v>
      </c>
      <c r="E218" s="615"/>
      <c r="F218" s="615"/>
      <c r="G218" s="615"/>
      <c r="H218" s="615"/>
      <c r="I218" s="615"/>
      <c r="J218" s="615"/>
      <c r="K218" s="1688">
        <f t="shared" si="19"/>
        <v>0</v>
      </c>
      <c r="L218" s="466">
        <v>0</v>
      </c>
    </row>
    <row r="219" spans="1:14" x14ac:dyDescent="0.2">
      <c r="A219" s="1521" t="s">
        <v>297</v>
      </c>
      <c r="B219" s="613">
        <v>1250</v>
      </c>
      <c r="C219" s="615"/>
      <c r="D219" s="466">
        <v>44070</v>
      </c>
      <c r="E219" s="615"/>
      <c r="F219" s="615"/>
      <c r="G219" s="615"/>
      <c r="H219" s="615"/>
      <c r="I219" s="615"/>
      <c r="J219" s="615"/>
      <c r="K219" s="1688">
        <f t="shared" si="19"/>
        <v>44070</v>
      </c>
      <c r="L219" s="466">
        <v>50590</v>
      </c>
    </row>
    <row r="220" spans="1:14" x14ac:dyDescent="0.2">
      <c r="A220" s="1521" t="s">
        <v>298</v>
      </c>
      <c r="B220" s="613" t="s">
        <v>163</v>
      </c>
      <c r="C220" s="615"/>
      <c r="D220" s="467">
        <v>0</v>
      </c>
      <c r="E220" s="615"/>
      <c r="F220" s="615"/>
      <c r="G220" s="615"/>
      <c r="H220" s="615"/>
      <c r="I220" s="615"/>
      <c r="J220" s="615"/>
      <c r="K220" s="1688">
        <f t="shared" si="19"/>
        <v>0</v>
      </c>
      <c r="L220" s="466">
        <v>0</v>
      </c>
    </row>
    <row r="221" spans="1:14" x14ac:dyDescent="0.2">
      <c r="A221" s="1521" t="s">
        <v>1019</v>
      </c>
      <c r="B221" s="613">
        <v>1300</v>
      </c>
      <c r="C221" s="615"/>
      <c r="D221" s="466">
        <v>0</v>
      </c>
      <c r="E221" s="615"/>
      <c r="F221" s="615"/>
      <c r="G221" s="615"/>
      <c r="H221" s="615"/>
      <c r="I221" s="615"/>
      <c r="J221" s="615"/>
      <c r="K221" s="1688">
        <f t="shared" si="19"/>
        <v>0</v>
      </c>
      <c r="L221" s="466">
        <v>11</v>
      </c>
    </row>
    <row r="222" spans="1:14" x14ac:dyDescent="0.2">
      <c r="A222" s="1521" t="s">
        <v>747</v>
      </c>
      <c r="B222" s="613">
        <v>1400</v>
      </c>
      <c r="C222" s="615"/>
      <c r="D222" s="466">
        <v>3871</v>
      </c>
      <c r="E222" s="615"/>
      <c r="F222" s="615"/>
      <c r="G222" s="615"/>
      <c r="H222" s="615"/>
      <c r="I222" s="615"/>
      <c r="J222" s="615"/>
      <c r="K222" s="1688">
        <f t="shared" si="19"/>
        <v>3871</v>
      </c>
      <c r="L222" s="466">
        <v>4282</v>
      </c>
    </row>
    <row r="223" spans="1:14" x14ac:dyDescent="0.2">
      <c r="A223" s="1521" t="s">
        <v>1020</v>
      </c>
      <c r="B223" s="613">
        <v>1500</v>
      </c>
      <c r="C223" s="615"/>
      <c r="D223" s="466">
        <v>13719</v>
      </c>
      <c r="E223" s="615"/>
      <c r="F223" s="615"/>
      <c r="G223" s="615"/>
      <c r="H223" s="615"/>
      <c r="I223" s="615"/>
      <c r="J223" s="615"/>
      <c r="K223" s="1688">
        <f t="shared" si="19"/>
        <v>13719</v>
      </c>
      <c r="L223" s="466">
        <v>15119</v>
      </c>
    </row>
    <row r="224" spans="1:14" x14ac:dyDescent="0.2">
      <c r="A224" s="1521" t="s">
        <v>1021</v>
      </c>
      <c r="B224" s="613">
        <v>1600</v>
      </c>
      <c r="C224" s="615"/>
      <c r="D224" s="466">
        <v>186</v>
      </c>
      <c r="E224" s="615"/>
      <c r="F224" s="615"/>
      <c r="G224" s="615"/>
      <c r="H224" s="615"/>
      <c r="I224" s="615"/>
      <c r="J224" s="615"/>
      <c r="K224" s="1688">
        <f t="shared" si="19"/>
        <v>186</v>
      </c>
      <c r="L224" s="466">
        <v>186</v>
      </c>
    </row>
    <row r="225" spans="1:12" x14ac:dyDescent="0.2">
      <c r="A225" s="1521" t="s">
        <v>1044</v>
      </c>
      <c r="B225" s="613">
        <v>1650</v>
      </c>
      <c r="C225" s="615"/>
      <c r="D225" s="466">
        <v>0</v>
      </c>
      <c r="E225" s="615"/>
      <c r="F225" s="615"/>
      <c r="G225" s="615"/>
      <c r="H225" s="615"/>
      <c r="I225" s="615"/>
      <c r="J225" s="615"/>
      <c r="K225" s="1688">
        <f t="shared" si="19"/>
        <v>0</v>
      </c>
      <c r="L225" s="466">
        <v>0</v>
      </c>
    </row>
    <row r="226" spans="1:12" x14ac:dyDescent="0.2">
      <c r="A226" s="1521" t="s">
        <v>748</v>
      </c>
      <c r="B226" s="613" t="s">
        <v>164</v>
      </c>
      <c r="C226" s="615"/>
      <c r="D226" s="467">
        <v>1295</v>
      </c>
      <c r="E226" s="615"/>
      <c r="F226" s="615"/>
      <c r="G226" s="615"/>
      <c r="H226" s="615"/>
      <c r="I226" s="615"/>
      <c r="J226" s="615"/>
      <c r="K226" s="1688">
        <f t="shared" si="19"/>
        <v>1295</v>
      </c>
      <c r="L226" s="466">
        <v>1320</v>
      </c>
    </row>
    <row r="227" spans="1:12" x14ac:dyDescent="0.2">
      <c r="A227" s="1521" t="s">
        <v>1148</v>
      </c>
      <c r="B227" s="613">
        <v>1800</v>
      </c>
      <c r="C227" s="615"/>
      <c r="D227" s="466">
        <v>1209</v>
      </c>
      <c r="E227" s="615"/>
      <c r="F227" s="615"/>
      <c r="G227" s="615"/>
      <c r="H227" s="615"/>
      <c r="I227" s="615"/>
      <c r="J227" s="615"/>
      <c r="K227" s="1688">
        <f t="shared" si="19"/>
        <v>1209</v>
      </c>
      <c r="L227" s="466">
        <v>1254</v>
      </c>
    </row>
    <row r="228" spans="1:12" x14ac:dyDescent="0.2">
      <c r="A228" s="1521" t="s">
        <v>1149</v>
      </c>
      <c r="B228" s="613">
        <v>1900</v>
      </c>
      <c r="C228" s="615"/>
      <c r="D228" s="466">
        <v>3733</v>
      </c>
      <c r="E228" s="615"/>
      <c r="F228" s="615"/>
      <c r="G228" s="615"/>
      <c r="H228" s="615"/>
      <c r="I228" s="615"/>
      <c r="J228" s="615"/>
      <c r="K228" s="1688">
        <f t="shared" si="19"/>
        <v>3733</v>
      </c>
      <c r="L228" s="466">
        <v>4175</v>
      </c>
    </row>
    <row r="229" spans="1:12" ht="12.75" customHeight="1" thickBot="1" x14ac:dyDescent="0.25">
      <c r="A229" s="1685" t="s">
        <v>739</v>
      </c>
      <c r="B229" s="1692" t="s">
        <v>591</v>
      </c>
      <c r="C229" s="615"/>
      <c r="D229" s="1687">
        <f>SUM(D215:D228)</f>
        <v>199762</v>
      </c>
      <c r="E229" s="615"/>
      <c r="F229" s="615"/>
      <c r="G229" s="615"/>
      <c r="H229" s="615"/>
      <c r="I229" s="615"/>
      <c r="J229" s="615"/>
      <c r="K229" s="1687">
        <f>SUM(K215:K228)</f>
        <v>199762</v>
      </c>
      <c r="L229" s="1687">
        <f>SUM(L215:L228)</f>
        <v>270351</v>
      </c>
    </row>
    <row r="230" spans="1:12" ht="15.75" customHeight="1" thickTop="1" x14ac:dyDescent="0.2">
      <c r="A230" s="1629" t="s">
        <v>929</v>
      </c>
      <c r="B230" s="1630"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1" t="s">
        <v>1150</v>
      </c>
      <c r="B232" s="613">
        <v>2110</v>
      </c>
      <c r="C232" s="615"/>
      <c r="D232" s="466">
        <v>0</v>
      </c>
      <c r="E232" s="615"/>
      <c r="F232" s="615"/>
      <c r="G232" s="615"/>
      <c r="H232" s="615"/>
      <c r="I232" s="615"/>
      <c r="J232" s="615"/>
      <c r="K232" s="1688">
        <f t="shared" ref="K232:K237" si="20">D232</f>
        <v>0</v>
      </c>
      <c r="L232" s="466">
        <v>0</v>
      </c>
    </row>
    <row r="233" spans="1:12" x14ac:dyDescent="0.2">
      <c r="A233" s="1521" t="s">
        <v>1151</v>
      </c>
      <c r="B233" s="613">
        <v>2120</v>
      </c>
      <c r="C233" s="615"/>
      <c r="D233" s="466">
        <v>2453</v>
      </c>
      <c r="E233" s="615"/>
      <c r="F233" s="615"/>
      <c r="G233" s="615"/>
      <c r="H233" s="615"/>
      <c r="I233" s="615"/>
      <c r="J233" s="615"/>
      <c r="K233" s="1688">
        <f t="shared" si="20"/>
        <v>2453</v>
      </c>
      <c r="L233" s="466">
        <v>2237</v>
      </c>
    </row>
    <row r="234" spans="1:12" x14ac:dyDescent="0.2">
      <c r="A234" s="1521" t="s">
        <v>207</v>
      </c>
      <c r="B234" s="613">
        <v>2130</v>
      </c>
      <c r="C234" s="615"/>
      <c r="D234" s="466">
        <v>21619</v>
      </c>
      <c r="E234" s="615"/>
      <c r="F234" s="615"/>
      <c r="G234" s="615"/>
      <c r="H234" s="615"/>
      <c r="I234" s="615"/>
      <c r="J234" s="615"/>
      <c r="K234" s="1688">
        <f t="shared" si="20"/>
        <v>21619</v>
      </c>
      <c r="L234" s="466">
        <v>28211</v>
      </c>
    </row>
    <row r="235" spans="1:12" x14ac:dyDescent="0.2">
      <c r="A235" s="1521" t="s">
        <v>208</v>
      </c>
      <c r="B235" s="613">
        <v>2140</v>
      </c>
      <c r="C235" s="615"/>
      <c r="D235" s="466">
        <v>0</v>
      </c>
      <c r="E235" s="615"/>
      <c r="F235" s="615"/>
      <c r="G235" s="615"/>
      <c r="H235" s="615"/>
      <c r="I235" s="615"/>
      <c r="J235" s="615"/>
      <c r="K235" s="1688">
        <f t="shared" si="20"/>
        <v>0</v>
      </c>
      <c r="L235" s="466">
        <v>0</v>
      </c>
    </row>
    <row r="236" spans="1:12" x14ac:dyDescent="0.2">
      <c r="A236" s="1521" t="s">
        <v>209</v>
      </c>
      <c r="B236" s="613">
        <v>2150</v>
      </c>
      <c r="C236" s="615"/>
      <c r="D236" s="466">
        <v>0</v>
      </c>
      <c r="E236" s="615"/>
      <c r="F236" s="615"/>
      <c r="G236" s="615"/>
      <c r="H236" s="615"/>
      <c r="I236" s="615"/>
      <c r="J236" s="615"/>
      <c r="K236" s="1688">
        <f t="shared" si="20"/>
        <v>0</v>
      </c>
      <c r="L236" s="466">
        <v>0</v>
      </c>
    </row>
    <row r="237" spans="1:12" x14ac:dyDescent="0.2">
      <c r="A237" s="1521" t="s">
        <v>167</v>
      </c>
      <c r="B237" s="613">
        <v>2190</v>
      </c>
      <c r="C237" s="615"/>
      <c r="D237" s="466">
        <v>0</v>
      </c>
      <c r="E237" s="615"/>
      <c r="F237" s="615"/>
      <c r="G237" s="615"/>
      <c r="H237" s="615"/>
      <c r="I237" s="615"/>
      <c r="J237" s="615"/>
      <c r="K237" s="1688">
        <f t="shared" si="20"/>
        <v>0</v>
      </c>
      <c r="L237" s="466">
        <v>0</v>
      </c>
    </row>
    <row r="238" spans="1:12" ht="12.75" customHeight="1" thickBot="1" x14ac:dyDescent="0.25">
      <c r="A238" s="1685" t="s">
        <v>581</v>
      </c>
      <c r="B238" s="1692" t="s">
        <v>740</v>
      </c>
      <c r="C238" s="615"/>
      <c r="D238" s="1687">
        <f>SUM(D232:D237)</f>
        <v>24072</v>
      </c>
      <c r="E238" s="615"/>
      <c r="F238" s="615"/>
      <c r="G238" s="615"/>
      <c r="H238" s="615"/>
      <c r="I238" s="615"/>
      <c r="J238" s="615"/>
      <c r="K238" s="1687">
        <f>SUM(K232:K237)</f>
        <v>24072</v>
      </c>
      <c r="L238" s="1687">
        <f>SUM(L232:L237)</f>
        <v>30448</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1" t="s">
        <v>868</v>
      </c>
      <c r="B240" s="613">
        <v>2210</v>
      </c>
      <c r="C240" s="615"/>
      <c r="D240" s="480">
        <v>755</v>
      </c>
      <c r="E240" s="615"/>
      <c r="F240" s="615"/>
      <c r="G240" s="615"/>
      <c r="H240" s="615"/>
      <c r="I240" s="615"/>
      <c r="J240" s="615"/>
      <c r="K240" s="1689">
        <f>D240</f>
        <v>755</v>
      </c>
      <c r="L240" s="480">
        <v>796</v>
      </c>
    </row>
    <row r="241" spans="1:12" x14ac:dyDescent="0.2">
      <c r="A241" s="1521" t="s">
        <v>869</v>
      </c>
      <c r="B241" s="613">
        <v>2220</v>
      </c>
      <c r="C241" s="615"/>
      <c r="D241" s="466">
        <v>8923</v>
      </c>
      <c r="E241" s="615"/>
      <c r="F241" s="615"/>
      <c r="G241" s="615"/>
      <c r="H241" s="615"/>
      <c r="I241" s="615"/>
      <c r="J241" s="615"/>
      <c r="K241" s="1689">
        <f>D241</f>
        <v>8923</v>
      </c>
      <c r="L241" s="466">
        <v>9888</v>
      </c>
    </row>
    <row r="242" spans="1:12" x14ac:dyDescent="0.2">
      <c r="A242" s="1521" t="s">
        <v>870</v>
      </c>
      <c r="B242" s="613">
        <v>2230</v>
      </c>
      <c r="C242" s="615"/>
      <c r="D242" s="466">
        <v>0</v>
      </c>
      <c r="E242" s="615"/>
      <c r="F242" s="615"/>
      <c r="G242" s="615"/>
      <c r="H242" s="615"/>
      <c r="I242" s="615"/>
      <c r="J242" s="615"/>
      <c r="K242" s="1689">
        <f>D242</f>
        <v>0</v>
      </c>
      <c r="L242" s="466">
        <v>0</v>
      </c>
    </row>
    <row r="243" spans="1:12" ht="12.75" customHeight="1" thickBot="1" x14ac:dyDescent="0.25">
      <c r="A243" s="1711" t="s">
        <v>582</v>
      </c>
      <c r="B243" s="1712">
        <v>2200</v>
      </c>
      <c r="C243" s="615"/>
      <c r="D243" s="1687">
        <f>SUM(D240:D242)</f>
        <v>9678</v>
      </c>
      <c r="E243" s="615"/>
      <c r="F243" s="615"/>
      <c r="G243" s="615"/>
      <c r="H243" s="615"/>
      <c r="I243" s="615"/>
      <c r="J243" s="615"/>
      <c r="K243" s="1687">
        <f>SUM(K240:K242)</f>
        <v>9678</v>
      </c>
      <c r="L243" s="1687">
        <f>SUM(L240:L242)</f>
        <v>10684</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1" t="s">
        <v>871</v>
      </c>
      <c r="B245" s="613">
        <v>2310</v>
      </c>
      <c r="C245" s="615"/>
      <c r="D245" s="480">
        <v>230</v>
      </c>
      <c r="E245" s="615"/>
      <c r="F245" s="615"/>
      <c r="G245" s="615"/>
      <c r="H245" s="615"/>
      <c r="I245" s="615"/>
      <c r="J245" s="615"/>
      <c r="K245" s="1689">
        <f>D245</f>
        <v>230</v>
      </c>
      <c r="L245" s="480">
        <v>337</v>
      </c>
    </row>
    <row r="246" spans="1:12" x14ac:dyDescent="0.2">
      <c r="A246" s="1521" t="s">
        <v>872</v>
      </c>
      <c r="B246" s="613">
        <v>2320</v>
      </c>
      <c r="C246" s="615"/>
      <c r="D246" s="466">
        <v>2959</v>
      </c>
      <c r="E246" s="615"/>
      <c r="F246" s="615"/>
      <c r="G246" s="615"/>
      <c r="H246" s="615"/>
      <c r="I246" s="615"/>
      <c r="J246" s="615"/>
      <c r="K246" s="1689">
        <f t="shared" ref="K246:K256" si="21">D246</f>
        <v>2959</v>
      </c>
      <c r="L246" s="466">
        <v>3369</v>
      </c>
    </row>
    <row r="247" spans="1:12" x14ac:dyDescent="0.2">
      <c r="A247" s="1521" t="s">
        <v>873</v>
      </c>
      <c r="B247" s="613">
        <v>2330</v>
      </c>
      <c r="C247" s="615"/>
      <c r="D247" s="466">
        <v>2218</v>
      </c>
      <c r="E247" s="615"/>
      <c r="F247" s="615"/>
      <c r="G247" s="615"/>
      <c r="H247" s="615"/>
      <c r="I247" s="615"/>
      <c r="J247" s="615"/>
      <c r="K247" s="1689">
        <f t="shared" si="21"/>
        <v>2218</v>
      </c>
      <c r="L247" s="466">
        <v>2432</v>
      </c>
    </row>
    <row r="248" spans="1:12" x14ac:dyDescent="0.2">
      <c r="A248" s="1522" t="s">
        <v>317</v>
      </c>
      <c r="B248" s="601" t="s">
        <v>299</v>
      </c>
      <c r="C248" s="615"/>
      <c r="D248" s="474">
        <v>0</v>
      </c>
      <c r="E248" s="615"/>
      <c r="F248" s="615"/>
      <c r="G248" s="615"/>
      <c r="H248" s="615"/>
      <c r="I248" s="615"/>
      <c r="J248" s="615"/>
      <c r="K248" s="1689">
        <f t="shared" si="21"/>
        <v>0</v>
      </c>
      <c r="L248" s="466">
        <v>0</v>
      </c>
    </row>
    <row r="249" spans="1:12" x14ac:dyDescent="0.2">
      <c r="A249" s="1523" t="s">
        <v>1903</v>
      </c>
      <c r="B249" s="682" t="s">
        <v>300</v>
      </c>
      <c r="C249" s="615"/>
      <c r="D249" s="474">
        <v>0</v>
      </c>
      <c r="E249" s="615"/>
      <c r="F249" s="615"/>
      <c r="G249" s="615"/>
      <c r="H249" s="615"/>
      <c r="I249" s="615"/>
      <c r="J249" s="615"/>
      <c r="K249" s="1689">
        <f t="shared" si="21"/>
        <v>0</v>
      </c>
      <c r="L249" s="466">
        <v>0</v>
      </c>
    </row>
    <row r="250" spans="1:12" x14ac:dyDescent="0.2">
      <c r="A250" s="1522" t="s">
        <v>1904</v>
      </c>
      <c r="B250" s="601" t="s">
        <v>301</v>
      </c>
      <c r="C250" s="615"/>
      <c r="D250" s="474">
        <v>0</v>
      </c>
      <c r="E250" s="615"/>
      <c r="F250" s="615"/>
      <c r="G250" s="615"/>
      <c r="H250" s="615"/>
      <c r="I250" s="615"/>
      <c r="J250" s="615"/>
      <c r="K250" s="1689">
        <f t="shared" si="21"/>
        <v>0</v>
      </c>
      <c r="L250" s="466">
        <v>0</v>
      </c>
    </row>
    <row r="251" spans="1:12" x14ac:dyDescent="0.2">
      <c r="A251" s="1522" t="s">
        <v>256</v>
      </c>
      <c r="B251" s="601" t="s">
        <v>302</v>
      </c>
      <c r="C251" s="615"/>
      <c r="D251" s="474">
        <v>0</v>
      </c>
      <c r="E251" s="615"/>
      <c r="F251" s="615"/>
      <c r="G251" s="615"/>
      <c r="H251" s="615"/>
      <c r="I251" s="615"/>
      <c r="J251" s="615"/>
      <c r="K251" s="1689">
        <f t="shared" si="21"/>
        <v>0</v>
      </c>
      <c r="L251" s="466">
        <v>0</v>
      </c>
    </row>
    <row r="252" spans="1:12" x14ac:dyDescent="0.2">
      <c r="A252" s="1522" t="s">
        <v>726</v>
      </c>
      <c r="B252" s="601" t="s">
        <v>303</v>
      </c>
      <c r="C252" s="615"/>
      <c r="D252" s="474">
        <v>19005</v>
      </c>
      <c r="E252" s="615"/>
      <c r="F252" s="615"/>
      <c r="G252" s="615"/>
      <c r="H252" s="615"/>
      <c r="I252" s="615"/>
      <c r="J252" s="615"/>
      <c r="K252" s="1689">
        <f t="shared" si="21"/>
        <v>19005</v>
      </c>
      <c r="L252" s="466">
        <v>19673</v>
      </c>
    </row>
    <row r="253" spans="1:12" x14ac:dyDescent="0.2">
      <c r="A253" s="1522" t="s">
        <v>257</v>
      </c>
      <c r="B253" s="601" t="s">
        <v>304</v>
      </c>
      <c r="C253" s="615"/>
      <c r="D253" s="474">
        <v>0</v>
      </c>
      <c r="E253" s="615"/>
      <c r="F253" s="615"/>
      <c r="G253" s="615"/>
      <c r="H253" s="615"/>
      <c r="I253" s="615"/>
      <c r="J253" s="615"/>
      <c r="K253" s="1689">
        <f t="shared" si="21"/>
        <v>0</v>
      </c>
      <c r="L253" s="466">
        <v>0</v>
      </c>
    </row>
    <row r="254" spans="1:12" ht="22.5" x14ac:dyDescent="0.2">
      <c r="A254" s="1522" t="s">
        <v>1087</v>
      </c>
      <c r="B254" s="682" t="s">
        <v>305</v>
      </c>
      <c r="C254" s="615"/>
      <c r="D254" s="474">
        <v>0</v>
      </c>
      <c r="E254" s="615"/>
      <c r="F254" s="615"/>
      <c r="G254" s="615"/>
      <c r="H254" s="615"/>
      <c r="I254" s="615"/>
      <c r="J254" s="615"/>
      <c r="K254" s="1689">
        <f t="shared" si="21"/>
        <v>0</v>
      </c>
      <c r="L254" s="466">
        <v>0</v>
      </c>
    </row>
    <row r="255" spans="1:12" x14ac:dyDescent="0.2">
      <c r="A255" s="1522" t="s">
        <v>1088</v>
      </c>
      <c r="B255" s="601" t="s">
        <v>306</v>
      </c>
      <c r="C255" s="615"/>
      <c r="D255" s="474">
        <v>0</v>
      </c>
      <c r="E255" s="615"/>
      <c r="F255" s="615"/>
      <c r="G255" s="615"/>
      <c r="H255" s="615"/>
      <c r="I255" s="615"/>
      <c r="J255" s="615"/>
      <c r="K255" s="1689">
        <f t="shared" si="21"/>
        <v>0</v>
      </c>
      <c r="L255" s="466">
        <v>0</v>
      </c>
    </row>
    <row r="256" spans="1:12" x14ac:dyDescent="0.2">
      <c r="A256" s="1522" t="s">
        <v>1028</v>
      </c>
      <c r="B256" s="613" t="s">
        <v>307</v>
      </c>
      <c r="C256" s="615"/>
      <c r="D256" s="474">
        <v>0</v>
      </c>
      <c r="E256" s="615"/>
      <c r="F256" s="615"/>
      <c r="G256" s="615"/>
      <c r="H256" s="615"/>
      <c r="I256" s="615"/>
      <c r="J256" s="615"/>
      <c r="K256" s="1689">
        <f t="shared" si="21"/>
        <v>0</v>
      </c>
      <c r="L256" s="466">
        <v>0</v>
      </c>
    </row>
    <row r="257" spans="1:14" ht="12.75" customHeight="1" thickBot="1" x14ac:dyDescent="0.25">
      <c r="A257" s="1685" t="s">
        <v>741</v>
      </c>
      <c r="B257" s="1713">
        <v>2300</v>
      </c>
      <c r="C257" s="615"/>
      <c r="D257" s="1687">
        <f>SUM(D245:D256)</f>
        <v>24412</v>
      </c>
      <c r="E257" s="615"/>
      <c r="F257" s="615"/>
      <c r="G257" s="615"/>
      <c r="H257" s="615"/>
      <c r="I257" s="615"/>
      <c r="J257" s="615"/>
      <c r="K257" s="1687">
        <f>SUM(K245:K256)</f>
        <v>24412</v>
      </c>
      <c r="L257" s="1687">
        <f>SUM(L245:L256)</f>
        <v>25811</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1" t="s">
        <v>1127</v>
      </c>
      <c r="B259" s="684">
        <v>2410</v>
      </c>
      <c r="C259" s="615"/>
      <c r="D259" s="480">
        <v>55403</v>
      </c>
      <c r="E259" s="615"/>
      <c r="F259" s="615"/>
      <c r="G259" s="615"/>
      <c r="H259" s="615"/>
      <c r="I259" s="615"/>
      <c r="J259" s="615"/>
      <c r="K259" s="1689">
        <f>D259</f>
        <v>55403</v>
      </c>
      <c r="L259" s="480">
        <v>58400</v>
      </c>
    </row>
    <row r="260" spans="1:14" s="596" customFormat="1" x14ac:dyDescent="0.2">
      <c r="A260" s="1539" t="s">
        <v>1902</v>
      </c>
      <c r="B260" s="627">
        <v>2490</v>
      </c>
      <c r="C260" s="615"/>
      <c r="D260" s="466">
        <v>0</v>
      </c>
      <c r="E260" s="615"/>
      <c r="F260" s="615"/>
      <c r="G260" s="615"/>
      <c r="H260" s="615"/>
      <c r="I260" s="615"/>
      <c r="J260" s="615"/>
      <c r="K260" s="1689">
        <f>D260</f>
        <v>0</v>
      </c>
      <c r="L260" s="466">
        <v>0</v>
      </c>
      <c r="M260" s="210"/>
      <c r="N260" s="210"/>
    </row>
    <row r="261" spans="1:14" ht="12.75" customHeight="1" thickBot="1" x14ac:dyDescent="0.25">
      <c r="A261" s="1709" t="s">
        <v>281</v>
      </c>
      <c r="B261" s="1714" t="s">
        <v>34</v>
      </c>
      <c r="C261" s="615"/>
      <c r="D261" s="1687">
        <f>SUM(D259:D260)</f>
        <v>55403</v>
      </c>
      <c r="E261" s="615"/>
      <c r="F261" s="615"/>
      <c r="G261" s="615"/>
      <c r="H261" s="615"/>
      <c r="I261" s="615"/>
      <c r="J261" s="615"/>
      <c r="K261" s="1687">
        <f>SUM(K259:K260)</f>
        <v>55403</v>
      </c>
      <c r="L261" s="1687">
        <f>SUM(L259:L260)</f>
        <v>58400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1" t="s">
        <v>1128</v>
      </c>
      <c r="B263" s="684">
        <v>2510</v>
      </c>
      <c r="C263" s="615"/>
      <c r="D263" s="466">
        <v>0</v>
      </c>
      <c r="E263" s="615"/>
      <c r="F263" s="615"/>
      <c r="G263" s="615"/>
      <c r="H263" s="615"/>
      <c r="I263" s="615"/>
      <c r="J263" s="615"/>
      <c r="K263" s="1689">
        <f>D263</f>
        <v>0</v>
      </c>
      <c r="L263" s="480">
        <v>0</v>
      </c>
    </row>
    <row r="264" spans="1:14" x14ac:dyDescent="0.2">
      <c r="A264" s="1521" t="s">
        <v>483</v>
      </c>
      <c r="B264" s="684">
        <v>2520</v>
      </c>
      <c r="C264" s="615"/>
      <c r="D264" s="466">
        <v>38910</v>
      </c>
      <c r="E264" s="615"/>
      <c r="F264" s="615"/>
      <c r="G264" s="615"/>
      <c r="H264" s="615"/>
      <c r="I264" s="615"/>
      <c r="J264" s="615"/>
      <c r="K264" s="1689">
        <f t="shared" ref="K264:K269" si="22">D264</f>
        <v>38910</v>
      </c>
      <c r="L264" s="466">
        <v>43675</v>
      </c>
    </row>
    <row r="265" spans="1:14" x14ac:dyDescent="0.2">
      <c r="A265" s="1521" t="s">
        <v>4</v>
      </c>
      <c r="B265" s="613">
        <v>2530</v>
      </c>
      <c r="C265" s="615"/>
      <c r="D265" s="466">
        <v>0</v>
      </c>
      <c r="E265" s="615"/>
      <c r="F265" s="615"/>
      <c r="G265" s="615"/>
      <c r="H265" s="615"/>
      <c r="I265" s="615"/>
      <c r="J265" s="615"/>
      <c r="K265" s="1689">
        <f t="shared" si="22"/>
        <v>0</v>
      </c>
      <c r="L265" s="466">
        <v>0</v>
      </c>
    </row>
    <row r="266" spans="1:14" x14ac:dyDescent="0.2">
      <c r="A266" s="1521" t="s">
        <v>206</v>
      </c>
      <c r="B266" s="613">
        <v>2540</v>
      </c>
      <c r="C266" s="615"/>
      <c r="D266" s="466">
        <v>99158</v>
      </c>
      <c r="E266" s="615"/>
      <c r="F266" s="615"/>
      <c r="G266" s="615"/>
      <c r="H266" s="615"/>
      <c r="I266" s="615"/>
      <c r="J266" s="615"/>
      <c r="K266" s="1689">
        <f t="shared" si="22"/>
        <v>99158</v>
      </c>
      <c r="L266" s="466">
        <v>111582</v>
      </c>
    </row>
    <row r="267" spans="1:14" x14ac:dyDescent="0.2">
      <c r="A267" s="1521" t="s">
        <v>1010</v>
      </c>
      <c r="B267" s="613">
        <v>2550</v>
      </c>
      <c r="C267" s="615"/>
      <c r="D267" s="466">
        <v>90459</v>
      </c>
      <c r="E267" s="615"/>
      <c r="F267" s="615"/>
      <c r="G267" s="615"/>
      <c r="H267" s="615"/>
      <c r="I267" s="615"/>
      <c r="J267" s="615"/>
      <c r="K267" s="1689">
        <f t="shared" si="22"/>
        <v>90459</v>
      </c>
      <c r="L267" s="466">
        <v>99854</v>
      </c>
    </row>
    <row r="268" spans="1:14" x14ac:dyDescent="0.2">
      <c r="A268" s="1521" t="s">
        <v>102</v>
      </c>
      <c r="B268" s="613">
        <v>2560</v>
      </c>
      <c r="C268" s="615"/>
      <c r="D268" s="466">
        <v>59276</v>
      </c>
      <c r="E268" s="615"/>
      <c r="F268" s="615"/>
      <c r="G268" s="615"/>
      <c r="H268" s="615"/>
      <c r="I268" s="615"/>
      <c r="J268" s="615"/>
      <c r="K268" s="1689">
        <f t="shared" si="22"/>
        <v>59276</v>
      </c>
      <c r="L268" s="466">
        <v>62036</v>
      </c>
    </row>
    <row r="269" spans="1:14" x14ac:dyDescent="0.2">
      <c r="A269" s="1521" t="s">
        <v>103</v>
      </c>
      <c r="B269" s="613">
        <v>2570</v>
      </c>
      <c r="C269" s="615"/>
      <c r="D269" s="466">
        <v>0</v>
      </c>
      <c r="E269" s="615"/>
      <c r="F269" s="615"/>
      <c r="G269" s="615"/>
      <c r="H269" s="615"/>
      <c r="I269" s="615"/>
      <c r="J269" s="615"/>
      <c r="K269" s="1689">
        <f t="shared" si="22"/>
        <v>0</v>
      </c>
      <c r="L269" s="466">
        <v>0</v>
      </c>
    </row>
    <row r="270" spans="1:14" ht="12.75" customHeight="1" thickBot="1" x14ac:dyDescent="0.25">
      <c r="A270" s="1685" t="s">
        <v>743</v>
      </c>
      <c r="B270" s="1692" t="s">
        <v>35</v>
      </c>
      <c r="C270" s="615"/>
      <c r="D270" s="1687">
        <f>SUM(D263:D269)</f>
        <v>287803</v>
      </c>
      <c r="E270" s="615"/>
      <c r="F270" s="615"/>
      <c r="G270" s="615"/>
      <c r="H270" s="615"/>
      <c r="I270" s="615"/>
      <c r="J270" s="615"/>
      <c r="K270" s="1687">
        <f>SUM(K263:K269)</f>
        <v>287803</v>
      </c>
      <c r="L270" s="1687">
        <f>SUM(L263:L269)</f>
        <v>317147</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1" t="s">
        <v>1120</v>
      </c>
      <c r="B272" s="613">
        <v>2610</v>
      </c>
      <c r="C272" s="615"/>
      <c r="D272" s="480">
        <v>0</v>
      </c>
      <c r="E272" s="615"/>
      <c r="F272" s="615"/>
      <c r="G272" s="615"/>
      <c r="H272" s="615"/>
      <c r="I272" s="615"/>
      <c r="J272" s="615"/>
      <c r="K272" s="1689">
        <f>D272</f>
        <v>0</v>
      </c>
      <c r="L272" s="480">
        <v>0</v>
      </c>
    </row>
    <row r="273" spans="1:12" x14ac:dyDescent="0.2">
      <c r="A273" s="1521" t="s">
        <v>628</v>
      </c>
      <c r="B273" s="627">
        <v>2620</v>
      </c>
      <c r="C273" s="615"/>
      <c r="D273" s="466">
        <v>0</v>
      </c>
      <c r="E273" s="615"/>
      <c r="F273" s="615"/>
      <c r="G273" s="615"/>
      <c r="H273" s="615"/>
      <c r="I273" s="615"/>
      <c r="J273" s="615"/>
      <c r="K273" s="1689">
        <f>D273</f>
        <v>0</v>
      </c>
      <c r="L273" s="466">
        <v>0</v>
      </c>
    </row>
    <row r="274" spans="1:12" ht="12" customHeight="1" x14ac:dyDescent="0.2">
      <c r="A274" s="1521" t="s">
        <v>1121</v>
      </c>
      <c r="B274" s="613">
        <v>2630</v>
      </c>
      <c r="C274" s="615"/>
      <c r="D274" s="466">
        <v>5546</v>
      </c>
      <c r="E274" s="615"/>
      <c r="F274" s="615"/>
      <c r="G274" s="615"/>
      <c r="H274" s="615"/>
      <c r="I274" s="615"/>
      <c r="J274" s="615"/>
      <c r="K274" s="1689">
        <f>D274</f>
        <v>5546</v>
      </c>
      <c r="L274" s="466">
        <v>5615</v>
      </c>
    </row>
    <row r="275" spans="1:12" x14ac:dyDescent="0.2">
      <c r="A275" s="1521" t="s">
        <v>423</v>
      </c>
      <c r="B275" s="613">
        <v>2640</v>
      </c>
      <c r="C275" s="615"/>
      <c r="D275" s="466">
        <v>0</v>
      </c>
      <c r="E275" s="615"/>
      <c r="F275" s="615"/>
      <c r="G275" s="615"/>
      <c r="H275" s="615"/>
      <c r="I275" s="615"/>
      <c r="J275" s="615"/>
      <c r="K275" s="1689">
        <f>D275</f>
        <v>0</v>
      </c>
      <c r="L275" s="466">
        <v>0</v>
      </c>
    </row>
    <row r="276" spans="1:12" x14ac:dyDescent="0.2">
      <c r="A276" s="1521" t="s">
        <v>424</v>
      </c>
      <c r="B276" s="613">
        <v>2660</v>
      </c>
      <c r="C276" s="615"/>
      <c r="D276" s="466">
        <v>0</v>
      </c>
      <c r="E276" s="615"/>
      <c r="F276" s="615"/>
      <c r="G276" s="615"/>
      <c r="H276" s="615"/>
      <c r="I276" s="615"/>
      <c r="J276" s="615"/>
      <c r="K276" s="1689">
        <f>D276</f>
        <v>0</v>
      </c>
      <c r="L276" s="466">
        <v>0</v>
      </c>
    </row>
    <row r="277" spans="1:12" ht="12.75" customHeight="1" thickBot="1" x14ac:dyDescent="0.25">
      <c r="A277" s="1708" t="s">
        <v>37</v>
      </c>
      <c r="B277" s="1686" t="s">
        <v>36</v>
      </c>
      <c r="C277" s="615"/>
      <c r="D277" s="1687">
        <f>SUM(D272:D276)</f>
        <v>5546</v>
      </c>
      <c r="E277" s="615"/>
      <c r="F277" s="615"/>
      <c r="G277" s="615"/>
      <c r="H277" s="615"/>
      <c r="I277" s="615"/>
      <c r="J277" s="615"/>
      <c r="K277" s="1687">
        <f>SUM(K272:K276)</f>
        <v>5546</v>
      </c>
      <c r="L277" s="1687">
        <f>SUM(L272:L276)</f>
        <v>5615</v>
      </c>
    </row>
    <row r="278" spans="1:12" ht="13.5" customHeight="1" thickTop="1" x14ac:dyDescent="0.2">
      <c r="A278" s="1527" t="s">
        <v>1037</v>
      </c>
      <c r="B278" s="654" t="s">
        <v>595</v>
      </c>
      <c r="C278" s="615"/>
      <c r="D278" s="655">
        <v>0</v>
      </c>
      <c r="E278" s="615"/>
      <c r="F278" s="615"/>
      <c r="G278" s="615"/>
      <c r="H278" s="615"/>
      <c r="I278" s="615"/>
      <c r="J278" s="615"/>
      <c r="K278" s="1702">
        <f>D278</f>
        <v>0</v>
      </c>
      <c r="L278" s="655">
        <v>0</v>
      </c>
    </row>
    <row r="279" spans="1:12" ht="12.75" customHeight="1" thickBot="1" x14ac:dyDescent="0.25">
      <c r="A279" s="1715" t="s">
        <v>865</v>
      </c>
      <c r="B279" s="1698">
        <v>2000</v>
      </c>
      <c r="C279" s="615"/>
      <c r="D279" s="1694">
        <f>SUM(D238,D243,D257,D261,D270,D277,D278)</f>
        <v>406914</v>
      </c>
      <c r="E279" s="615"/>
      <c r="F279" s="615"/>
      <c r="G279" s="615"/>
      <c r="H279" s="615"/>
      <c r="I279" s="615"/>
      <c r="J279" s="615"/>
      <c r="K279" s="1694">
        <f>SUM(K238,K243,K257,K261,K270,K277,K278)</f>
        <v>406914</v>
      </c>
      <c r="L279" s="1694">
        <f>SUM(L238,L243,L257,L261,L270,L277,L278)</f>
        <v>448105</v>
      </c>
    </row>
    <row r="280" spans="1:12" ht="15.75" customHeight="1" thickTop="1" thickBot="1" x14ac:dyDescent="0.25">
      <c r="A280" s="1641" t="s">
        <v>930</v>
      </c>
      <c r="B280" s="1630">
        <v>3000</v>
      </c>
      <c r="C280" s="615"/>
      <c r="D280" s="574">
        <v>6305</v>
      </c>
      <c r="E280" s="615"/>
      <c r="F280" s="615"/>
      <c r="G280" s="615"/>
      <c r="H280" s="615"/>
      <c r="I280" s="615"/>
      <c r="J280" s="615"/>
      <c r="K280" s="1696">
        <f>D280</f>
        <v>6305</v>
      </c>
      <c r="L280" s="574">
        <v>6474</v>
      </c>
    </row>
    <row r="281" spans="1:12" ht="15.75" customHeight="1" thickTop="1" x14ac:dyDescent="0.2">
      <c r="A281" s="1631" t="s">
        <v>144</v>
      </c>
      <c r="B281" s="1632" t="s">
        <v>915</v>
      </c>
      <c r="C281" s="615"/>
      <c r="D281" s="564"/>
      <c r="E281" s="615"/>
      <c r="F281" s="615"/>
      <c r="G281" s="615"/>
      <c r="H281" s="615"/>
      <c r="I281" s="615"/>
      <c r="J281" s="615"/>
      <c r="K281" s="615"/>
      <c r="L281" s="615"/>
    </row>
    <row r="282" spans="1:12" ht="15.75" customHeight="1" x14ac:dyDescent="0.2">
      <c r="A282" s="1848" t="s">
        <v>517</v>
      </c>
      <c r="B282" s="689" t="s">
        <v>1952</v>
      </c>
      <c r="C282" s="615"/>
      <c r="D282" s="467">
        <v>0</v>
      </c>
      <c r="E282" s="615"/>
      <c r="F282" s="615"/>
      <c r="G282" s="615"/>
      <c r="H282" s="615"/>
      <c r="I282" s="615"/>
      <c r="J282" s="615"/>
      <c r="K282" s="1688">
        <f>D282</f>
        <v>0</v>
      </c>
      <c r="L282" s="467">
        <v>0</v>
      </c>
    </row>
    <row r="283" spans="1:12" x14ac:dyDescent="0.2">
      <c r="A283" s="1521" t="s">
        <v>322</v>
      </c>
      <c r="B283" s="613">
        <v>4120</v>
      </c>
      <c r="C283" s="615"/>
      <c r="D283" s="466">
        <v>53936</v>
      </c>
      <c r="E283" s="615"/>
      <c r="F283" s="615"/>
      <c r="G283" s="615"/>
      <c r="H283" s="615"/>
      <c r="I283" s="615"/>
      <c r="J283" s="615"/>
      <c r="K283" s="1688">
        <f>D283</f>
        <v>53936</v>
      </c>
      <c r="L283" s="466">
        <v>56655</v>
      </c>
    </row>
    <row r="284" spans="1:12" x14ac:dyDescent="0.2">
      <c r="A284" s="1521" t="s">
        <v>721</v>
      </c>
      <c r="B284" s="613">
        <v>4140</v>
      </c>
      <c r="C284" s="615"/>
      <c r="D284" s="467">
        <v>0</v>
      </c>
      <c r="E284" s="615"/>
      <c r="F284" s="615"/>
      <c r="G284" s="615"/>
      <c r="H284" s="615"/>
      <c r="I284" s="615"/>
      <c r="J284" s="615"/>
      <c r="K284" s="1688">
        <f>D284</f>
        <v>0</v>
      </c>
      <c r="L284" s="466">
        <v>0</v>
      </c>
    </row>
    <row r="285" spans="1:12" ht="12.75" customHeight="1" thickBot="1" x14ac:dyDescent="0.25">
      <c r="A285" s="1685" t="s">
        <v>1567</v>
      </c>
      <c r="B285" s="1686" t="s">
        <v>915</v>
      </c>
      <c r="C285" s="615"/>
      <c r="D285" s="1687">
        <f>SUM(D282:D284)</f>
        <v>53936</v>
      </c>
      <c r="E285" s="615"/>
      <c r="F285" s="615"/>
      <c r="G285" s="615"/>
      <c r="H285" s="615"/>
      <c r="I285" s="615"/>
      <c r="J285" s="615"/>
      <c r="K285" s="1687">
        <f>SUM(K282:K284)</f>
        <v>53936</v>
      </c>
      <c r="L285" s="1687">
        <f>SUM(L282:L284)</f>
        <v>56655</v>
      </c>
    </row>
    <row r="286" spans="1:12" ht="15.75" customHeight="1" thickTop="1" x14ac:dyDescent="0.2">
      <c r="A286" s="1629" t="s">
        <v>931</v>
      </c>
      <c r="B286" s="1626"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1" t="s">
        <v>89</v>
      </c>
      <c r="B288" s="613">
        <v>5110</v>
      </c>
      <c r="C288" s="615"/>
      <c r="D288" s="615"/>
      <c r="E288" s="615"/>
      <c r="F288" s="615"/>
      <c r="G288" s="615"/>
      <c r="H288" s="466">
        <v>0</v>
      </c>
      <c r="I288" s="615"/>
      <c r="J288" s="615"/>
      <c r="K288" s="1688">
        <f>H288</f>
        <v>0</v>
      </c>
      <c r="L288" s="466">
        <v>0</v>
      </c>
    </row>
    <row r="289" spans="1:14" x14ac:dyDescent="0.2">
      <c r="A289" s="1521" t="s">
        <v>90</v>
      </c>
      <c r="B289" s="613">
        <v>5120</v>
      </c>
      <c r="C289" s="615"/>
      <c r="D289" s="615"/>
      <c r="E289" s="615"/>
      <c r="F289" s="615"/>
      <c r="G289" s="615"/>
      <c r="H289" s="466">
        <v>0</v>
      </c>
      <c r="I289" s="615"/>
      <c r="J289" s="615"/>
      <c r="K289" s="1688">
        <f>H289</f>
        <v>0</v>
      </c>
      <c r="L289" s="466">
        <v>0</v>
      </c>
    </row>
    <row r="290" spans="1:14" ht="12.75" customHeight="1" x14ac:dyDescent="0.2">
      <c r="A290" s="1521" t="s">
        <v>1232</v>
      </c>
      <c r="B290" s="627" t="s">
        <v>638</v>
      </c>
      <c r="C290" s="615"/>
      <c r="D290" s="615"/>
      <c r="E290" s="615"/>
      <c r="F290" s="615"/>
      <c r="G290" s="615"/>
      <c r="H290" s="466">
        <v>0</v>
      </c>
      <c r="I290" s="615"/>
      <c r="J290" s="615"/>
      <c r="K290" s="1688">
        <f>H290</f>
        <v>0</v>
      </c>
      <c r="L290" s="466">
        <v>0</v>
      </c>
    </row>
    <row r="291" spans="1:14" x14ac:dyDescent="0.2">
      <c r="A291" s="1521" t="s">
        <v>91</v>
      </c>
      <c r="B291" s="613" t="s">
        <v>610</v>
      </c>
      <c r="C291" s="615"/>
      <c r="D291" s="615"/>
      <c r="E291" s="615"/>
      <c r="F291" s="615"/>
      <c r="G291" s="615"/>
      <c r="H291" s="466">
        <v>0</v>
      </c>
      <c r="I291" s="615"/>
      <c r="J291" s="615"/>
      <c r="K291" s="1688">
        <f>H291</f>
        <v>0</v>
      </c>
      <c r="L291" s="466">
        <v>0</v>
      </c>
    </row>
    <row r="292" spans="1:14" x14ac:dyDescent="0.2">
      <c r="A292" s="1521" t="s">
        <v>786</v>
      </c>
      <c r="B292" s="613" t="s">
        <v>639</v>
      </c>
      <c r="C292" s="615"/>
      <c r="D292" s="615"/>
      <c r="E292" s="615"/>
      <c r="F292" s="615"/>
      <c r="G292" s="615"/>
      <c r="H292" s="466">
        <v>0</v>
      </c>
      <c r="I292" s="615"/>
      <c r="J292" s="615"/>
      <c r="K292" s="1688">
        <f>H292</f>
        <v>0</v>
      </c>
      <c r="L292" s="466">
        <v>0</v>
      </c>
    </row>
    <row r="293" spans="1:14" ht="12.75" customHeight="1" thickBot="1" x14ac:dyDescent="0.25">
      <c r="A293" s="1685" t="s">
        <v>505</v>
      </c>
      <c r="B293" s="1686" t="s">
        <v>513</v>
      </c>
      <c r="C293" s="615"/>
      <c r="D293" s="615"/>
      <c r="E293" s="615"/>
      <c r="F293" s="615"/>
      <c r="G293" s="615"/>
      <c r="H293" s="1687">
        <f>SUM(H288:H292)</f>
        <v>0</v>
      </c>
      <c r="I293" s="615"/>
      <c r="J293" s="615"/>
      <c r="K293" s="1687">
        <f>SUM(K288:K292)</f>
        <v>0</v>
      </c>
      <c r="L293" s="1687">
        <f>SUM(L288:L292)</f>
        <v>0</v>
      </c>
    </row>
    <row r="294" spans="1:14" ht="15.75" customHeight="1" thickTop="1" thickBot="1" x14ac:dyDescent="0.25">
      <c r="A294" s="1642" t="s">
        <v>932</v>
      </c>
      <c r="B294" s="1630" t="s">
        <v>916</v>
      </c>
      <c r="C294" s="615"/>
      <c r="D294" s="622"/>
      <c r="E294" s="615"/>
      <c r="F294" s="615"/>
      <c r="G294" s="615"/>
      <c r="H294" s="685"/>
      <c r="I294" s="615"/>
      <c r="J294" s="615"/>
      <c r="K294" s="685"/>
      <c r="L294" s="576">
        <v>0</v>
      </c>
    </row>
    <row r="295" spans="1:14" ht="12.75" customHeight="1" thickTop="1" thickBot="1" x14ac:dyDescent="0.25">
      <c r="A295" s="2297" t="s">
        <v>526</v>
      </c>
      <c r="B295" s="2298"/>
      <c r="C295" s="615"/>
      <c r="D295" s="1687">
        <f>SUM(D229,D279,D280,D285)</f>
        <v>666917</v>
      </c>
      <c r="E295" s="615"/>
      <c r="F295" s="615"/>
      <c r="G295" s="615"/>
      <c r="H295" s="1687">
        <f>H293</f>
        <v>0</v>
      </c>
      <c r="I295" s="615"/>
      <c r="J295" s="615"/>
      <c r="K295" s="1687">
        <f>SUM(K229,K279,K280,K285,K293,K294)</f>
        <v>666917</v>
      </c>
      <c r="L295" s="1687">
        <f>SUM(L229,L279,L280,L285,L293,L294)</f>
        <v>781585</v>
      </c>
    </row>
    <row r="296" spans="1:14" ht="13.5" thickTop="1" x14ac:dyDescent="0.2">
      <c r="A296" s="2279" t="s">
        <v>1053</v>
      </c>
      <c r="B296" s="2280"/>
      <c r="C296" s="615"/>
      <c r="D296" s="617"/>
      <c r="E296" s="615"/>
      <c r="F296" s="615"/>
      <c r="G296" s="615"/>
      <c r="H296" s="686"/>
      <c r="I296" s="615"/>
      <c r="J296" s="615"/>
      <c r="K296" s="1701">
        <f>'Revenues 9-14'!G275-'Expenditures 15-22'!K295</f>
        <v>96346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89" t="s">
        <v>145</v>
      </c>
      <c r="B298" s="2283"/>
      <c r="C298" s="1568"/>
      <c r="D298" s="1569"/>
      <c r="E298" s="1569"/>
      <c r="F298" s="1569"/>
      <c r="G298" s="1569"/>
      <c r="H298" s="1569"/>
      <c r="I298" s="1569"/>
      <c r="J298" s="1569"/>
      <c r="K298" s="1569"/>
      <c r="L298" s="1570"/>
    </row>
    <row r="299" spans="1:14" ht="15.75" customHeight="1" x14ac:dyDescent="0.2">
      <c r="A299" s="1629" t="s">
        <v>146</v>
      </c>
      <c r="B299" s="1632"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4" t="s">
        <v>629</v>
      </c>
      <c r="B301" s="688">
        <v>2530</v>
      </c>
      <c r="C301" s="466">
        <v>0</v>
      </c>
      <c r="D301" s="466">
        <v>0</v>
      </c>
      <c r="E301" s="466">
        <v>119315</v>
      </c>
      <c r="F301" s="466">
        <v>0</v>
      </c>
      <c r="G301" s="466">
        <v>290028</v>
      </c>
      <c r="H301" s="466">
        <v>0</v>
      </c>
      <c r="I301" s="467">
        <v>0</v>
      </c>
      <c r="J301" s="467">
        <v>0</v>
      </c>
      <c r="K301" s="1688">
        <f>SUM(C301:J301)</f>
        <v>409343</v>
      </c>
      <c r="L301" s="467">
        <v>308200</v>
      </c>
    </row>
    <row r="302" spans="1:14" ht="13.5" customHeight="1" x14ac:dyDescent="0.2">
      <c r="A302" s="1534" t="s">
        <v>1037</v>
      </c>
      <c r="B302" s="613" t="s">
        <v>595</v>
      </c>
      <c r="C302" s="466">
        <v>0</v>
      </c>
      <c r="D302" s="466">
        <v>0</v>
      </c>
      <c r="E302" s="466">
        <v>0</v>
      </c>
      <c r="F302" s="466">
        <v>0</v>
      </c>
      <c r="G302" s="466">
        <v>0</v>
      </c>
      <c r="H302" s="466">
        <v>0</v>
      </c>
      <c r="I302" s="467">
        <v>0</v>
      </c>
      <c r="J302" s="467">
        <v>0</v>
      </c>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119315</v>
      </c>
      <c r="F303" s="1694">
        <f t="shared" si="23"/>
        <v>0</v>
      </c>
      <c r="G303" s="1694">
        <f t="shared" si="23"/>
        <v>290028</v>
      </c>
      <c r="H303" s="1694">
        <f t="shared" si="23"/>
        <v>0</v>
      </c>
      <c r="I303" s="1694">
        <f t="shared" si="23"/>
        <v>0</v>
      </c>
      <c r="J303" s="1694">
        <f t="shared" si="23"/>
        <v>0</v>
      </c>
      <c r="K303" s="1694">
        <f t="shared" si="23"/>
        <v>409343</v>
      </c>
      <c r="L303" s="1694">
        <f t="shared" si="23"/>
        <v>308200</v>
      </c>
    </row>
    <row r="304" spans="1:14" ht="15.75" customHeight="1" thickTop="1" x14ac:dyDescent="0.2">
      <c r="A304" s="1629" t="s">
        <v>147</v>
      </c>
      <c r="B304" s="1630"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5" t="s">
        <v>1957</v>
      </c>
      <c r="B306" s="689" t="s">
        <v>1952</v>
      </c>
      <c r="C306" s="615"/>
      <c r="D306" s="615"/>
      <c r="E306" s="467">
        <v>0</v>
      </c>
      <c r="F306" s="615"/>
      <c r="G306" s="615"/>
      <c r="H306" s="467">
        <v>0</v>
      </c>
      <c r="I306" s="615"/>
      <c r="J306" s="615"/>
      <c r="K306" s="1688">
        <f>SUM(E306,H306)</f>
        <v>0</v>
      </c>
      <c r="L306" s="467">
        <v>0</v>
      </c>
    </row>
    <row r="307" spans="1:14" x14ac:dyDescent="0.2">
      <c r="A307" s="1521" t="s">
        <v>322</v>
      </c>
      <c r="B307" s="613">
        <v>4120</v>
      </c>
      <c r="C307" s="615"/>
      <c r="D307" s="615"/>
      <c r="E307" s="467">
        <v>0</v>
      </c>
      <c r="F307" s="615"/>
      <c r="G307" s="615"/>
      <c r="H307" s="467">
        <v>0</v>
      </c>
      <c r="I307" s="476"/>
      <c r="J307" s="615"/>
      <c r="K307" s="1688">
        <f>SUM(E307,H307)</f>
        <v>0</v>
      </c>
      <c r="L307" s="466">
        <v>0</v>
      </c>
    </row>
    <row r="308" spans="1:14" x14ac:dyDescent="0.2">
      <c r="A308" s="1521" t="s">
        <v>721</v>
      </c>
      <c r="B308" s="613">
        <v>4140</v>
      </c>
      <c r="C308" s="615"/>
      <c r="D308" s="615"/>
      <c r="E308" s="467">
        <v>0</v>
      </c>
      <c r="F308" s="615"/>
      <c r="G308" s="615"/>
      <c r="H308" s="467">
        <v>0</v>
      </c>
      <c r="I308" s="476"/>
      <c r="J308" s="615"/>
      <c r="K308" s="1688">
        <f>SUM(E308,H308)</f>
        <v>0</v>
      </c>
      <c r="L308" s="466">
        <v>0</v>
      </c>
    </row>
    <row r="309" spans="1:14" ht="12.75" customHeight="1" x14ac:dyDescent="0.2">
      <c r="A309" s="1525" t="s">
        <v>722</v>
      </c>
      <c r="B309" s="627">
        <v>4190</v>
      </c>
      <c r="C309" s="615"/>
      <c r="D309" s="615"/>
      <c r="E309" s="467">
        <v>0</v>
      </c>
      <c r="F309" s="615"/>
      <c r="G309" s="615"/>
      <c r="H309" s="467">
        <v>0</v>
      </c>
      <c r="I309" s="476"/>
      <c r="J309" s="615"/>
      <c r="K309" s="1688">
        <f>SUM(E309,H309)</f>
        <v>0</v>
      </c>
      <c r="L309" s="466">
        <v>0</v>
      </c>
    </row>
    <row r="310" spans="1:14" ht="12.75" customHeight="1" thickBot="1" x14ac:dyDescent="0.25">
      <c r="A310" s="1685" t="s">
        <v>1567</v>
      </c>
      <c r="B310" s="1692" t="s">
        <v>915</v>
      </c>
      <c r="C310" s="615"/>
      <c r="D310" s="615"/>
      <c r="E310" s="1687">
        <f>SUM(E306:E309)</f>
        <v>0</v>
      </c>
      <c r="F310" s="615"/>
      <c r="G310" s="615"/>
      <c r="H310" s="1687">
        <f>SUM(H306:H309)</f>
        <v>0</v>
      </c>
      <c r="I310" s="476"/>
      <c r="J310" s="615"/>
      <c r="K310" s="1687">
        <f>SUM(K306:K309)</f>
        <v>0</v>
      </c>
      <c r="L310" s="1694">
        <f>SUM(L306:L309)</f>
        <v>0</v>
      </c>
    </row>
    <row r="311" spans="1:14" ht="15.75" customHeight="1" thickTop="1" thickBot="1" x14ac:dyDescent="0.25">
      <c r="A311" s="1636" t="s">
        <v>951</v>
      </c>
      <c r="B311" s="1628" t="s">
        <v>916</v>
      </c>
      <c r="C311" s="622"/>
      <c r="D311" s="622"/>
      <c r="E311" s="622"/>
      <c r="F311" s="622"/>
      <c r="G311" s="622"/>
      <c r="H311" s="622"/>
      <c r="I311" s="622"/>
      <c r="J311" s="615"/>
      <c r="K311" s="622"/>
      <c r="L311" s="574">
        <v>0</v>
      </c>
    </row>
    <row r="312" spans="1:14" s="673" customFormat="1" ht="12.75" customHeight="1" thickTop="1" thickBot="1" x14ac:dyDescent="0.25">
      <c r="A312" s="2294" t="s">
        <v>295</v>
      </c>
      <c r="B312" s="2295"/>
      <c r="C312" s="1687">
        <f>SUM(C303)</f>
        <v>0</v>
      </c>
      <c r="D312" s="1687">
        <f>SUM(D303)</f>
        <v>0</v>
      </c>
      <c r="E312" s="1687">
        <f>SUM(E303,E310)</f>
        <v>119315</v>
      </c>
      <c r="F312" s="1687">
        <f>SUM(F303)</f>
        <v>0</v>
      </c>
      <c r="G312" s="1687">
        <f>SUM(G303)</f>
        <v>290028</v>
      </c>
      <c r="H312" s="1687">
        <f>SUM(H303,H310)</f>
        <v>0</v>
      </c>
      <c r="I312" s="1687">
        <f>SUM(I303)</f>
        <v>0</v>
      </c>
      <c r="J312" s="1687">
        <f>SUM(J303)</f>
        <v>0</v>
      </c>
      <c r="K312" s="1687">
        <f>SUM(K303,K310,K311)</f>
        <v>409343</v>
      </c>
      <c r="L312" s="1687">
        <f>SUM(L303,L310,L311)</f>
        <v>308200</v>
      </c>
      <c r="M312" s="664"/>
      <c r="N312" s="664"/>
    </row>
    <row r="313" spans="1:14" ht="13.5" thickTop="1" x14ac:dyDescent="0.2">
      <c r="A313" s="2290" t="s">
        <v>1053</v>
      </c>
      <c r="B313" s="2291"/>
      <c r="C313" s="625"/>
      <c r="D313" s="625"/>
      <c r="E313" s="625"/>
      <c r="F313" s="625"/>
      <c r="G313" s="625"/>
      <c r="H313" s="625"/>
      <c r="I313" s="625"/>
      <c r="J313" s="625"/>
      <c r="K313" s="1702">
        <f>'Revenues 9-14'!H275-'Expenditures 15-22'!K312</f>
        <v>569007</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03" t="s">
        <v>151</v>
      </c>
      <c r="B315" s="2304"/>
      <c r="C315" s="1573"/>
      <c r="D315" s="1574"/>
      <c r="E315" s="1574"/>
      <c r="F315" s="1574"/>
      <c r="G315" s="1574"/>
      <c r="H315" s="1574"/>
      <c r="I315" s="1574"/>
      <c r="J315" s="1574"/>
      <c r="K315" s="1574"/>
      <c r="L315" s="1575"/>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05" t="s">
        <v>954</v>
      </c>
      <c r="B317" s="2304"/>
      <c r="C317" s="1573"/>
      <c r="D317" s="1574"/>
      <c r="E317" s="1574"/>
      <c r="F317" s="1574"/>
      <c r="G317" s="1574"/>
      <c r="H317" s="1574"/>
      <c r="I317" s="1574"/>
      <c r="J317" s="1574"/>
      <c r="K317" s="1574"/>
      <c r="L317" s="1575"/>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6" t="s">
        <v>317</v>
      </c>
      <c r="B319" s="696" t="s">
        <v>299</v>
      </c>
      <c r="C319" s="467">
        <v>0</v>
      </c>
      <c r="D319" s="467">
        <v>0</v>
      </c>
      <c r="E319" s="467">
        <v>0</v>
      </c>
      <c r="F319" s="467">
        <v>0</v>
      </c>
      <c r="G319" s="467">
        <v>0</v>
      </c>
      <c r="H319" s="467">
        <v>0</v>
      </c>
      <c r="I319" s="467">
        <v>0</v>
      </c>
      <c r="J319" s="467">
        <v>0</v>
      </c>
      <c r="K319" s="1688">
        <f>SUM(C319:J319)</f>
        <v>0</v>
      </c>
      <c r="L319" s="467">
        <v>0</v>
      </c>
      <c r="M319" s="664"/>
      <c r="N319" s="664"/>
    </row>
    <row r="320" spans="1:14" s="673" customFormat="1" x14ac:dyDescent="0.2">
      <c r="A320" s="1540" t="s">
        <v>1903</v>
      </c>
      <c r="B320" s="697" t="s">
        <v>300</v>
      </c>
      <c r="C320" s="467">
        <v>0</v>
      </c>
      <c r="D320" s="467">
        <v>0</v>
      </c>
      <c r="E320" s="467">
        <v>107063</v>
      </c>
      <c r="F320" s="467">
        <v>0</v>
      </c>
      <c r="G320" s="467">
        <v>0</v>
      </c>
      <c r="H320" s="467">
        <v>0</v>
      </c>
      <c r="I320" s="467">
        <v>0</v>
      </c>
      <c r="J320" s="467">
        <v>0</v>
      </c>
      <c r="K320" s="1688">
        <f t="shared" ref="K320:K327" si="24">SUM(C320:J320)</f>
        <v>107063</v>
      </c>
      <c r="L320" s="467">
        <v>135000</v>
      </c>
      <c r="M320" s="664"/>
      <c r="N320" s="664"/>
    </row>
    <row r="321" spans="1:14" s="673" customFormat="1" x14ac:dyDescent="0.2">
      <c r="A321" s="1536" t="s">
        <v>318</v>
      </c>
      <c r="B321" s="696" t="s">
        <v>301</v>
      </c>
      <c r="C321" s="467">
        <v>0</v>
      </c>
      <c r="D321" s="467">
        <v>0</v>
      </c>
      <c r="E321" s="467">
        <v>3772</v>
      </c>
      <c r="F321" s="467">
        <v>0</v>
      </c>
      <c r="G321" s="467">
        <v>0</v>
      </c>
      <c r="H321" s="467">
        <v>0</v>
      </c>
      <c r="I321" s="467">
        <v>0</v>
      </c>
      <c r="J321" s="467">
        <v>0</v>
      </c>
      <c r="K321" s="1688">
        <f t="shared" si="24"/>
        <v>3772</v>
      </c>
      <c r="L321" s="467">
        <v>4000</v>
      </c>
      <c r="M321" s="664"/>
      <c r="N321" s="664"/>
    </row>
    <row r="322" spans="1:14" s="673" customFormat="1" x14ac:dyDescent="0.2">
      <c r="A322" s="1536" t="s">
        <v>256</v>
      </c>
      <c r="B322" s="696" t="s">
        <v>302</v>
      </c>
      <c r="C322" s="467">
        <v>0</v>
      </c>
      <c r="D322" s="467">
        <v>0</v>
      </c>
      <c r="E322" s="467">
        <v>19327</v>
      </c>
      <c r="F322" s="467">
        <v>0</v>
      </c>
      <c r="G322" s="467">
        <v>0</v>
      </c>
      <c r="H322" s="467">
        <v>0</v>
      </c>
      <c r="I322" s="467">
        <v>0</v>
      </c>
      <c r="J322" s="467">
        <v>0</v>
      </c>
      <c r="K322" s="1688">
        <f t="shared" si="24"/>
        <v>19327</v>
      </c>
      <c r="L322" s="467">
        <v>23000</v>
      </c>
      <c r="M322" s="664"/>
      <c r="N322" s="664"/>
    </row>
    <row r="323" spans="1:14" s="673" customFormat="1" x14ac:dyDescent="0.2">
      <c r="A323" s="1536" t="s">
        <v>726</v>
      </c>
      <c r="B323" s="696" t="s">
        <v>303</v>
      </c>
      <c r="C323" s="467">
        <v>127509</v>
      </c>
      <c r="D323" s="467">
        <v>16265</v>
      </c>
      <c r="E323" s="467">
        <v>3000</v>
      </c>
      <c r="F323" s="467">
        <v>0</v>
      </c>
      <c r="G323" s="467">
        <v>0</v>
      </c>
      <c r="H323" s="467">
        <v>0</v>
      </c>
      <c r="I323" s="467">
        <v>0</v>
      </c>
      <c r="J323" s="467">
        <v>0</v>
      </c>
      <c r="K323" s="1688">
        <f t="shared" si="24"/>
        <v>146774</v>
      </c>
      <c r="L323" s="467">
        <v>134309</v>
      </c>
      <c r="M323" s="664"/>
      <c r="N323" s="664"/>
    </row>
    <row r="324" spans="1:14" s="673" customFormat="1" x14ac:dyDescent="0.2">
      <c r="A324" s="1536" t="s">
        <v>257</v>
      </c>
      <c r="B324" s="696" t="s">
        <v>304</v>
      </c>
      <c r="C324" s="467">
        <v>0</v>
      </c>
      <c r="D324" s="467">
        <v>0</v>
      </c>
      <c r="E324" s="467">
        <v>0</v>
      </c>
      <c r="F324" s="467">
        <v>0</v>
      </c>
      <c r="G324" s="467">
        <v>0</v>
      </c>
      <c r="H324" s="467">
        <v>0</v>
      </c>
      <c r="I324" s="467">
        <v>0</v>
      </c>
      <c r="J324" s="467">
        <v>0</v>
      </c>
      <c r="K324" s="1688">
        <f t="shared" si="24"/>
        <v>0</v>
      </c>
      <c r="L324" s="467">
        <v>0</v>
      </c>
      <c r="M324" s="664"/>
      <c r="N324" s="664"/>
    </row>
    <row r="325" spans="1:14" s="673" customFormat="1" ht="22.5" x14ac:dyDescent="0.2">
      <c r="A325" s="1536" t="s">
        <v>1087</v>
      </c>
      <c r="B325" s="697" t="s">
        <v>305</v>
      </c>
      <c r="C325" s="467">
        <v>0</v>
      </c>
      <c r="D325" s="467">
        <v>0</v>
      </c>
      <c r="E325" s="467">
        <v>0</v>
      </c>
      <c r="F325" s="467">
        <v>0</v>
      </c>
      <c r="G325" s="467">
        <v>0</v>
      </c>
      <c r="H325" s="467">
        <v>0</v>
      </c>
      <c r="I325" s="467">
        <v>0</v>
      </c>
      <c r="J325" s="467">
        <v>0</v>
      </c>
      <c r="K325" s="1688">
        <f t="shared" si="24"/>
        <v>0</v>
      </c>
      <c r="L325" s="467">
        <v>0</v>
      </c>
      <c r="M325" s="664"/>
      <c r="N325" s="664"/>
    </row>
    <row r="326" spans="1:14" s="673" customFormat="1" x14ac:dyDescent="0.2">
      <c r="A326" s="1536" t="s">
        <v>1088</v>
      </c>
      <c r="B326" s="696" t="s">
        <v>306</v>
      </c>
      <c r="C326" s="467">
        <v>0</v>
      </c>
      <c r="D326" s="467">
        <v>0</v>
      </c>
      <c r="E326" s="467">
        <v>0</v>
      </c>
      <c r="F326" s="467">
        <v>0</v>
      </c>
      <c r="G326" s="467">
        <v>0</v>
      </c>
      <c r="H326" s="467">
        <v>0</v>
      </c>
      <c r="I326" s="467">
        <v>0</v>
      </c>
      <c r="J326" s="467">
        <v>0</v>
      </c>
      <c r="K326" s="1688">
        <f t="shared" si="24"/>
        <v>0</v>
      </c>
      <c r="L326" s="467">
        <v>0</v>
      </c>
      <c r="M326" s="664"/>
      <c r="N326" s="664"/>
    </row>
    <row r="327" spans="1:14" s="673" customFormat="1" x14ac:dyDescent="0.2">
      <c r="A327" s="1536" t="s">
        <v>1028</v>
      </c>
      <c r="B327" s="696" t="s">
        <v>307</v>
      </c>
      <c r="C327" s="467">
        <v>0</v>
      </c>
      <c r="D327" s="467">
        <v>0</v>
      </c>
      <c r="E327" s="467">
        <v>51764</v>
      </c>
      <c r="F327" s="467">
        <v>0</v>
      </c>
      <c r="G327" s="467">
        <v>0</v>
      </c>
      <c r="H327" s="467">
        <v>0</v>
      </c>
      <c r="I327" s="467">
        <v>0</v>
      </c>
      <c r="J327" s="467">
        <v>0</v>
      </c>
      <c r="K327" s="1688">
        <f t="shared" si="24"/>
        <v>51764</v>
      </c>
      <c r="L327" s="467">
        <v>16000</v>
      </c>
      <c r="M327" s="664"/>
      <c r="N327" s="664"/>
    </row>
    <row r="328" spans="1:14" s="673" customFormat="1" x14ac:dyDescent="0.2">
      <c r="A328" s="1537" t="s">
        <v>492</v>
      </c>
      <c r="B328" s="689" t="s">
        <v>1194</v>
      </c>
      <c r="C328" s="474">
        <v>0</v>
      </c>
      <c r="D328" s="474">
        <v>0</v>
      </c>
      <c r="E328" s="474">
        <v>167354</v>
      </c>
      <c r="F328" s="474">
        <v>0</v>
      </c>
      <c r="G328" s="474">
        <v>0</v>
      </c>
      <c r="H328" s="474">
        <v>0</v>
      </c>
      <c r="I328" s="474">
        <v>0</v>
      </c>
      <c r="J328" s="474">
        <v>0</v>
      </c>
      <c r="K328" s="1716">
        <f>SUM(C328:J328)</f>
        <v>167354</v>
      </c>
      <c r="L328" s="474">
        <v>170000</v>
      </c>
      <c r="M328" s="664"/>
      <c r="N328" s="664"/>
    </row>
    <row r="329" spans="1:14" s="673" customFormat="1" x14ac:dyDescent="0.2">
      <c r="A329" s="1537" t="s">
        <v>1195</v>
      </c>
      <c r="B329" s="689" t="s">
        <v>1196</v>
      </c>
      <c r="C329" s="474">
        <v>0</v>
      </c>
      <c r="D329" s="474">
        <v>0</v>
      </c>
      <c r="E329" s="474">
        <v>22363</v>
      </c>
      <c r="F329" s="474">
        <v>0</v>
      </c>
      <c r="G329" s="474">
        <v>0</v>
      </c>
      <c r="H329" s="474">
        <v>0</v>
      </c>
      <c r="I329" s="474">
        <v>0</v>
      </c>
      <c r="J329" s="474">
        <v>0</v>
      </c>
      <c r="K329" s="1716">
        <f>SUM(C329:J329)</f>
        <v>22363</v>
      </c>
      <c r="L329" s="474">
        <v>25000</v>
      </c>
      <c r="M329" s="664"/>
      <c r="N329" s="664"/>
    </row>
    <row r="330" spans="1:14" s="673" customFormat="1" ht="12.75" customHeight="1" thickBot="1" x14ac:dyDescent="0.25">
      <c r="A330" s="1717" t="s">
        <v>741</v>
      </c>
      <c r="B330" s="1686" t="s">
        <v>590</v>
      </c>
      <c r="C330" s="1687">
        <f>SUM(C319:C329)</f>
        <v>127509</v>
      </c>
      <c r="D330" s="1687">
        <f t="shared" ref="D330:J330" si="25">SUM(D319:D329)</f>
        <v>16265</v>
      </c>
      <c r="E330" s="1687">
        <f t="shared" si="25"/>
        <v>374643</v>
      </c>
      <c r="F330" s="1687">
        <f t="shared" si="25"/>
        <v>0</v>
      </c>
      <c r="G330" s="1687">
        <f t="shared" si="25"/>
        <v>0</v>
      </c>
      <c r="H330" s="1687">
        <f t="shared" si="25"/>
        <v>0</v>
      </c>
      <c r="I330" s="1687">
        <f t="shared" si="25"/>
        <v>0</v>
      </c>
      <c r="J330" s="1687">
        <f t="shared" si="25"/>
        <v>0</v>
      </c>
      <c r="K330" s="1687">
        <f>SUM(K319:K329)</f>
        <v>518417</v>
      </c>
      <c r="L330" s="1687">
        <f>SUM(L319:L329)</f>
        <v>507309</v>
      </c>
      <c r="M330" s="664"/>
      <c r="N330" s="664"/>
    </row>
    <row r="331" spans="1:14" s="673" customFormat="1" ht="12.75" customHeight="1" thickTop="1" x14ac:dyDescent="0.2">
      <c r="A331" s="1849" t="s">
        <v>1958</v>
      </c>
      <c r="B331" s="646" t="s">
        <v>915</v>
      </c>
      <c r="C331" s="1851"/>
      <c r="D331" s="1851"/>
      <c r="E331" s="1851"/>
      <c r="F331" s="1851"/>
      <c r="G331" s="1851"/>
      <c r="H331" s="1851"/>
      <c r="I331" s="1851"/>
      <c r="J331" s="1851"/>
      <c r="K331" s="1851"/>
      <c r="L331" s="1851"/>
      <c r="M331" s="664"/>
      <c r="N331" s="664"/>
    </row>
    <row r="332" spans="1:14" s="673" customFormat="1" ht="12.75" customHeight="1" x14ac:dyDescent="0.2">
      <c r="A332" s="1850" t="s">
        <v>517</v>
      </c>
      <c r="B332" s="1845" t="s">
        <v>1952</v>
      </c>
      <c r="C332" s="1851"/>
      <c r="D332" s="1851"/>
      <c r="E332" s="1851"/>
      <c r="F332" s="1851"/>
      <c r="G332" s="1851"/>
      <c r="H332" s="467">
        <v>0</v>
      </c>
      <c r="I332" s="1851"/>
      <c r="J332" s="1851"/>
      <c r="K332" s="1688">
        <f>H332</f>
        <v>0</v>
      </c>
      <c r="L332" s="467">
        <v>0</v>
      </c>
      <c r="M332" s="664"/>
      <c r="N332" s="664"/>
    </row>
    <row r="333" spans="1:14" s="673" customFormat="1" ht="12.75" customHeight="1" x14ac:dyDescent="0.2">
      <c r="A333" s="1850" t="s">
        <v>322</v>
      </c>
      <c r="B333" s="1845" t="s">
        <v>1954</v>
      </c>
      <c r="C333" s="1851"/>
      <c r="D333" s="1851"/>
      <c r="E333" s="1851"/>
      <c r="F333" s="1851"/>
      <c r="G333" s="1851"/>
      <c r="H333" s="467">
        <v>23533</v>
      </c>
      <c r="I333" s="1851"/>
      <c r="J333" s="1851"/>
      <c r="K333" s="1688">
        <f>H333</f>
        <v>23533</v>
      </c>
      <c r="L333" s="467">
        <v>0</v>
      </c>
      <c r="M333" s="664"/>
      <c r="N333" s="664"/>
    </row>
    <row r="334" spans="1:14" s="673" customFormat="1" ht="12.75" customHeight="1" thickBot="1" x14ac:dyDescent="0.25">
      <c r="A334" s="1850" t="s">
        <v>1959</v>
      </c>
      <c r="B334" s="1845" t="s">
        <v>915</v>
      </c>
      <c r="C334" s="1851"/>
      <c r="D334" s="1851"/>
      <c r="E334" s="1851"/>
      <c r="F334" s="1851"/>
      <c r="G334" s="1851"/>
      <c r="H334" s="1687">
        <f>SUM(H332:H333)</f>
        <v>23533</v>
      </c>
      <c r="I334" s="1851"/>
      <c r="J334" s="1851"/>
      <c r="K334" s="1687">
        <f>SUM(K332:K333)</f>
        <v>23533</v>
      </c>
      <c r="L334" s="1687">
        <f>SUM(L332:L333)</f>
        <v>0</v>
      </c>
      <c r="M334" s="664"/>
      <c r="N334" s="664"/>
    </row>
    <row r="335" spans="1:14" ht="15.75" customHeight="1" thickTop="1" x14ac:dyDescent="0.2">
      <c r="A335" s="1633" t="s">
        <v>955</v>
      </c>
      <c r="B335" s="1624"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5" t="s">
        <v>89</v>
      </c>
      <c r="B337" s="689" t="s">
        <v>956</v>
      </c>
      <c r="C337" s="637"/>
      <c r="D337" s="637"/>
      <c r="E337" s="637"/>
      <c r="F337" s="637"/>
      <c r="G337" s="637"/>
      <c r="H337" s="477">
        <v>0</v>
      </c>
      <c r="I337" s="637"/>
      <c r="J337" s="637"/>
      <c r="K337" s="1688">
        <f>H337</f>
        <v>0</v>
      </c>
      <c r="L337" s="477">
        <v>0</v>
      </c>
    </row>
    <row r="338" spans="1:14" ht="12.75" customHeight="1" x14ac:dyDescent="0.2">
      <c r="A338" s="1535" t="s">
        <v>1232</v>
      </c>
      <c r="B338" s="689" t="s">
        <v>638</v>
      </c>
      <c r="C338" s="637"/>
      <c r="D338" s="637"/>
      <c r="E338" s="637"/>
      <c r="F338" s="637"/>
      <c r="G338" s="637"/>
      <c r="H338" s="477">
        <v>0</v>
      </c>
      <c r="I338" s="637"/>
      <c r="J338" s="637"/>
      <c r="K338" s="1688">
        <f>H338</f>
        <v>0</v>
      </c>
      <c r="L338" s="477">
        <v>0</v>
      </c>
    </row>
    <row r="339" spans="1:14" x14ac:dyDescent="0.2">
      <c r="A339" s="1521" t="s">
        <v>957</v>
      </c>
      <c r="B339" s="627">
        <v>5150</v>
      </c>
      <c r="C339" s="637"/>
      <c r="D339" s="637"/>
      <c r="E339" s="637"/>
      <c r="F339" s="637"/>
      <c r="G339" s="637"/>
      <c r="H339" s="467">
        <v>0</v>
      </c>
      <c r="I339" s="637"/>
      <c r="J339" s="637"/>
      <c r="K339" s="1688">
        <f>H339</f>
        <v>0</v>
      </c>
      <c r="L339" s="467">
        <v>0</v>
      </c>
    </row>
    <row r="340" spans="1:14" ht="13.5" thickBot="1" x14ac:dyDescent="0.25">
      <c r="A340" s="1711" t="s">
        <v>958</v>
      </c>
      <c r="B340" s="1686" t="s">
        <v>513</v>
      </c>
      <c r="C340" s="615"/>
      <c r="D340" s="615"/>
      <c r="E340" s="615"/>
      <c r="F340" s="615"/>
      <c r="G340" s="615"/>
      <c r="H340" s="1705">
        <f>SUM(H337:H339)</f>
        <v>0</v>
      </c>
      <c r="I340" s="615"/>
      <c r="J340" s="615"/>
      <c r="K340" s="1705">
        <f>SUM(K337:K339)</f>
        <v>0</v>
      </c>
      <c r="L340" s="1705">
        <f>SUM(L337:L339)</f>
        <v>0</v>
      </c>
    </row>
    <row r="341" spans="1:14" ht="15.75" customHeight="1" thickTop="1" thickBot="1" x14ac:dyDescent="0.25">
      <c r="A341" s="1636" t="s">
        <v>959</v>
      </c>
      <c r="B341" s="1628" t="s">
        <v>916</v>
      </c>
      <c r="C341" s="615"/>
      <c r="D341" s="615"/>
      <c r="E341" s="476"/>
      <c r="F341" s="468"/>
      <c r="G341" s="468"/>
      <c r="H341" s="476"/>
      <c r="I341" s="476"/>
      <c r="J341" s="468"/>
      <c r="K341" s="476"/>
      <c r="L341" s="574">
        <v>0</v>
      </c>
    </row>
    <row r="342" spans="1:14" ht="12.75" customHeight="1" thickTop="1" thickBot="1" x14ac:dyDescent="0.25">
      <c r="A342" s="1703" t="s">
        <v>526</v>
      </c>
      <c r="B342" s="1718"/>
      <c r="C342" s="1687">
        <f>SUM(C330)</f>
        <v>127509</v>
      </c>
      <c r="D342" s="1687">
        <f>SUM(D330)</f>
        <v>16265</v>
      </c>
      <c r="E342" s="1687">
        <f>SUM(E330)</f>
        <v>374643</v>
      </c>
      <c r="F342" s="1687">
        <f>SUM(F330)</f>
        <v>0</v>
      </c>
      <c r="G342" s="1687">
        <f>SUM(G330)</f>
        <v>0</v>
      </c>
      <c r="H342" s="1687">
        <f>SUM(H330,H334,H340)</f>
        <v>23533</v>
      </c>
      <c r="I342" s="1687">
        <f>SUM(I330)</f>
        <v>0</v>
      </c>
      <c r="J342" s="1687">
        <f>SUM(J330)</f>
        <v>0</v>
      </c>
      <c r="K342" s="1687">
        <f>SUM(K330,K334,K340)</f>
        <v>541950</v>
      </c>
      <c r="L342" s="1694">
        <f>SUM(L330,L340,L341)</f>
        <v>507309</v>
      </c>
    </row>
    <row r="343" spans="1:14" ht="12.75" customHeight="1" thickTop="1" x14ac:dyDescent="0.2">
      <c r="A343" s="2292" t="s">
        <v>1053</v>
      </c>
      <c r="B343" s="2293"/>
      <c r="C343" s="615"/>
      <c r="D343" s="615"/>
      <c r="E343" s="615"/>
      <c r="F343" s="615"/>
      <c r="G343" s="615"/>
      <c r="H343" s="615"/>
      <c r="I343" s="615"/>
      <c r="J343" s="615"/>
      <c r="K343" s="1701">
        <f>'Revenues 9-14'!J275-'Expenditures 15-22'!K342</f>
        <v>25778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82" t="s">
        <v>1023</v>
      </c>
      <c r="B345" s="2283"/>
      <c r="C345" s="1568"/>
      <c r="D345" s="1569"/>
      <c r="E345" s="1569"/>
      <c r="F345" s="1569"/>
      <c r="G345" s="1569"/>
      <c r="H345" s="1569"/>
      <c r="I345" s="1569"/>
      <c r="J345" s="1569"/>
      <c r="K345" s="1569"/>
      <c r="L345" s="1570"/>
      <c r="M345" s="666"/>
      <c r="N345" s="666"/>
    </row>
    <row r="346" spans="1:14" s="343" customFormat="1" ht="15.75" customHeight="1" x14ac:dyDescent="0.2">
      <c r="A346" s="1640" t="s">
        <v>899</v>
      </c>
      <c r="B346" s="1632"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1" t="s">
        <v>4</v>
      </c>
      <c r="B348" s="613">
        <v>2530</v>
      </c>
      <c r="C348" s="466">
        <v>0</v>
      </c>
      <c r="D348" s="466">
        <v>0</v>
      </c>
      <c r="E348" s="466">
        <v>0</v>
      </c>
      <c r="F348" s="466">
        <v>0</v>
      </c>
      <c r="G348" s="466">
        <v>0</v>
      </c>
      <c r="H348" s="466">
        <v>0</v>
      </c>
      <c r="I348" s="467">
        <v>0</v>
      </c>
      <c r="J348" s="467">
        <v>0</v>
      </c>
      <c r="K348" s="1688">
        <f>SUM(C348:J348)</f>
        <v>0</v>
      </c>
      <c r="L348" s="466">
        <v>0</v>
      </c>
    </row>
    <row r="349" spans="1:14" x14ac:dyDescent="0.2">
      <c r="A349" s="1521" t="s">
        <v>206</v>
      </c>
      <c r="B349" s="613">
        <v>2540</v>
      </c>
      <c r="C349" s="466">
        <v>0</v>
      </c>
      <c r="D349" s="466">
        <v>0</v>
      </c>
      <c r="E349" s="466">
        <v>0</v>
      </c>
      <c r="F349" s="466">
        <v>0</v>
      </c>
      <c r="G349" s="466">
        <v>30000</v>
      </c>
      <c r="H349" s="466">
        <v>0</v>
      </c>
      <c r="I349" s="467">
        <v>0</v>
      </c>
      <c r="J349" s="467">
        <v>0</v>
      </c>
      <c r="K349" s="1688">
        <f>SUM(C349:J349)</f>
        <v>30000</v>
      </c>
      <c r="L349" s="466">
        <v>30000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30000</v>
      </c>
      <c r="H350" s="1687">
        <f t="shared" si="26"/>
        <v>0</v>
      </c>
      <c r="I350" s="1687">
        <f t="shared" si="26"/>
        <v>0</v>
      </c>
      <c r="J350" s="1687">
        <f t="shared" si="26"/>
        <v>0</v>
      </c>
      <c r="K350" s="1687">
        <f t="shared" si="26"/>
        <v>30000</v>
      </c>
      <c r="L350" s="1687">
        <f t="shared" si="26"/>
        <v>30000</v>
      </c>
    </row>
    <row r="351" spans="1:14" ht="12.75" customHeight="1" thickTop="1" x14ac:dyDescent="0.2">
      <c r="A351" s="1527"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30000</v>
      </c>
      <c r="H352" s="1687">
        <f t="shared" si="27"/>
        <v>0</v>
      </c>
      <c r="I352" s="1687">
        <f t="shared" si="27"/>
        <v>0</v>
      </c>
      <c r="J352" s="1687">
        <f t="shared" si="27"/>
        <v>0</v>
      </c>
      <c r="K352" s="1687">
        <f t="shared" si="27"/>
        <v>30000</v>
      </c>
      <c r="L352" s="1687">
        <f t="shared" si="27"/>
        <v>30000</v>
      </c>
    </row>
    <row r="353" spans="1:14" s="343" customFormat="1" ht="15.75" customHeight="1" thickTop="1" x14ac:dyDescent="0.2">
      <c r="A353" s="1629" t="s">
        <v>646</v>
      </c>
      <c r="B353" s="1626" t="s">
        <v>915</v>
      </c>
      <c r="C353" s="615"/>
      <c r="D353" s="615"/>
      <c r="E353" s="615"/>
      <c r="F353" s="615"/>
      <c r="G353" s="615"/>
      <c r="H353" s="615"/>
      <c r="I353" s="615"/>
      <c r="J353" s="615"/>
      <c r="K353" s="615"/>
      <c r="L353" s="615"/>
      <c r="M353" s="608"/>
      <c r="N353" s="608"/>
    </row>
    <row r="354" spans="1:14" x14ac:dyDescent="0.2">
      <c r="A354" s="1852" t="s">
        <v>1960</v>
      </c>
      <c r="B354" s="682" t="s">
        <v>1952</v>
      </c>
      <c r="C354" s="615"/>
      <c r="D354" s="615"/>
      <c r="E354" s="615"/>
      <c r="F354" s="615"/>
      <c r="G354" s="615"/>
      <c r="H354" s="474">
        <v>0</v>
      </c>
      <c r="I354" s="700"/>
      <c r="J354" s="615"/>
      <c r="K354" s="1716">
        <f>H354</f>
        <v>0</v>
      </c>
      <c r="L354" s="471">
        <v>0</v>
      </c>
    </row>
    <row r="355" spans="1:14" ht="12.75" customHeight="1" x14ac:dyDescent="0.2">
      <c r="A355" s="1530" t="s">
        <v>1961</v>
      </c>
      <c r="B355" s="689" t="s">
        <v>1954</v>
      </c>
      <c r="C355" s="615"/>
      <c r="D355" s="615"/>
      <c r="E355" s="615"/>
      <c r="F355" s="615"/>
      <c r="G355" s="615"/>
      <c r="H355" s="467">
        <v>0</v>
      </c>
      <c r="I355" s="700"/>
      <c r="J355" s="615"/>
      <c r="K355" s="1760">
        <f>H355</f>
        <v>0</v>
      </c>
      <c r="L355" s="467">
        <v>0</v>
      </c>
    </row>
    <row r="356" spans="1:14" ht="12.75" customHeight="1" x14ac:dyDescent="0.2">
      <c r="A356" s="1852" t="s">
        <v>722</v>
      </c>
      <c r="B356" s="682" t="s">
        <v>579</v>
      </c>
      <c r="C356" s="615"/>
      <c r="D356" s="615"/>
      <c r="E356" s="615"/>
      <c r="F356" s="615"/>
      <c r="G356" s="615"/>
      <c r="H356" s="478">
        <v>0</v>
      </c>
      <c r="I356" s="700"/>
      <c r="J356" s="615"/>
      <c r="K356" s="1757">
        <f>H356</f>
        <v>0</v>
      </c>
      <c r="L356" s="478">
        <v>0</v>
      </c>
    </row>
    <row r="357" spans="1:14" ht="12.75" customHeight="1" thickBot="1" x14ac:dyDescent="0.25">
      <c r="A357" s="1685" t="s">
        <v>1567</v>
      </c>
      <c r="B357" s="1686" t="s">
        <v>915</v>
      </c>
      <c r="C357" s="615"/>
      <c r="D357" s="615"/>
      <c r="E357" s="615"/>
      <c r="F357" s="615"/>
      <c r="G357" s="615"/>
      <c r="H357" s="1705">
        <f>SUM(H354:H356)</f>
        <v>0</v>
      </c>
      <c r="I357" s="700"/>
      <c r="J357" s="615"/>
      <c r="K357" s="1705">
        <f>SUM(K354:K356)</f>
        <v>0</v>
      </c>
      <c r="L357" s="1705">
        <f>SUM(L354:L356)</f>
        <v>0</v>
      </c>
    </row>
    <row r="358" spans="1:14" s="343" customFormat="1" ht="15.75" customHeight="1" thickTop="1" x14ac:dyDescent="0.2">
      <c r="A358" s="1629" t="s">
        <v>1005</v>
      </c>
      <c r="B358" s="1626"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1" t="s">
        <v>89</v>
      </c>
      <c r="B360" s="613">
        <v>5110</v>
      </c>
      <c r="C360" s="615"/>
      <c r="D360" s="615"/>
      <c r="E360" s="615"/>
      <c r="F360" s="615"/>
      <c r="G360" s="615"/>
      <c r="H360" s="467">
        <v>0</v>
      </c>
      <c r="I360" s="615"/>
      <c r="J360" s="615"/>
      <c r="K360" s="1688">
        <f>SUM(C360:J360)</f>
        <v>0</v>
      </c>
      <c r="L360" s="466">
        <v>0</v>
      </c>
    </row>
    <row r="361" spans="1:14" ht="12.75" customHeight="1" x14ac:dyDescent="0.2">
      <c r="A361" s="1522" t="s">
        <v>640</v>
      </c>
      <c r="B361" s="601" t="s">
        <v>639</v>
      </c>
      <c r="C361" s="615"/>
      <c r="D361" s="615"/>
      <c r="E361" s="615"/>
      <c r="F361" s="615"/>
      <c r="G361" s="615"/>
      <c r="H361" s="467">
        <v>0</v>
      </c>
      <c r="I361" s="615"/>
      <c r="J361" s="615"/>
      <c r="K361" s="1688">
        <f>SUM(C361:J361)</f>
        <v>0</v>
      </c>
      <c r="L361" s="466">
        <v>0</v>
      </c>
    </row>
    <row r="362" spans="1:14" ht="12.75" customHeight="1" thickBot="1" x14ac:dyDescent="0.25">
      <c r="A362" s="1685" t="s">
        <v>647</v>
      </c>
      <c r="B362" s="1686" t="s">
        <v>742</v>
      </c>
      <c r="C362" s="615"/>
      <c r="D362" s="615"/>
      <c r="E362" s="615"/>
      <c r="F362" s="615"/>
      <c r="G362" s="615"/>
      <c r="H362" s="1720">
        <f>SUM(H360:H361)</f>
        <v>0</v>
      </c>
      <c r="I362" s="615"/>
      <c r="J362" s="615"/>
      <c r="K362" s="1720">
        <f>SUM(K360:K361)</f>
        <v>0</v>
      </c>
      <c r="L362" s="1720">
        <f>SUM(L360:L361)</f>
        <v>0</v>
      </c>
    </row>
    <row r="363" spans="1:14" s="673" customFormat="1" ht="15.75" customHeight="1" thickTop="1" x14ac:dyDescent="0.2">
      <c r="A363" s="659" t="s">
        <v>85</v>
      </c>
      <c r="B363" s="660" t="s">
        <v>38</v>
      </c>
      <c r="C363" s="637"/>
      <c r="D363" s="637"/>
      <c r="E363" s="637"/>
      <c r="F363" s="637"/>
      <c r="G363" s="637"/>
      <c r="H363" s="478">
        <v>0</v>
      </c>
      <c r="I363" s="637"/>
      <c r="J363" s="637"/>
      <c r="K363" s="1716">
        <f>SUM(C363:J363)</f>
        <v>0</v>
      </c>
      <c r="L363" s="478">
        <v>0</v>
      </c>
      <c r="M363" s="664"/>
      <c r="N363" s="664"/>
    </row>
    <row r="364" spans="1:14" s="707" customFormat="1" ht="29.25" customHeight="1" x14ac:dyDescent="0.2">
      <c r="A364" s="701" t="s">
        <v>1769</v>
      </c>
      <c r="B364" s="702">
        <v>5300</v>
      </c>
      <c r="C364" s="703"/>
      <c r="D364" s="704"/>
      <c r="E364" s="704"/>
      <c r="F364" s="703"/>
      <c r="G364" s="704"/>
      <c r="H364" s="705">
        <v>0</v>
      </c>
      <c r="I364" s="704"/>
      <c r="J364" s="704"/>
      <c r="K364" s="1688">
        <f>SUM(C364:J364)</f>
        <v>0</v>
      </c>
      <c r="L364" s="706">
        <v>0</v>
      </c>
    </row>
    <row r="365" spans="1:14" s="673" customFormat="1" ht="12.75" customHeight="1" thickBot="1" x14ac:dyDescent="0.25">
      <c r="A365" s="1538" t="s">
        <v>611</v>
      </c>
      <c r="B365" s="658" t="s">
        <v>513</v>
      </c>
      <c r="C365" s="637"/>
      <c r="D365" s="637"/>
      <c r="E365" s="637"/>
      <c r="F365" s="637"/>
      <c r="G365" s="637"/>
      <c r="H365" s="1720">
        <f>SUM(H362,H363,H364)</f>
        <v>0</v>
      </c>
      <c r="I365" s="637"/>
      <c r="J365" s="637"/>
      <c r="K365" s="1720">
        <f>SUM(K362,K363,K364)</f>
        <v>0</v>
      </c>
      <c r="L365" s="1720">
        <f>SUM(L362,L363,L364)</f>
        <v>0</v>
      </c>
      <c r="M365" s="664"/>
      <c r="N365" s="664"/>
    </row>
    <row r="366" spans="1:14" s="343" customFormat="1" ht="15.75" customHeight="1" thickTop="1" thickBot="1" x14ac:dyDescent="0.25">
      <c r="A366" s="1623" t="s">
        <v>1006</v>
      </c>
      <c r="B366" s="1630" t="s">
        <v>916</v>
      </c>
      <c r="C366" s="622"/>
      <c r="D366" s="622"/>
      <c r="E366" s="622"/>
      <c r="F366" s="622"/>
      <c r="G366" s="622"/>
      <c r="H366" s="622"/>
      <c r="I366" s="622"/>
      <c r="J366" s="615"/>
      <c r="K366" s="622"/>
      <c r="L366" s="571">
        <v>0</v>
      </c>
      <c r="M366" s="608"/>
      <c r="N366" s="608"/>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30000</v>
      </c>
      <c r="H367" s="1687">
        <f t="shared" si="28"/>
        <v>0</v>
      </c>
      <c r="I367" s="1687">
        <f t="shared" si="28"/>
        <v>0</v>
      </c>
      <c r="J367" s="1687">
        <f t="shared" si="28"/>
        <v>0</v>
      </c>
      <c r="K367" s="1687">
        <f t="shared" si="28"/>
        <v>30000</v>
      </c>
      <c r="L367" s="1687">
        <f t="shared" si="28"/>
        <v>30000</v>
      </c>
    </row>
    <row r="368" spans="1:14" ht="13.5" thickTop="1" x14ac:dyDescent="0.2">
      <c r="A368" s="2279" t="s">
        <v>1053</v>
      </c>
      <c r="B368" s="2280"/>
      <c r="C368" s="653"/>
      <c r="D368" s="653"/>
      <c r="E368" s="625"/>
      <c r="F368" s="625"/>
      <c r="G368" s="625"/>
      <c r="H368" s="625"/>
      <c r="I368" s="625"/>
      <c r="J368" s="622"/>
      <c r="K368" s="1688">
        <f>'Revenues 9-14'!K275-'Expenditures 15-22'!K367</f>
        <v>8187</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306" t="s">
        <v>1900</v>
      </c>
      <c r="B2" s="1545" t="s">
        <v>2032</v>
      </c>
      <c r="C2" s="713" t="s">
        <v>1905</v>
      </c>
      <c r="D2" s="713" t="s">
        <v>1906</v>
      </c>
      <c r="E2" s="713" t="s">
        <v>1907</v>
      </c>
      <c r="F2" s="713" t="s">
        <v>1908</v>
      </c>
    </row>
    <row r="3" spans="1:6" ht="12" customHeight="1" x14ac:dyDescent="0.2">
      <c r="A3" s="2307"/>
      <c r="B3" s="1542"/>
      <c r="C3" s="1543"/>
      <c r="D3" s="1544" t="s">
        <v>274</v>
      </c>
      <c r="E3" s="1543"/>
      <c r="F3" s="1544" t="s">
        <v>275</v>
      </c>
    </row>
    <row r="4" spans="1:6" ht="13.7" customHeight="1" x14ac:dyDescent="0.2">
      <c r="A4" s="714" t="s">
        <v>1217</v>
      </c>
      <c r="B4" s="1766">
        <f>'Revenues 9-14'!C5</f>
        <v>1381715</v>
      </c>
      <c r="C4" s="1541">
        <v>598344</v>
      </c>
      <c r="D4" s="1769">
        <f>B4-C4</f>
        <v>783371</v>
      </c>
      <c r="E4" s="1541">
        <v>1406644</v>
      </c>
      <c r="F4" s="1769">
        <f>E4-C4</f>
        <v>808300</v>
      </c>
    </row>
    <row r="5" spans="1:6" ht="13.7" customHeight="1" x14ac:dyDescent="0.2">
      <c r="A5" s="714" t="s">
        <v>925</v>
      </c>
      <c r="B5" s="1767">
        <f>'Revenues 9-14'!D5</f>
        <v>375466</v>
      </c>
      <c r="C5" s="583">
        <v>162594</v>
      </c>
      <c r="D5" s="1770">
        <f t="shared" ref="D5:D18" si="0">B5-C5</f>
        <v>212872</v>
      </c>
      <c r="E5" s="583">
        <v>382240</v>
      </c>
      <c r="F5" s="1770">
        <f>E5-C5</f>
        <v>219646</v>
      </c>
    </row>
    <row r="6" spans="1:6" ht="13.7" customHeight="1" x14ac:dyDescent="0.2">
      <c r="A6" s="714" t="s">
        <v>431</v>
      </c>
      <c r="B6" s="1767">
        <f>'Revenues 9-14'!E5</f>
        <v>177629</v>
      </c>
      <c r="C6" s="583">
        <v>76126</v>
      </c>
      <c r="D6" s="1770">
        <f t="shared" si="0"/>
        <v>101503</v>
      </c>
      <c r="E6" s="583">
        <v>178965</v>
      </c>
      <c r="F6" s="1770">
        <f t="shared" ref="F6:F18" si="1">E6-C6</f>
        <v>102839</v>
      </c>
    </row>
    <row r="7" spans="1:6" ht="13.7" customHeight="1" x14ac:dyDescent="0.2">
      <c r="A7" s="714" t="s">
        <v>157</v>
      </c>
      <c r="B7" s="1767">
        <f>'Revenues 9-14'!F5</f>
        <v>150186</v>
      </c>
      <c r="C7" s="583">
        <v>65037</v>
      </c>
      <c r="D7" s="1770">
        <f t="shared" si="0"/>
        <v>85149</v>
      </c>
      <c r="E7" s="583">
        <v>152896</v>
      </c>
      <c r="F7" s="1770">
        <f t="shared" si="1"/>
        <v>87859</v>
      </c>
    </row>
    <row r="8" spans="1:6" ht="13.7" customHeight="1" x14ac:dyDescent="0.2">
      <c r="A8" s="714" t="s">
        <v>1241</v>
      </c>
      <c r="B8" s="1767">
        <f>'Revenues 9-14'!G5</f>
        <v>285246</v>
      </c>
      <c r="C8" s="583">
        <v>127636</v>
      </c>
      <c r="D8" s="1770">
        <f t="shared" si="0"/>
        <v>157610</v>
      </c>
      <c r="E8" s="583">
        <v>300059</v>
      </c>
      <c r="F8" s="1770">
        <f t="shared" si="1"/>
        <v>172423</v>
      </c>
    </row>
    <row r="9" spans="1:6" ht="13.7" customHeight="1" x14ac:dyDescent="0.2">
      <c r="A9" s="714" t="s">
        <v>428</v>
      </c>
      <c r="B9" s="1767">
        <f>'Revenues 9-14'!H5</f>
        <v>0</v>
      </c>
      <c r="C9" s="583">
        <v>0</v>
      </c>
      <c r="D9" s="1770">
        <f t="shared" si="0"/>
        <v>0</v>
      </c>
      <c r="E9" s="583">
        <v>0</v>
      </c>
      <c r="F9" s="1770">
        <f t="shared" si="1"/>
        <v>0</v>
      </c>
    </row>
    <row r="10" spans="1:6" ht="13.7" customHeight="1" x14ac:dyDescent="0.2">
      <c r="A10" s="714" t="s">
        <v>427</v>
      </c>
      <c r="B10" s="1767">
        <f>'Revenues 9-14'!I5</f>
        <v>37546</v>
      </c>
      <c r="C10" s="583">
        <v>16259</v>
      </c>
      <c r="D10" s="1770">
        <f t="shared" si="0"/>
        <v>21287</v>
      </c>
      <c r="E10" s="583">
        <v>38224</v>
      </c>
      <c r="F10" s="1770">
        <f t="shared" si="1"/>
        <v>21965</v>
      </c>
    </row>
    <row r="11" spans="1:6" x14ac:dyDescent="0.2">
      <c r="A11" s="714" t="s">
        <v>429</v>
      </c>
      <c r="B11" s="1767">
        <f>'Revenues 9-14'!J5</f>
        <v>564912</v>
      </c>
      <c r="C11" s="583">
        <v>244606</v>
      </c>
      <c r="D11" s="1770">
        <f t="shared" si="0"/>
        <v>320306</v>
      </c>
      <c r="E11" s="583">
        <v>575042</v>
      </c>
      <c r="F11" s="1770">
        <f t="shared" si="1"/>
        <v>330436</v>
      </c>
    </row>
    <row r="12" spans="1:6" ht="13.7" customHeight="1" x14ac:dyDescent="0.2">
      <c r="A12" s="714" t="s">
        <v>159</v>
      </c>
      <c r="B12" s="1767">
        <f>'Revenues 9-14'!K5</f>
        <v>37546</v>
      </c>
      <c r="C12" s="583">
        <v>16259</v>
      </c>
      <c r="D12" s="1770">
        <f t="shared" si="0"/>
        <v>21287</v>
      </c>
      <c r="E12" s="583">
        <v>38224</v>
      </c>
      <c r="F12" s="1770">
        <f t="shared" si="1"/>
        <v>21965</v>
      </c>
    </row>
    <row r="13" spans="1:6" ht="13.7" customHeight="1" x14ac:dyDescent="0.2">
      <c r="A13" s="714" t="s">
        <v>993</v>
      </c>
      <c r="B13" s="1767">
        <f>SUM('Revenues 9-14'!C6:D6)</f>
        <v>37546</v>
      </c>
      <c r="C13" s="583">
        <v>16259</v>
      </c>
      <c r="D13" s="1770">
        <f t="shared" si="0"/>
        <v>21287</v>
      </c>
      <c r="E13" s="583">
        <v>38224</v>
      </c>
      <c r="F13" s="1770">
        <f t="shared" si="1"/>
        <v>21965</v>
      </c>
    </row>
    <row r="14" spans="1:6" ht="13.7" customHeight="1" x14ac:dyDescent="0.2">
      <c r="A14" s="714" t="s">
        <v>430</v>
      </c>
      <c r="B14" s="1767">
        <f>SUM('Revenues 9-14'!C7:D7,'Revenues 9-14'!F7:H7)</f>
        <v>30037</v>
      </c>
      <c r="C14" s="583">
        <v>13007</v>
      </c>
      <c r="D14" s="1770">
        <f t="shared" si="0"/>
        <v>17030</v>
      </c>
      <c r="E14" s="583">
        <v>30579</v>
      </c>
      <c r="F14" s="1770">
        <f t="shared" si="1"/>
        <v>17572</v>
      </c>
    </row>
    <row r="15" spans="1:6" ht="13.7" customHeight="1" x14ac:dyDescent="0.2">
      <c r="A15" s="714" t="s">
        <v>1220</v>
      </c>
      <c r="B15" s="1767">
        <f>'Revenues 9-14'!E9</f>
        <v>0</v>
      </c>
      <c r="C15" s="583">
        <v>0</v>
      </c>
      <c r="D15" s="1770">
        <f t="shared" si="0"/>
        <v>0</v>
      </c>
      <c r="E15" s="583">
        <v>0</v>
      </c>
      <c r="F15" s="1770">
        <f t="shared" si="1"/>
        <v>0</v>
      </c>
    </row>
    <row r="16" spans="1:6" ht="13.7" customHeight="1" x14ac:dyDescent="0.2">
      <c r="A16" s="714" t="s">
        <v>1221</v>
      </c>
      <c r="B16" s="1767">
        <f>'Revenues 9-14'!G8</f>
        <v>359378</v>
      </c>
      <c r="C16" s="583">
        <v>155277</v>
      </c>
      <c r="D16" s="1770">
        <f t="shared" si="0"/>
        <v>204101</v>
      </c>
      <c r="E16" s="583">
        <v>365039</v>
      </c>
      <c r="F16" s="1770">
        <f t="shared" si="1"/>
        <v>209762</v>
      </c>
    </row>
    <row r="17" spans="1:6" ht="13.7" customHeight="1" x14ac:dyDescent="0.2">
      <c r="A17" s="714" t="s">
        <v>1222</v>
      </c>
      <c r="B17" s="1767">
        <f>'Revenues 9-14'!C10</f>
        <v>0</v>
      </c>
      <c r="C17" s="583">
        <v>0</v>
      </c>
      <c r="D17" s="1770">
        <f t="shared" si="0"/>
        <v>0</v>
      </c>
      <c r="E17" s="583">
        <v>0</v>
      </c>
      <c r="F17" s="1770">
        <f t="shared" si="1"/>
        <v>0</v>
      </c>
    </row>
    <row r="18" spans="1:6" ht="13.7" customHeight="1" x14ac:dyDescent="0.2">
      <c r="A18" s="714" t="s">
        <v>786</v>
      </c>
      <c r="B18" s="1767">
        <f>SUM('Revenues 9-14'!C11:K11)</f>
        <v>0</v>
      </c>
      <c r="C18" s="583">
        <v>0</v>
      </c>
      <c r="D18" s="1770">
        <f t="shared" si="0"/>
        <v>0</v>
      </c>
      <c r="E18" s="583">
        <v>0</v>
      </c>
      <c r="F18" s="1770">
        <f t="shared" si="1"/>
        <v>0</v>
      </c>
    </row>
    <row r="19" spans="1:6" ht="13.7" customHeight="1" thickBot="1" x14ac:dyDescent="0.25">
      <c r="A19" s="1771" t="s">
        <v>1223</v>
      </c>
      <c r="B19" s="1768">
        <f>SUM(B4:B18)</f>
        <v>3437207</v>
      </c>
      <c r="C19" s="1768">
        <f>SUM(C4:C18)</f>
        <v>1491404</v>
      </c>
      <c r="D19" s="1768">
        <f>SUM(D4:D18)</f>
        <v>1945803</v>
      </c>
      <c r="E19" s="1768">
        <f>SUM(E4:E18)</f>
        <v>3506136</v>
      </c>
      <c r="F19" s="1768">
        <f>SUM(F4:F18)</f>
        <v>2014732</v>
      </c>
    </row>
    <row r="20" spans="1:6" ht="13.5" thickTop="1" x14ac:dyDescent="0.2">
      <c r="B20" s="712"/>
      <c r="F20" s="715"/>
    </row>
    <row r="21" spans="1:6" x14ac:dyDescent="0.2">
      <c r="A21" s="716" t="s">
        <v>1910</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28" t="s">
        <v>650</v>
      </c>
      <c r="B1" s="2326"/>
      <c r="C1" s="720"/>
    </row>
    <row r="2" spans="1:7" ht="33.75" x14ac:dyDescent="0.2">
      <c r="A2" s="2333" t="s">
        <v>1900</v>
      </c>
      <c r="B2" s="2334"/>
      <c r="C2" s="1902" t="s">
        <v>2033</v>
      </c>
      <c r="D2" s="722" t="s">
        <v>2040</v>
      </c>
      <c r="E2" s="722" t="s">
        <v>2041</v>
      </c>
      <c r="F2" s="1902" t="s">
        <v>2034</v>
      </c>
    </row>
    <row r="3" spans="1:7" ht="15.75" customHeight="1" x14ac:dyDescent="0.2">
      <c r="A3" s="2335" t="s">
        <v>1176</v>
      </c>
      <c r="B3" s="2336"/>
      <c r="C3" s="2329"/>
      <c r="D3" s="2330"/>
      <c r="E3" s="2330"/>
      <c r="F3" s="2331"/>
    </row>
    <row r="4" spans="1:7" ht="12.75" customHeight="1" thickBot="1" x14ac:dyDescent="0.25">
      <c r="A4" s="2323" t="s">
        <v>651</v>
      </c>
      <c r="B4" s="2324"/>
      <c r="C4" s="579"/>
      <c r="D4" s="579"/>
      <c r="E4" s="579"/>
      <c r="F4" s="1772">
        <f>SUM(C4+D4)-E4</f>
        <v>0</v>
      </c>
    </row>
    <row r="5" spans="1:7" ht="15.75" customHeight="1" thickTop="1" x14ac:dyDescent="0.2">
      <c r="A5" s="2327" t="s">
        <v>1172</v>
      </c>
      <c r="B5" s="2322"/>
      <c r="C5" s="2316"/>
      <c r="D5" s="2317"/>
      <c r="E5" s="2317"/>
      <c r="F5" s="2318"/>
    </row>
    <row r="6" spans="1:7" ht="12.75" customHeight="1" thickBot="1" x14ac:dyDescent="0.25">
      <c r="A6" s="723" t="s">
        <v>66</v>
      </c>
      <c r="B6" s="724"/>
      <c r="C6" s="725"/>
      <c r="D6" s="583"/>
      <c r="E6" s="725"/>
      <c r="F6" s="1772">
        <f t="shared" ref="F6:F14" si="0">SUM(C6+D6)-E6</f>
        <v>0</v>
      </c>
    </row>
    <row r="7" spans="1:7" ht="12.75" customHeight="1" thickTop="1" thickBot="1" x14ac:dyDescent="0.25">
      <c r="A7" s="723" t="s">
        <v>6</v>
      </c>
      <c r="B7" s="724"/>
      <c r="C7" s="725"/>
      <c r="D7" s="583"/>
      <c r="E7" s="725"/>
      <c r="F7" s="1772">
        <f t="shared" si="0"/>
        <v>0</v>
      </c>
    </row>
    <row r="8" spans="1:7" ht="12.75" customHeight="1" thickTop="1" thickBot="1" x14ac:dyDescent="0.25">
      <c r="A8" s="723" t="s">
        <v>529</v>
      </c>
      <c r="B8" s="724"/>
      <c r="C8" s="725"/>
      <c r="D8" s="583"/>
      <c r="E8" s="725"/>
      <c r="F8" s="1772">
        <f t="shared" si="0"/>
        <v>0</v>
      </c>
    </row>
    <row r="9" spans="1:7" ht="12.75" customHeight="1" thickTop="1" thickBot="1" x14ac:dyDescent="0.25">
      <c r="A9" s="723" t="s">
        <v>530</v>
      </c>
      <c r="B9" s="724"/>
      <c r="C9" s="725"/>
      <c r="D9" s="583"/>
      <c r="E9" s="725"/>
      <c r="F9" s="1772">
        <f t="shared" si="0"/>
        <v>0</v>
      </c>
    </row>
    <row r="10" spans="1:7" ht="12.75" customHeight="1" thickTop="1" thickBot="1" x14ac:dyDescent="0.25">
      <c r="A10" s="723" t="s">
        <v>531</v>
      </c>
      <c r="B10" s="724"/>
      <c r="C10" s="725"/>
      <c r="D10" s="583"/>
      <c r="E10" s="725"/>
      <c r="F10" s="1772">
        <f t="shared" si="0"/>
        <v>0</v>
      </c>
    </row>
    <row r="11" spans="1:7" ht="12.75" customHeight="1" thickTop="1" thickBot="1" x14ac:dyDescent="0.25">
      <c r="A11" s="723" t="s">
        <v>359</v>
      </c>
      <c r="B11" s="724"/>
      <c r="C11" s="725"/>
      <c r="D11" s="583"/>
      <c r="E11" s="725"/>
      <c r="F11" s="1772">
        <f t="shared" si="0"/>
        <v>0</v>
      </c>
    </row>
    <row r="12" spans="1:7" ht="12.75" customHeight="1" thickTop="1" thickBot="1" x14ac:dyDescent="0.25">
      <c r="A12" s="723" t="s">
        <v>1219</v>
      </c>
      <c r="B12" s="724"/>
      <c r="C12" s="725"/>
      <c r="D12" s="583"/>
      <c r="E12" s="725"/>
      <c r="F12" s="1772">
        <f t="shared" si="0"/>
        <v>0</v>
      </c>
    </row>
    <row r="13" spans="1:7" ht="12.75" customHeight="1" thickTop="1" thickBot="1" x14ac:dyDescent="0.25">
      <c r="A13" s="723" t="s">
        <v>406</v>
      </c>
      <c r="B13" s="724"/>
      <c r="C13" s="725"/>
      <c r="D13" s="583"/>
      <c r="E13" s="725"/>
      <c r="F13" s="1772">
        <f t="shared" si="0"/>
        <v>0</v>
      </c>
    </row>
    <row r="14" spans="1:7" ht="12.75" customHeight="1" thickTop="1" thickBot="1" x14ac:dyDescent="0.25">
      <c r="A14" s="723" t="s">
        <v>468</v>
      </c>
      <c r="B14" s="724"/>
      <c r="C14" s="725"/>
      <c r="D14" s="583"/>
      <c r="E14" s="725"/>
      <c r="F14" s="1772">
        <f t="shared" si="0"/>
        <v>0</v>
      </c>
    </row>
    <row r="15" spans="1:7" ht="14.25" thickTop="1" thickBot="1" x14ac:dyDescent="0.25">
      <c r="A15" s="2319" t="s">
        <v>652</v>
      </c>
      <c r="B15" s="2320"/>
      <c r="C15" s="1772">
        <f>SUM(C6:C14)</f>
        <v>0</v>
      </c>
      <c r="D15" s="1772">
        <f>SUM(D6:D14)</f>
        <v>0</v>
      </c>
      <c r="E15" s="1772">
        <f>SUM(E6:E14)</f>
        <v>0</v>
      </c>
      <c r="F15" s="1772">
        <f>SUM(F6:F14)</f>
        <v>0</v>
      </c>
      <c r="G15" s="550"/>
    </row>
    <row r="16" spans="1:7" s="202" customFormat="1" ht="15.75" customHeight="1" thickTop="1" x14ac:dyDescent="0.2">
      <c r="A16" s="2332" t="s">
        <v>1173</v>
      </c>
      <c r="B16" s="2322"/>
      <c r="C16" s="2316"/>
      <c r="D16" s="2317"/>
      <c r="E16" s="2317"/>
      <c r="F16" s="2318"/>
    </row>
    <row r="17" spans="1:11" ht="12.75" customHeight="1" thickBot="1" x14ac:dyDescent="0.25">
      <c r="A17" s="2314" t="s">
        <v>66</v>
      </c>
      <c r="B17" s="2315"/>
      <c r="C17" s="725"/>
      <c r="D17" s="583"/>
      <c r="E17" s="725"/>
      <c r="F17" s="1772">
        <f>SUM(C17+D17)-E17</f>
        <v>0</v>
      </c>
    </row>
    <row r="18" spans="1:11" ht="12.75" customHeight="1" thickTop="1" thickBot="1" x14ac:dyDescent="0.25">
      <c r="A18" s="2314" t="s">
        <v>6</v>
      </c>
      <c r="B18" s="2315"/>
      <c r="C18" s="725"/>
      <c r="D18" s="583"/>
      <c r="E18" s="725"/>
      <c r="F18" s="1772">
        <f>SUM(C18+D18)-E18</f>
        <v>0</v>
      </c>
    </row>
    <row r="19" spans="1:11" ht="12.75" customHeight="1" thickTop="1" thickBot="1" x14ac:dyDescent="0.25">
      <c r="A19" s="2314" t="s">
        <v>406</v>
      </c>
      <c r="B19" s="2315"/>
      <c r="C19" s="725"/>
      <c r="D19" s="583"/>
      <c r="E19" s="725"/>
      <c r="F19" s="1772">
        <f>SUM(C19+D19)-E19</f>
        <v>0</v>
      </c>
    </row>
    <row r="20" spans="1:11" ht="12.75" customHeight="1" thickTop="1" thickBot="1" x14ac:dyDescent="0.25">
      <c r="A20" s="2314" t="s">
        <v>468</v>
      </c>
      <c r="B20" s="2315"/>
      <c r="C20" s="725"/>
      <c r="D20" s="583"/>
      <c r="E20" s="725"/>
      <c r="F20" s="1772">
        <f>SUM(C20+D20)-E20</f>
        <v>0</v>
      </c>
    </row>
    <row r="21" spans="1:11" ht="14.25" thickTop="1" thickBot="1" x14ac:dyDescent="0.25">
      <c r="A21" s="2319" t="s">
        <v>653</v>
      </c>
      <c r="B21" s="2320"/>
      <c r="C21" s="1772">
        <f>SUM(C17:C20)</f>
        <v>0</v>
      </c>
      <c r="D21" s="1772">
        <f>SUM(D17:D20)</f>
        <v>0</v>
      </c>
      <c r="E21" s="1772">
        <f>SUM(E17:E20)</f>
        <v>0</v>
      </c>
      <c r="F21" s="1772">
        <f>SUM(F17:F20)</f>
        <v>0</v>
      </c>
      <c r="G21" s="550"/>
    </row>
    <row r="22" spans="1:11" ht="15.75" customHeight="1" thickTop="1" x14ac:dyDescent="0.2">
      <c r="A22" s="2321" t="s">
        <v>1174</v>
      </c>
      <c r="B22" s="2322"/>
      <c r="C22" s="2316"/>
      <c r="D22" s="2317"/>
      <c r="E22" s="2317"/>
      <c r="F22" s="2318"/>
    </row>
    <row r="23" spans="1:11" ht="13.5" thickBot="1" x14ac:dyDescent="0.25">
      <c r="A23" s="2323" t="s">
        <v>654</v>
      </c>
      <c r="B23" s="2324"/>
      <c r="C23" s="579"/>
      <c r="D23" s="579"/>
      <c r="E23" s="579"/>
      <c r="F23" s="1772">
        <f>SUM(C23+D23)-E23</f>
        <v>0</v>
      </c>
      <c r="G23" s="550"/>
    </row>
    <row r="24" spans="1:11" ht="15.75" customHeight="1" thickTop="1" x14ac:dyDescent="0.2">
      <c r="A24" s="2321" t="s">
        <v>1175</v>
      </c>
      <c r="B24" s="2322"/>
      <c r="C24" s="2316"/>
      <c r="D24" s="2317"/>
      <c r="E24" s="2317"/>
      <c r="F24" s="2318"/>
    </row>
    <row r="25" spans="1:11" ht="13.5" thickBot="1" x14ac:dyDescent="0.25">
      <c r="A25" s="2323" t="s">
        <v>655</v>
      </c>
      <c r="B25" s="2324"/>
      <c r="C25" s="579"/>
      <c r="D25" s="579"/>
      <c r="E25" s="579"/>
      <c r="F25" s="1772">
        <f>SUM(C25+D25)-E25</f>
        <v>0</v>
      </c>
      <c r="G25" s="550"/>
    </row>
    <row r="26" spans="1:11" ht="15.75" customHeight="1" thickTop="1" x14ac:dyDescent="0.2">
      <c r="A26" s="2327" t="s">
        <v>678</v>
      </c>
      <c r="B26" s="2322"/>
      <c r="C26" s="726"/>
      <c r="D26" s="726"/>
      <c r="E26" s="726"/>
      <c r="F26" s="727"/>
    </row>
    <row r="27" spans="1:11" ht="13.5" thickBot="1" x14ac:dyDescent="0.25">
      <c r="A27" s="2319" t="s">
        <v>1130</v>
      </c>
      <c r="B27" s="2320"/>
      <c r="C27" s="583"/>
      <c r="D27" s="583"/>
      <c r="E27" s="583"/>
      <c r="F27" s="1772">
        <f>SUM(C27+D27)-E27</f>
        <v>0</v>
      </c>
      <c r="G27" s="550"/>
    </row>
    <row r="28" spans="1:11" ht="7.5" customHeight="1" thickTop="1" x14ac:dyDescent="0.2">
      <c r="A28" s="592"/>
    </row>
    <row r="29" spans="1:11" ht="23.25" customHeight="1" x14ac:dyDescent="0.2">
      <c r="A29" s="2325" t="s">
        <v>603</v>
      </c>
      <c r="B29" s="2326"/>
      <c r="C29" s="728"/>
      <c r="D29" s="728"/>
      <c r="E29" s="728"/>
      <c r="F29" s="728"/>
      <c r="G29" s="728"/>
      <c r="H29" s="728"/>
      <c r="I29" s="728"/>
      <c r="J29" s="728"/>
    </row>
    <row r="30" spans="1:11" ht="33.75" x14ac:dyDescent="0.2">
      <c r="A30" s="1546" t="s">
        <v>1131</v>
      </c>
      <c r="B30" s="729" t="s">
        <v>1186</v>
      </c>
      <c r="C30" s="1903" t="s">
        <v>604</v>
      </c>
      <c r="D30" s="1903" t="s">
        <v>1770</v>
      </c>
      <c r="E30" s="1903" t="s">
        <v>2035</v>
      </c>
      <c r="F30" s="1903" t="s">
        <v>2036</v>
      </c>
      <c r="G30" s="1903" t="s">
        <v>2039</v>
      </c>
      <c r="H30" s="1903" t="s">
        <v>2037</v>
      </c>
      <c r="I30" s="1903" t="s">
        <v>2038</v>
      </c>
      <c r="J30" s="1904" t="s">
        <v>2</v>
      </c>
      <c r="K30" s="730"/>
    </row>
    <row r="31" spans="1:11" ht="12" customHeight="1" x14ac:dyDescent="0.2">
      <c r="A31" s="731" t="s">
        <v>2091</v>
      </c>
      <c r="B31" s="732">
        <v>39387</v>
      </c>
      <c r="C31" s="733">
        <v>1000000</v>
      </c>
      <c r="D31" s="734">
        <v>8</v>
      </c>
      <c r="E31" s="733">
        <v>1000000</v>
      </c>
      <c r="F31" s="733"/>
      <c r="G31" s="733"/>
      <c r="H31" s="733"/>
      <c r="I31" s="1773">
        <f>((E31+F31)-H31)+G31</f>
        <v>1000000</v>
      </c>
      <c r="J31" s="733">
        <f>I31-1018294</f>
        <v>-18294</v>
      </c>
      <c r="K31" s="735"/>
    </row>
    <row r="32" spans="1:11" ht="12" customHeight="1" x14ac:dyDescent="0.2">
      <c r="A32" s="731" t="s">
        <v>2092</v>
      </c>
      <c r="B32" s="732">
        <v>41609</v>
      </c>
      <c r="C32" s="733">
        <v>3400000</v>
      </c>
      <c r="D32" s="734">
        <v>7</v>
      </c>
      <c r="E32" s="733">
        <v>2945000</v>
      </c>
      <c r="F32" s="733"/>
      <c r="G32" s="733"/>
      <c r="H32" s="733">
        <v>315000</v>
      </c>
      <c r="I32" s="1773">
        <f>((E32+F32)-H32)+G32</f>
        <v>2630000</v>
      </c>
      <c r="J32" s="733">
        <f>I32-416765</f>
        <v>2213235</v>
      </c>
      <c r="K32" s="735"/>
    </row>
    <row r="33" spans="1:11" ht="12" customHeight="1" x14ac:dyDescent="0.2">
      <c r="A33" s="731" t="s">
        <v>2093</v>
      </c>
      <c r="B33" s="732">
        <v>42217</v>
      </c>
      <c r="C33" s="733">
        <v>650000</v>
      </c>
      <c r="D33" s="734">
        <v>1</v>
      </c>
      <c r="E33" s="733">
        <v>506000</v>
      </c>
      <c r="F33" s="733"/>
      <c r="G33" s="733"/>
      <c r="H33" s="733">
        <v>163000</v>
      </c>
      <c r="I33" s="1773">
        <f t="shared" ref="I33:I48" si="1">((E33+F33)-H33)+G33</f>
        <v>343000</v>
      </c>
      <c r="J33" s="733">
        <f>I33-110530</f>
        <v>232470</v>
      </c>
      <c r="K33" s="735"/>
    </row>
    <row r="34" spans="1:11" ht="12" customHeight="1" x14ac:dyDescent="0.2">
      <c r="A34" s="731" t="s">
        <v>2159</v>
      </c>
      <c r="B34" s="732">
        <v>43160</v>
      </c>
      <c r="C34" s="733">
        <v>2460000</v>
      </c>
      <c r="D34" s="734">
        <v>7</v>
      </c>
      <c r="E34" s="733"/>
      <c r="F34" s="733">
        <v>2465000</v>
      </c>
      <c r="G34" s="733">
        <v>5000</v>
      </c>
      <c r="H34" s="733"/>
      <c r="I34" s="1773">
        <f t="shared" si="1"/>
        <v>2470000</v>
      </c>
      <c r="J34" s="733">
        <f>I34-123648</f>
        <v>2346352</v>
      </c>
      <c r="K34" s="736"/>
    </row>
    <row r="35" spans="1:11" ht="12" customHeight="1" x14ac:dyDescent="0.2">
      <c r="A35" s="731"/>
      <c r="B35" s="732"/>
      <c r="C35" s="737"/>
      <c r="D35" s="734"/>
      <c r="E35" s="737"/>
      <c r="F35" s="737"/>
      <c r="G35" s="737"/>
      <c r="H35" s="737"/>
      <c r="I35" s="1773">
        <f t="shared" si="1"/>
        <v>0</v>
      </c>
      <c r="J35" s="737"/>
      <c r="K35" s="736"/>
    </row>
    <row r="36" spans="1:11" ht="12" customHeight="1" x14ac:dyDescent="0.2">
      <c r="A36" s="731"/>
      <c r="B36" s="732"/>
      <c r="C36" s="733"/>
      <c r="D36" s="734"/>
      <c r="E36" s="733"/>
      <c r="F36" s="733"/>
      <c r="G36" s="733"/>
      <c r="H36" s="733"/>
      <c r="I36" s="1773">
        <f t="shared" si="1"/>
        <v>0</v>
      </c>
      <c r="J36" s="733"/>
      <c r="K36" s="738"/>
    </row>
    <row r="37" spans="1:11" ht="12" customHeight="1" x14ac:dyDescent="0.2">
      <c r="A37" s="731"/>
      <c r="B37" s="732"/>
      <c r="C37" s="467"/>
      <c r="D37" s="739"/>
      <c r="E37" s="467"/>
      <c r="F37" s="467"/>
      <c r="G37" s="467"/>
      <c r="H37" s="467"/>
      <c r="I37" s="1773">
        <f t="shared" si="1"/>
        <v>0</v>
      </c>
      <c r="J37" s="467"/>
      <c r="K37" s="736"/>
    </row>
    <row r="38" spans="1:11" ht="12" customHeight="1" x14ac:dyDescent="0.2">
      <c r="A38" s="731"/>
      <c r="B38" s="732"/>
      <c r="C38" s="733"/>
      <c r="D38" s="740"/>
      <c r="E38" s="741"/>
      <c r="F38" s="741"/>
      <c r="G38" s="741"/>
      <c r="H38" s="741"/>
      <c r="I38" s="1773">
        <f t="shared" si="1"/>
        <v>0</v>
      </c>
      <c r="J38" s="742" t="s">
        <v>282</v>
      </c>
      <c r="K38" s="743"/>
    </row>
    <row r="39" spans="1:11" ht="12" customHeight="1" x14ac:dyDescent="0.2">
      <c r="A39" s="731"/>
      <c r="B39" s="732"/>
      <c r="C39" s="733"/>
      <c r="D39" s="740"/>
      <c r="E39" s="741"/>
      <c r="F39" s="741"/>
      <c r="G39" s="741"/>
      <c r="H39" s="741"/>
      <c r="I39" s="1773">
        <f t="shared" si="1"/>
        <v>0</v>
      </c>
      <c r="J39" s="742"/>
      <c r="K39" s="743"/>
    </row>
    <row r="40" spans="1:11" ht="12" customHeight="1" x14ac:dyDescent="0.2">
      <c r="A40" s="731"/>
      <c r="B40" s="732"/>
      <c r="C40" s="733"/>
      <c r="D40" s="740"/>
      <c r="E40" s="741"/>
      <c r="F40" s="741"/>
      <c r="G40" s="741"/>
      <c r="H40" s="741"/>
      <c r="I40" s="1773">
        <f t="shared" si="1"/>
        <v>0</v>
      </c>
      <c r="J40" s="742"/>
      <c r="K40" s="743"/>
    </row>
    <row r="41" spans="1:11" ht="12" customHeight="1" x14ac:dyDescent="0.2">
      <c r="A41" s="731"/>
      <c r="B41" s="732"/>
      <c r="C41" s="733"/>
      <c r="D41" s="740"/>
      <c r="E41" s="741"/>
      <c r="F41" s="741"/>
      <c r="G41" s="741"/>
      <c r="H41" s="741"/>
      <c r="I41" s="1773">
        <f t="shared" si="1"/>
        <v>0</v>
      </c>
      <c r="J41" s="742"/>
      <c r="K41" s="743"/>
    </row>
    <row r="42" spans="1:11" ht="12" customHeight="1" x14ac:dyDescent="0.2">
      <c r="A42" s="731"/>
      <c r="B42" s="732"/>
      <c r="C42" s="733"/>
      <c r="D42" s="740"/>
      <c r="E42" s="741"/>
      <c r="F42" s="741"/>
      <c r="G42" s="741"/>
      <c r="H42" s="741"/>
      <c r="I42" s="1773">
        <f t="shared" si="1"/>
        <v>0</v>
      </c>
      <c r="J42" s="742"/>
      <c r="K42" s="743"/>
    </row>
    <row r="43" spans="1:11" ht="12" customHeight="1" x14ac:dyDescent="0.2">
      <c r="A43" s="731"/>
      <c r="B43" s="732"/>
      <c r="C43" s="733"/>
      <c r="D43" s="740"/>
      <c r="E43" s="741"/>
      <c r="F43" s="741"/>
      <c r="G43" s="741"/>
      <c r="H43" s="741"/>
      <c r="I43" s="1773">
        <f t="shared" si="1"/>
        <v>0</v>
      </c>
      <c r="J43" s="742"/>
      <c r="K43" s="743"/>
    </row>
    <row r="44" spans="1:11" ht="12" customHeight="1" x14ac:dyDescent="0.2">
      <c r="A44" s="731"/>
      <c r="B44" s="732"/>
      <c r="C44" s="733"/>
      <c r="D44" s="734"/>
      <c r="E44" s="733"/>
      <c r="F44" s="733"/>
      <c r="G44" s="733"/>
      <c r="H44" s="733"/>
      <c r="I44" s="1773">
        <f t="shared" si="1"/>
        <v>0</v>
      </c>
      <c r="J44" s="733"/>
      <c r="K44" s="736"/>
    </row>
    <row r="45" spans="1:11" ht="12" customHeight="1" x14ac:dyDescent="0.2">
      <c r="A45" s="731"/>
      <c r="B45" s="732"/>
      <c r="C45" s="733"/>
      <c r="D45" s="734"/>
      <c r="E45" s="733"/>
      <c r="F45" s="733"/>
      <c r="G45" s="733"/>
      <c r="H45" s="733"/>
      <c r="I45" s="1773">
        <f t="shared" si="1"/>
        <v>0</v>
      </c>
      <c r="J45" s="733"/>
      <c r="K45" s="736"/>
    </row>
    <row r="46" spans="1:11" ht="12" customHeight="1" x14ac:dyDescent="0.2">
      <c r="A46" s="731"/>
      <c r="B46" s="732"/>
      <c r="C46" s="733"/>
      <c r="D46" s="734"/>
      <c r="E46" s="733"/>
      <c r="F46" s="733"/>
      <c r="G46" s="733"/>
      <c r="H46" s="733"/>
      <c r="I46" s="1773">
        <f t="shared" si="1"/>
        <v>0</v>
      </c>
      <c r="J46" s="733"/>
      <c r="K46" s="736"/>
    </row>
    <row r="47" spans="1:11" ht="12" customHeight="1" x14ac:dyDescent="0.2">
      <c r="A47" s="731"/>
      <c r="B47" s="732"/>
      <c r="C47" s="737"/>
      <c r="D47" s="734"/>
      <c r="E47" s="737"/>
      <c r="F47" s="737"/>
      <c r="G47" s="737"/>
      <c r="H47" s="737"/>
      <c r="I47" s="1773">
        <f t="shared" si="1"/>
        <v>0</v>
      </c>
      <c r="J47" s="737"/>
      <c r="K47" s="736"/>
    </row>
    <row r="48" spans="1:11" ht="12" customHeight="1" x14ac:dyDescent="0.2">
      <c r="A48" s="731"/>
      <c r="B48" s="732"/>
      <c r="C48" s="733"/>
      <c r="D48" s="734"/>
      <c r="E48" s="733"/>
      <c r="F48" s="733"/>
      <c r="G48" s="733"/>
      <c r="H48" s="733"/>
      <c r="I48" s="1773">
        <f t="shared" si="1"/>
        <v>0</v>
      </c>
      <c r="J48" s="733"/>
      <c r="K48" s="736"/>
    </row>
    <row r="49" spans="1:11" ht="12" customHeight="1" x14ac:dyDescent="0.2">
      <c r="A49" s="731"/>
      <c r="B49" s="732"/>
      <c r="C49" s="1773">
        <f>SUM(C31:C48)</f>
        <v>7510000</v>
      </c>
      <c r="D49" s="744"/>
      <c r="E49" s="1773">
        <f t="shared" ref="E49:J49" si="2">SUM(E31:E48)</f>
        <v>4451000</v>
      </c>
      <c r="F49" s="1773">
        <f t="shared" si="2"/>
        <v>2465000</v>
      </c>
      <c r="G49" s="1773">
        <f t="shared" si="2"/>
        <v>5000</v>
      </c>
      <c r="H49" s="1773">
        <f t="shared" si="2"/>
        <v>478000</v>
      </c>
      <c r="I49" s="1773">
        <f t="shared" si="2"/>
        <v>6443000</v>
      </c>
      <c r="J49" s="1773">
        <f t="shared" si="2"/>
        <v>4773763</v>
      </c>
      <c r="K49" s="736"/>
    </row>
    <row r="50" spans="1:11" ht="6" customHeight="1" x14ac:dyDescent="0.2">
      <c r="A50" s="745"/>
      <c r="B50" s="735"/>
      <c r="C50" s="735"/>
      <c r="D50" s="735"/>
      <c r="E50" s="735"/>
      <c r="F50" s="735"/>
      <c r="G50" s="735"/>
      <c r="H50" s="735"/>
      <c r="I50" s="735"/>
      <c r="J50" s="745"/>
    </row>
    <row r="51" spans="1:11" x14ac:dyDescent="0.2">
      <c r="A51" s="746" t="s">
        <v>1909</v>
      </c>
      <c r="B51" s="745"/>
      <c r="C51" s="736"/>
      <c r="D51" s="736"/>
      <c r="E51" s="736"/>
      <c r="F51" s="736"/>
      <c r="G51" s="736"/>
      <c r="H51" s="735"/>
      <c r="I51" s="735"/>
      <c r="J51" s="745"/>
    </row>
    <row r="52" spans="1:11" ht="11.25" customHeight="1" x14ac:dyDescent="0.2">
      <c r="A52" s="747" t="s">
        <v>968</v>
      </c>
      <c r="B52" s="2308" t="s">
        <v>605</v>
      </c>
      <c r="C52" s="2309"/>
      <c r="D52" s="2309"/>
      <c r="E52" s="748" t="s">
        <v>900</v>
      </c>
      <c r="F52" s="2310" t="s">
        <v>2094</v>
      </c>
      <c r="G52" s="2311"/>
      <c r="H52" s="735"/>
      <c r="I52" s="735"/>
      <c r="J52" s="745"/>
    </row>
    <row r="53" spans="1:11" ht="11.25" customHeight="1" x14ac:dyDescent="0.2">
      <c r="A53" s="749" t="s">
        <v>969</v>
      </c>
      <c r="B53" s="750" t="s">
        <v>1008</v>
      </c>
      <c r="C53" s="745"/>
      <c r="D53" s="736"/>
      <c r="E53" s="748" t="s">
        <v>518</v>
      </c>
      <c r="F53" s="2312" t="s">
        <v>2095</v>
      </c>
      <c r="G53" s="2313"/>
      <c r="H53" s="735"/>
      <c r="I53" s="735"/>
      <c r="J53" s="745"/>
    </row>
    <row r="54" spans="1:11" ht="11.25" customHeight="1" x14ac:dyDescent="0.2">
      <c r="A54" s="751" t="s">
        <v>970</v>
      </c>
      <c r="B54" s="746" t="s">
        <v>1009</v>
      </c>
      <c r="C54" s="745"/>
      <c r="D54" s="736"/>
      <c r="E54" s="748" t="s">
        <v>519</v>
      </c>
      <c r="F54" s="2312" t="s">
        <v>2096</v>
      </c>
      <c r="G54" s="231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37" t="s">
        <v>911</v>
      </c>
      <c r="B1" s="2338"/>
      <c r="C1" s="2338"/>
      <c r="D1" s="2338"/>
      <c r="E1" s="2338"/>
      <c r="F1" s="2338"/>
      <c r="G1" s="2339"/>
      <c r="H1" s="1547"/>
      <c r="I1" s="759"/>
      <c r="J1" s="433"/>
    </row>
    <row r="2" spans="1:11" ht="26.25" x14ac:dyDescent="0.2">
      <c r="A2" s="2356" t="s">
        <v>1774</v>
      </c>
      <c r="B2" s="2357"/>
      <c r="C2" s="2357"/>
      <c r="D2" s="2357"/>
      <c r="E2" s="2358"/>
      <c r="F2" s="760" t="s">
        <v>960</v>
      </c>
      <c r="G2" s="761" t="s">
        <v>1771</v>
      </c>
      <c r="H2" s="761" t="s">
        <v>430</v>
      </c>
      <c r="I2" s="761" t="s">
        <v>1220</v>
      </c>
      <c r="J2" s="761" t="s">
        <v>1914</v>
      </c>
      <c r="K2" s="761" t="s">
        <v>140</v>
      </c>
    </row>
    <row r="3" spans="1:11" x14ac:dyDescent="0.2">
      <c r="A3" s="2359" t="s">
        <v>1696</v>
      </c>
      <c r="B3" s="2360"/>
      <c r="C3" s="2360"/>
      <c r="D3" s="2360"/>
      <c r="E3" s="2361"/>
      <c r="F3" s="762"/>
      <c r="G3" s="763"/>
      <c r="H3" s="763"/>
      <c r="I3" s="763"/>
      <c r="J3" s="764">
        <v>701800</v>
      </c>
      <c r="K3" s="764"/>
    </row>
    <row r="4" spans="1:11" x14ac:dyDescent="0.2">
      <c r="A4" s="2362" t="s">
        <v>387</v>
      </c>
      <c r="B4" s="2363"/>
      <c r="C4" s="2363"/>
      <c r="D4" s="2363"/>
      <c r="E4" s="2309"/>
      <c r="F4" s="765"/>
      <c r="G4" s="766"/>
      <c r="H4" s="767"/>
      <c r="I4" s="766"/>
      <c r="J4" s="768"/>
      <c r="K4" s="768"/>
    </row>
    <row r="5" spans="1:11" x14ac:dyDescent="0.2">
      <c r="A5" s="2340" t="s">
        <v>1129</v>
      </c>
      <c r="B5" s="2341"/>
      <c r="C5" s="2341"/>
      <c r="D5" s="2341"/>
      <c r="E5" s="2342"/>
      <c r="F5" s="769" t="s">
        <v>903</v>
      </c>
      <c r="G5" s="770"/>
      <c r="H5" s="763">
        <v>30037</v>
      </c>
      <c r="I5" s="771"/>
      <c r="J5" s="772"/>
      <c r="K5" s="772"/>
    </row>
    <row r="6" spans="1:11" x14ac:dyDescent="0.2">
      <c r="A6" s="773" t="s">
        <v>744</v>
      </c>
      <c r="B6" s="774"/>
      <c r="C6" s="774"/>
      <c r="D6" s="774"/>
      <c r="E6" s="775"/>
      <c r="F6" s="776" t="s">
        <v>904</v>
      </c>
      <c r="G6" s="763"/>
      <c r="H6" s="763">
        <v>6</v>
      </c>
      <c r="I6" s="763"/>
      <c r="J6" s="764">
        <v>6500</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515279</v>
      </c>
      <c r="K8" s="768"/>
    </row>
    <row r="9" spans="1:11" x14ac:dyDescent="0.2">
      <c r="A9" s="777" t="s">
        <v>140</v>
      </c>
      <c r="B9" s="778"/>
      <c r="C9" s="778"/>
      <c r="D9" s="778"/>
      <c r="E9" s="779"/>
      <c r="F9" s="776" t="s">
        <v>908</v>
      </c>
      <c r="G9" s="781"/>
      <c r="H9" s="770"/>
      <c r="I9" s="770"/>
      <c r="J9" s="780"/>
      <c r="K9" s="764">
        <v>29051</v>
      </c>
    </row>
    <row r="10" spans="1:11" x14ac:dyDescent="0.2">
      <c r="A10" s="2340" t="s">
        <v>1915</v>
      </c>
      <c r="B10" s="2341"/>
      <c r="C10" s="2341"/>
      <c r="D10" s="2341"/>
      <c r="E10" s="2343"/>
      <c r="F10" s="782" t="s">
        <v>917</v>
      </c>
      <c r="G10" s="781"/>
      <c r="H10" s="783"/>
      <c r="I10" s="763"/>
      <c r="J10" s="764"/>
      <c r="K10" s="764"/>
    </row>
    <row r="11" spans="1:11" x14ac:dyDescent="0.2">
      <c r="A11" s="2340" t="s">
        <v>162</v>
      </c>
      <c r="B11" s="2341"/>
      <c r="C11" s="2341"/>
      <c r="D11" s="2341"/>
      <c r="E11" s="2342"/>
      <c r="F11" s="769" t="s">
        <v>907</v>
      </c>
      <c r="G11" s="770"/>
      <c r="H11" s="763"/>
      <c r="I11" s="763"/>
      <c r="J11" s="764"/>
      <c r="K11" s="772"/>
    </row>
    <row r="12" spans="1:11" ht="13.5" thickBot="1" x14ac:dyDescent="0.25">
      <c r="A12" s="2367" t="s">
        <v>961</v>
      </c>
      <c r="B12" s="2368"/>
      <c r="C12" s="2368"/>
      <c r="D12" s="2368"/>
      <c r="E12" s="2369"/>
      <c r="F12" s="1774"/>
      <c r="G12" s="1775">
        <f>SUM(G5:G11)</f>
        <v>0</v>
      </c>
      <c r="H12" s="1775">
        <f>SUM(H5:H11)</f>
        <v>30043</v>
      </c>
      <c r="I12" s="1775">
        <f>SUM(I5:I11)</f>
        <v>0</v>
      </c>
      <c r="J12" s="1775">
        <f>SUM(J5:J11)</f>
        <v>521779</v>
      </c>
      <c r="K12" s="1775">
        <f>SUM(K5:K11)</f>
        <v>29051</v>
      </c>
    </row>
    <row r="13" spans="1:11" ht="13.5" thickTop="1" x14ac:dyDescent="0.2">
      <c r="A13" s="2364" t="s">
        <v>388</v>
      </c>
      <c r="B13" s="2365"/>
      <c r="C13" s="2365"/>
      <c r="D13" s="2365"/>
      <c r="E13" s="2366"/>
      <c r="F13" s="784"/>
      <c r="G13" s="785"/>
      <c r="H13" s="786"/>
      <c r="I13" s="787"/>
      <c r="J13" s="787"/>
      <c r="K13" s="787"/>
    </row>
    <row r="14" spans="1:11" x14ac:dyDescent="0.2">
      <c r="A14" s="2347" t="s">
        <v>476</v>
      </c>
      <c r="B14" s="2347"/>
      <c r="C14" s="2347"/>
      <c r="D14" s="2347"/>
      <c r="E14" s="2348"/>
      <c r="F14" s="788" t="s">
        <v>909</v>
      </c>
      <c r="G14" s="781"/>
      <c r="H14" s="763">
        <v>30043</v>
      </c>
      <c r="I14" s="770"/>
      <c r="J14" s="772"/>
      <c r="K14" s="764">
        <v>29051</v>
      </c>
    </row>
    <row r="15" spans="1:11" x14ac:dyDescent="0.2">
      <c r="A15" s="2341" t="s">
        <v>4</v>
      </c>
      <c r="B15" s="2341"/>
      <c r="C15" s="2341"/>
      <c r="D15" s="2341"/>
      <c r="E15" s="2342"/>
      <c r="F15" s="788" t="s">
        <v>910</v>
      </c>
      <c r="G15" s="770"/>
      <c r="H15" s="763"/>
      <c r="I15" s="763"/>
      <c r="J15" s="764">
        <v>272642</v>
      </c>
      <c r="K15" s="764"/>
    </row>
    <row r="16" spans="1:11" x14ac:dyDescent="0.2">
      <c r="A16" s="2341" t="s">
        <v>316</v>
      </c>
      <c r="B16" s="2341"/>
      <c r="C16" s="2341"/>
      <c r="D16" s="2341"/>
      <c r="E16" s="2342"/>
      <c r="F16" s="788" t="s">
        <v>980</v>
      </c>
      <c r="G16" s="771"/>
      <c r="H16" s="766"/>
      <c r="I16" s="766"/>
      <c r="J16" s="768"/>
      <c r="K16" s="768"/>
    </row>
    <row r="17" spans="1:11" x14ac:dyDescent="0.2">
      <c r="A17" s="2372" t="s">
        <v>992</v>
      </c>
      <c r="B17" s="2372"/>
      <c r="C17" s="2372"/>
      <c r="D17" s="2372"/>
      <c r="E17" s="2373"/>
      <c r="F17" s="789"/>
      <c r="G17" s="790"/>
      <c r="H17" s="791"/>
      <c r="I17" s="791"/>
      <c r="J17" s="792"/>
      <c r="K17" s="793"/>
    </row>
    <row r="18" spans="1:11" x14ac:dyDescent="0.2">
      <c r="A18" s="2351" t="s">
        <v>386</v>
      </c>
      <c r="B18" s="2352"/>
      <c r="C18" s="2352"/>
      <c r="D18" s="2352"/>
      <c r="E18" s="2353"/>
      <c r="F18" s="788" t="s">
        <v>989</v>
      </c>
      <c r="G18" s="781"/>
      <c r="H18" s="781"/>
      <c r="I18" s="781"/>
      <c r="J18" s="764">
        <v>95525</v>
      </c>
      <c r="K18" s="794"/>
    </row>
    <row r="19" spans="1:11" ht="21.75" customHeight="1" x14ac:dyDescent="0.2">
      <c r="A19" s="2349" t="s">
        <v>1911</v>
      </c>
      <c r="B19" s="2349"/>
      <c r="C19" s="2349"/>
      <c r="D19" s="2349"/>
      <c r="E19" s="2350"/>
      <c r="F19" s="788" t="s">
        <v>990</v>
      </c>
      <c r="G19" s="781"/>
      <c r="H19" s="781"/>
      <c r="I19" s="781"/>
      <c r="J19" s="764">
        <v>315000</v>
      </c>
      <c r="K19" s="794"/>
    </row>
    <row r="20" spans="1:11" x14ac:dyDescent="0.2">
      <c r="A20" s="2351" t="s">
        <v>1916</v>
      </c>
      <c r="B20" s="2352"/>
      <c r="C20" s="2352"/>
      <c r="D20" s="2352"/>
      <c r="E20" s="2353"/>
      <c r="F20" s="788" t="s">
        <v>991</v>
      </c>
      <c r="G20" s="781"/>
      <c r="H20" s="781"/>
      <c r="I20" s="781"/>
      <c r="J20" s="764"/>
      <c r="K20" s="794"/>
    </row>
    <row r="21" spans="1:11" ht="13.5" thickBot="1" x14ac:dyDescent="0.25">
      <c r="A21" s="2370" t="s">
        <v>659</v>
      </c>
      <c r="B21" s="2370"/>
      <c r="C21" s="2370"/>
      <c r="D21" s="2370"/>
      <c r="E21" s="2370"/>
      <c r="F21" s="1776"/>
      <c r="G21" s="791"/>
      <c r="H21" s="795"/>
      <c r="I21" s="795"/>
      <c r="J21" s="1777">
        <f>SUM(J18:J20)</f>
        <v>410525</v>
      </c>
      <c r="K21" s="792"/>
    </row>
    <row r="22" spans="1:11" ht="13.5" thickTop="1" x14ac:dyDescent="0.2">
      <c r="A22" s="2341" t="s">
        <v>1917</v>
      </c>
      <c r="B22" s="2341"/>
      <c r="C22" s="2341"/>
      <c r="D22" s="2341"/>
      <c r="E22" s="2342"/>
      <c r="F22" s="788" t="s">
        <v>917</v>
      </c>
      <c r="G22" s="781"/>
      <c r="H22" s="763"/>
      <c r="I22" s="763"/>
      <c r="J22" s="796"/>
      <c r="K22" s="764"/>
    </row>
    <row r="23" spans="1:11" ht="13.5" thickBot="1" x14ac:dyDescent="0.25">
      <c r="A23" s="2371" t="s">
        <v>962</v>
      </c>
      <c r="B23" s="2370"/>
      <c r="C23" s="2370"/>
      <c r="D23" s="2370"/>
      <c r="E23" s="2370"/>
      <c r="F23" s="1778"/>
      <c r="G23" s="1775">
        <f>SUM(G14:G16,G21,G22)</f>
        <v>0</v>
      </c>
      <c r="H23" s="1775">
        <f>SUM(H14:H16,H21,H22)</f>
        <v>30043</v>
      </c>
      <c r="I23" s="1775">
        <f>SUM(I14:I16,I21,I22)</f>
        <v>0</v>
      </c>
      <c r="J23" s="1775">
        <f>SUM(J14:J16,J21,J22)</f>
        <v>683167</v>
      </c>
      <c r="K23" s="1775">
        <f>SUM(K14:K16,K21,K22)</f>
        <v>29051</v>
      </c>
    </row>
    <row r="24" spans="1:11" ht="14.25" thickTop="1" thickBot="1" x14ac:dyDescent="0.25">
      <c r="A24" s="2371" t="s">
        <v>2021</v>
      </c>
      <c r="B24" s="2370"/>
      <c r="C24" s="2370"/>
      <c r="D24" s="2370"/>
      <c r="E24" s="2370"/>
      <c r="F24" s="1779"/>
      <c r="G24" s="1780">
        <f>SUM(G3,G12)-G23</f>
        <v>0</v>
      </c>
      <c r="H24" s="1780">
        <f>SUM(H3,H12)-H23</f>
        <v>0</v>
      </c>
      <c r="I24" s="1780">
        <f>SUM(I3,I12)-I23</f>
        <v>0</v>
      </c>
      <c r="J24" s="1780">
        <f>SUM(J3,J12)-J23</f>
        <v>540412</v>
      </c>
      <c r="K24" s="1780">
        <f>SUM(K3,K12)-K23</f>
        <v>0</v>
      </c>
    </row>
    <row r="25" spans="1:11" ht="13.5" thickTop="1" x14ac:dyDescent="0.2">
      <c r="A25" s="797" t="s">
        <v>440</v>
      </c>
      <c r="B25" s="798"/>
      <c r="C25" s="798"/>
      <c r="D25" s="798"/>
      <c r="E25" s="799"/>
      <c r="F25" s="800">
        <v>714</v>
      </c>
      <c r="G25" s="801"/>
      <c r="H25" s="801"/>
      <c r="I25" s="801"/>
      <c r="J25" s="796">
        <v>540412</v>
      </c>
      <c r="K25" s="796"/>
    </row>
    <row r="26" spans="1:11" ht="13.5" thickBot="1" x14ac:dyDescent="0.25">
      <c r="A26" s="797" t="s">
        <v>360</v>
      </c>
      <c r="B26" s="798"/>
      <c r="C26" s="798"/>
      <c r="D26" s="798"/>
      <c r="E26" s="799"/>
      <c r="F26" s="800">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8" t="s">
        <v>2031</v>
      </c>
      <c r="B28" s="1899"/>
      <c r="C28" s="1899"/>
      <c r="D28" s="1899"/>
      <c r="E28" s="1900"/>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44"/>
      <c r="I31" s="2345"/>
      <c r="J31" s="2345"/>
      <c r="K31" s="2345"/>
    </row>
    <row r="32" spans="1:11" x14ac:dyDescent="0.2">
      <c r="A32" s="808"/>
      <c r="B32" s="237"/>
      <c r="C32" s="237"/>
      <c r="D32" s="237"/>
      <c r="E32" s="804"/>
      <c r="F32" s="810" t="s">
        <v>561</v>
      </c>
      <c r="G32" s="763"/>
      <c r="H32" s="2346"/>
      <c r="I32" s="2345"/>
      <c r="J32" s="2345"/>
      <c r="K32" s="2345"/>
    </row>
    <row r="33" spans="1:11" ht="1.5" customHeight="1" x14ac:dyDescent="0.2">
      <c r="A33" s="811" t="s">
        <v>1231</v>
      </c>
      <c r="B33" s="364"/>
      <c r="C33" s="364"/>
      <c r="D33" s="364"/>
      <c r="E33" s="364"/>
      <c r="F33" s="364"/>
      <c r="G33" s="812"/>
      <c r="H33" s="2346"/>
      <c r="I33" s="2345"/>
      <c r="J33" s="2345"/>
      <c r="K33" s="2345"/>
    </row>
    <row r="34" spans="1:11" x14ac:dyDescent="0.2">
      <c r="A34" s="813" t="s">
        <v>1918</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41" t="s">
        <v>562</v>
      </c>
      <c r="B41" s="2354"/>
      <c r="C41" s="2354"/>
      <c r="D41" s="2354"/>
      <c r="E41" s="2354"/>
      <c r="F41" s="235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48" t="s">
        <v>1912</v>
      </c>
      <c r="B46" s="408" t="s">
        <v>1772</v>
      </c>
    </row>
    <row r="47" spans="1:11" s="822" customFormat="1" ht="12.75" customHeight="1" x14ac:dyDescent="0.2">
      <c r="A47" s="820"/>
      <c r="B47" s="821" t="s">
        <v>1773</v>
      </c>
      <c r="E47" s="821"/>
      <c r="K47" s="823"/>
    </row>
    <row r="48" spans="1:11" ht="12.75" customHeight="1" x14ac:dyDescent="0.2">
      <c r="A48" s="1549" t="s">
        <v>1913</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76" t="s">
        <v>2030</v>
      </c>
      <c r="B1" s="2377"/>
      <c r="C1" s="2378"/>
      <c r="D1" s="825"/>
      <c r="E1" s="826"/>
      <c r="F1" s="826"/>
      <c r="G1" s="827"/>
      <c r="H1" s="828"/>
      <c r="I1" s="829"/>
      <c r="J1" s="2374"/>
      <c r="K1" s="2375"/>
      <c r="L1" s="2375"/>
    </row>
    <row r="2" spans="1:14" ht="69.75" customHeight="1" x14ac:dyDescent="0.2">
      <c r="A2" s="830" t="s">
        <v>1775</v>
      </c>
      <c r="B2" s="831" t="s">
        <v>396</v>
      </c>
      <c r="C2" s="832" t="s">
        <v>2025</v>
      </c>
      <c r="D2" s="832" t="s">
        <v>2022</v>
      </c>
      <c r="E2" s="832" t="s">
        <v>2023</v>
      </c>
      <c r="F2" s="832" t="s">
        <v>2024</v>
      </c>
      <c r="G2" s="832" t="s">
        <v>626</v>
      </c>
      <c r="H2" s="832" t="s">
        <v>2026</v>
      </c>
      <c r="I2" s="832" t="s">
        <v>2027</v>
      </c>
      <c r="J2" s="832" t="s">
        <v>2042</v>
      </c>
      <c r="K2" s="832" t="s">
        <v>2028</v>
      </c>
      <c r="L2" s="832" t="s">
        <v>2029</v>
      </c>
      <c r="M2" s="833"/>
      <c r="N2" s="833"/>
    </row>
    <row r="3" spans="1:14" ht="13.5" thickBot="1" x14ac:dyDescent="0.25">
      <c r="A3" s="1646" t="s">
        <v>948</v>
      </c>
      <c r="B3" s="1647">
        <v>210</v>
      </c>
      <c r="C3" s="834">
        <v>0</v>
      </c>
      <c r="D3" s="834"/>
      <c r="E3" s="834"/>
      <c r="F3" s="1777">
        <f>(C3+D3)-E3</f>
        <v>0</v>
      </c>
      <c r="G3" s="835"/>
      <c r="H3" s="834">
        <v>0</v>
      </c>
      <c r="I3" s="834"/>
      <c r="J3" s="834"/>
      <c r="K3" s="1786">
        <f>(H3+I3)-J3</f>
        <v>0</v>
      </c>
      <c r="L3" s="1786">
        <f>F3-K3</f>
        <v>0</v>
      </c>
      <c r="M3" s="833"/>
      <c r="N3" s="833"/>
    </row>
    <row r="4" spans="1:14" ht="15" customHeight="1" thickTop="1" x14ac:dyDescent="0.2">
      <c r="A4" s="1648" t="s">
        <v>160</v>
      </c>
      <c r="B4" s="1647">
        <v>220</v>
      </c>
      <c r="C4" s="780"/>
      <c r="D4" s="780"/>
      <c r="E4" s="780"/>
      <c r="F4" s="772"/>
      <c r="G4" s="836"/>
      <c r="H4" s="837"/>
      <c r="I4" s="837"/>
      <c r="J4" s="837"/>
      <c r="K4" s="838"/>
      <c r="L4" s="772"/>
    </row>
    <row r="5" spans="1:14" ht="13.5" thickBot="1" x14ac:dyDescent="0.25">
      <c r="A5" s="777" t="s">
        <v>949</v>
      </c>
      <c r="B5" s="839">
        <v>221</v>
      </c>
      <c r="C5" s="840">
        <v>396790</v>
      </c>
      <c r="D5" s="840"/>
      <c r="E5" s="840"/>
      <c r="F5" s="1777">
        <f>(C5+D5)-E5</f>
        <v>396790</v>
      </c>
      <c r="G5" s="836"/>
      <c r="H5" s="841"/>
      <c r="I5" s="841"/>
      <c r="J5" s="841"/>
      <c r="K5" s="792"/>
      <c r="L5" s="1786">
        <f>F5-K5</f>
        <v>396790</v>
      </c>
    </row>
    <row r="6" spans="1:14" ht="14.25" thickTop="1" thickBot="1" x14ac:dyDescent="0.25">
      <c r="A6" s="777" t="s">
        <v>1179</v>
      </c>
      <c r="B6" s="839">
        <v>222</v>
      </c>
      <c r="C6" s="764">
        <v>0</v>
      </c>
      <c r="D6" s="764"/>
      <c r="E6" s="764"/>
      <c r="F6" s="1777">
        <f>(C6+D6)-E6</f>
        <v>0</v>
      </c>
      <c r="G6" s="836">
        <v>50</v>
      </c>
      <c r="H6" s="764">
        <v>0</v>
      </c>
      <c r="I6" s="764"/>
      <c r="J6" s="764"/>
      <c r="K6" s="1786">
        <f>(H6+I6)-J6</f>
        <v>0</v>
      </c>
      <c r="L6" s="1786">
        <f>F6-K6</f>
        <v>0</v>
      </c>
    </row>
    <row r="7" spans="1:14" ht="15" customHeight="1" thickTop="1" x14ac:dyDescent="0.2">
      <c r="A7" s="1648" t="s">
        <v>161</v>
      </c>
      <c r="B7" s="1647">
        <v>230</v>
      </c>
      <c r="C7" s="780"/>
      <c r="D7" s="780"/>
      <c r="E7" s="780"/>
      <c r="F7" s="772"/>
      <c r="G7" s="842"/>
      <c r="H7" s="780"/>
      <c r="I7" s="780"/>
      <c r="J7" s="780"/>
      <c r="K7" s="772"/>
      <c r="L7" s="772"/>
    </row>
    <row r="8" spans="1:14" ht="13.5" thickBot="1" x14ac:dyDescent="0.25">
      <c r="A8" s="777" t="s">
        <v>1180</v>
      </c>
      <c r="B8" s="839">
        <v>231</v>
      </c>
      <c r="C8" s="843">
        <v>22883010</v>
      </c>
      <c r="D8" s="843">
        <v>105052</v>
      </c>
      <c r="E8" s="843"/>
      <c r="F8" s="1777">
        <f>(C8+D8)-E8</f>
        <v>22988062</v>
      </c>
      <c r="G8" s="842">
        <v>50</v>
      </c>
      <c r="H8" s="764">
        <v>9132941</v>
      </c>
      <c r="I8" s="764">
        <v>381275</v>
      </c>
      <c r="J8" s="764"/>
      <c r="K8" s="1786">
        <f>(H8+I8)-J8</f>
        <v>9514216</v>
      </c>
      <c r="L8" s="1786">
        <f>F8-K8</f>
        <v>13473846</v>
      </c>
    </row>
    <row r="9" spans="1:14" ht="14.25" thickTop="1" thickBot="1" x14ac:dyDescent="0.25">
      <c r="A9" s="777" t="s">
        <v>1181</v>
      </c>
      <c r="B9" s="839">
        <v>232</v>
      </c>
      <c r="C9" s="764">
        <v>0</v>
      </c>
      <c r="D9" s="764"/>
      <c r="E9" s="764"/>
      <c r="F9" s="1777">
        <f>(C9+D9)-E9</f>
        <v>0</v>
      </c>
      <c r="G9" s="842">
        <v>20</v>
      </c>
      <c r="H9" s="764">
        <v>0</v>
      </c>
      <c r="I9" s="764"/>
      <c r="J9" s="764"/>
      <c r="K9" s="1786">
        <f>(H9+I9)-J9</f>
        <v>0</v>
      </c>
      <c r="L9" s="1786">
        <f>F9-K9</f>
        <v>0</v>
      </c>
    </row>
    <row r="10" spans="1:14" ht="24" thickTop="1" thickBot="1" x14ac:dyDescent="0.25">
      <c r="A10" s="844" t="s">
        <v>1182</v>
      </c>
      <c r="B10" s="839">
        <v>240</v>
      </c>
      <c r="C10" s="845">
        <v>2747356</v>
      </c>
      <c r="D10" s="845">
        <v>238095</v>
      </c>
      <c r="E10" s="845"/>
      <c r="F10" s="1781">
        <f>(C10+D10)-E10</f>
        <v>2985451</v>
      </c>
      <c r="G10" s="842">
        <v>20</v>
      </c>
      <c r="H10" s="846">
        <v>960233</v>
      </c>
      <c r="I10" s="846">
        <v>142489</v>
      </c>
      <c r="J10" s="846"/>
      <c r="K10" s="1786">
        <f>(H10+I10)-J10</f>
        <v>1102722</v>
      </c>
      <c r="L10" s="1786">
        <f>F10-K10</f>
        <v>1882729</v>
      </c>
    </row>
    <row r="11" spans="1:14" ht="13.5" thickTop="1" x14ac:dyDescent="0.2">
      <c r="A11" s="1649" t="s">
        <v>1198</v>
      </c>
      <c r="B11" s="1647">
        <v>250</v>
      </c>
      <c r="C11" s="780"/>
      <c r="D11" s="780"/>
      <c r="E11" s="780"/>
      <c r="F11" s="772"/>
      <c r="G11" s="842"/>
      <c r="H11" s="780"/>
      <c r="I11" s="780"/>
      <c r="J11" s="780"/>
      <c r="K11" s="772"/>
      <c r="L11" s="772"/>
    </row>
    <row r="12" spans="1:14" ht="13.5" thickBot="1" x14ac:dyDescent="0.25">
      <c r="A12" s="847" t="s">
        <v>1183</v>
      </c>
      <c r="B12" s="839">
        <v>251</v>
      </c>
      <c r="C12" s="843">
        <v>4102944</v>
      </c>
      <c r="D12" s="843">
        <v>764510</v>
      </c>
      <c r="E12" s="843">
        <v>389101</v>
      </c>
      <c r="F12" s="1777">
        <f>(C12+D12)-E12</f>
        <v>4478353</v>
      </c>
      <c r="G12" s="842">
        <v>10</v>
      </c>
      <c r="H12" s="764">
        <v>2133362</v>
      </c>
      <c r="I12" s="764">
        <v>447835</v>
      </c>
      <c r="J12" s="764">
        <v>389101</v>
      </c>
      <c r="K12" s="1786">
        <f>(H12+I12)-J12</f>
        <v>2192096</v>
      </c>
      <c r="L12" s="1786">
        <f>F12-K12</f>
        <v>2286257</v>
      </c>
    </row>
    <row r="13" spans="1:14" ht="14.25" thickTop="1" thickBot="1" x14ac:dyDescent="0.25">
      <c r="A13" s="847" t="s">
        <v>1184</v>
      </c>
      <c r="B13" s="839">
        <v>252</v>
      </c>
      <c r="C13" s="843">
        <v>979902</v>
      </c>
      <c r="D13" s="843">
        <v>91610</v>
      </c>
      <c r="E13" s="843"/>
      <c r="F13" s="1777">
        <f>(C13+D13)-E13</f>
        <v>1071512</v>
      </c>
      <c r="G13" s="842">
        <v>5</v>
      </c>
      <c r="H13" s="764">
        <v>961780</v>
      </c>
      <c r="I13" s="764">
        <v>25937</v>
      </c>
      <c r="J13" s="764"/>
      <c r="K13" s="1786">
        <f>(H13+I13)-J13</f>
        <v>987717</v>
      </c>
      <c r="L13" s="1786">
        <f>F13-K13</f>
        <v>83795</v>
      </c>
    </row>
    <row r="14" spans="1:14" ht="14.25" thickTop="1" thickBot="1" x14ac:dyDescent="0.25">
      <c r="A14" s="847" t="s">
        <v>1185</v>
      </c>
      <c r="B14" s="839">
        <v>253</v>
      </c>
      <c r="C14" s="764">
        <v>908</v>
      </c>
      <c r="D14" s="764">
        <v>9578</v>
      </c>
      <c r="E14" s="764"/>
      <c r="F14" s="1777">
        <f>(C14+D14)-E14</f>
        <v>10486</v>
      </c>
      <c r="G14" s="842">
        <v>3</v>
      </c>
      <c r="H14" s="764">
        <v>908</v>
      </c>
      <c r="I14" s="764">
        <v>3193</v>
      </c>
      <c r="J14" s="764"/>
      <c r="K14" s="1786">
        <f>(H14+I14)-J14</f>
        <v>4101</v>
      </c>
      <c r="L14" s="1786">
        <f>F14-K14</f>
        <v>6385</v>
      </c>
    </row>
    <row r="15" spans="1:14" ht="15" customHeight="1" thickTop="1" thickBot="1" x14ac:dyDescent="0.25">
      <c r="A15" s="1648" t="s">
        <v>549</v>
      </c>
      <c r="B15" s="1647">
        <v>260</v>
      </c>
      <c r="C15" s="843">
        <v>0</v>
      </c>
      <c r="D15" s="843"/>
      <c r="E15" s="843"/>
      <c r="F15" s="1777">
        <f>(C15+D15)-E15</f>
        <v>0</v>
      </c>
      <c r="G15" s="848" t="s">
        <v>917</v>
      </c>
      <c r="H15" s="780"/>
      <c r="I15" s="780"/>
      <c r="J15" s="780"/>
      <c r="K15" s="780"/>
      <c r="L15" s="1786">
        <f>F15-K15</f>
        <v>0</v>
      </c>
    </row>
    <row r="16" spans="1:14" ht="15" customHeight="1" thickTop="1" thickBot="1" x14ac:dyDescent="0.25">
      <c r="A16" s="1782" t="s">
        <v>664</v>
      </c>
      <c r="B16" s="1783">
        <v>200</v>
      </c>
      <c r="C16" s="1777">
        <f>SUM(C3,C5:C6,C8:C10,C12:C15)</f>
        <v>31110910</v>
      </c>
      <c r="D16" s="1777">
        <f>SUM(D3,D5:D6,D8:D10,D12:D15)</f>
        <v>1208845</v>
      </c>
      <c r="E16" s="1777">
        <f>SUM(E3,E5:E6,E8:E10,E12:E15)</f>
        <v>389101</v>
      </c>
      <c r="F16" s="1777">
        <f>SUM(F3,F5:F6,F8:F10,F12:F15)</f>
        <v>31930654</v>
      </c>
      <c r="G16" s="842"/>
      <c r="H16" s="1777">
        <f>SUM(H3,H6,H8:H10,H12:H14,)</f>
        <v>13189224</v>
      </c>
      <c r="I16" s="1777">
        <f>SUM(I3,I6,I8:I10,I12:I14,)</f>
        <v>1000729</v>
      </c>
      <c r="J16" s="1777">
        <f>SUM(J3,J6,J8:J10,J12:J14,)</f>
        <v>389101</v>
      </c>
      <c r="K16" s="1777">
        <f>(H16+I16)-J16</f>
        <v>13800852</v>
      </c>
      <c r="L16" s="1777">
        <f>F16-K16</f>
        <v>18129802</v>
      </c>
    </row>
    <row r="17" spans="1:12" ht="15" customHeight="1" thickTop="1" thickBot="1" x14ac:dyDescent="0.25">
      <c r="A17" s="1650" t="s">
        <v>309</v>
      </c>
      <c r="B17" s="1647">
        <v>700</v>
      </c>
      <c r="C17" s="768"/>
      <c r="D17" s="768"/>
      <c r="E17" s="768"/>
      <c r="F17" s="1777">
        <f>SUM('Expenditures 15-22'!I114,'Expenditures 15-22'!I151,'Expenditures 15-22'!I210,'Expenditures 15-22'!I312,'Expenditures 15-22'!I342,'Expenditures 15-22'!I367)</f>
        <v>0</v>
      </c>
      <c r="G17" s="836">
        <v>10</v>
      </c>
      <c r="H17" s="768"/>
      <c r="I17" s="1786">
        <f>F17/G17</f>
        <v>0</v>
      </c>
      <c r="J17" s="768"/>
      <c r="K17" s="794"/>
      <c r="L17" s="794"/>
    </row>
    <row r="18" spans="1:12" ht="14.25" thickTop="1" thickBot="1" x14ac:dyDescent="0.25">
      <c r="A18" s="1784" t="s">
        <v>706</v>
      </c>
      <c r="B18" s="1785"/>
      <c r="C18" s="770"/>
      <c r="D18" s="770"/>
      <c r="E18" s="770"/>
      <c r="F18" s="849"/>
      <c r="G18" s="850"/>
      <c r="H18" s="772"/>
      <c r="I18" s="1777">
        <f>SUM(I16,I17)</f>
        <v>1000729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L30" sqref="L30"/>
      <selection pane="bottomLeft" activeCell="A29" sqref="A29:XFD2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82" t="s">
        <v>1697</v>
      </c>
      <c r="B1" s="2383"/>
      <c r="C1" s="2383"/>
      <c r="D1" s="2383"/>
      <c r="E1" s="2383"/>
      <c r="F1" s="2384"/>
      <c r="G1" s="854"/>
    </row>
    <row r="2" spans="1:7" ht="15" customHeight="1" thickBot="1" x14ac:dyDescent="0.25">
      <c r="A2" s="2385" t="s">
        <v>498</v>
      </c>
      <c r="B2" s="2386"/>
      <c r="C2" s="2386"/>
      <c r="D2" s="2386"/>
      <c r="E2" s="2386"/>
      <c r="F2" s="2387"/>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388"/>
      <c r="B5" s="2389"/>
      <c r="C5" s="2389"/>
      <c r="D5" s="2389"/>
      <c r="E5" s="2389"/>
      <c r="F5" s="2389"/>
    </row>
    <row r="6" spans="1:7" ht="13.5" customHeight="1" thickBot="1" x14ac:dyDescent="0.25">
      <c r="A6" s="2379" t="s">
        <v>1166</v>
      </c>
      <c r="B6" s="2380"/>
      <c r="C6" s="2380"/>
      <c r="D6" s="2380"/>
      <c r="E6" s="2380"/>
      <c r="F6" s="238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6">
        <f>'Expenditures 15-22'!K114</f>
        <v>14821795</v>
      </c>
      <c r="G8" s="864"/>
    </row>
    <row r="9" spans="1:7" x14ac:dyDescent="0.2">
      <c r="A9" s="868" t="s">
        <v>480</v>
      </c>
      <c r="B9" s="869" t="s">
        <v>1984</v>
      </c>
      <c r="C9" s="870"/>
      <c r="D9" s="868" t="s">
        <v>522</v>
      </c>
      <c r="E9" s="867"/>
      <c r="F9" s="1927">
        <f>'Expenditures 15-22'!K151</f>
        <v>1861291</v>
      </c>
      <c r="G9" s="871"/>
    </row>
    <row r="10" spans="1:7" x14ac:dyDescent="0.2">
      <c r="A10" s="868" t="s">
        <v>520</v>
      </c>
      <c r="B10" s="869" t="s">
        <v>1985</v>
      </c>
      <c r="C10" s="870"/>
      <c r="D10" s="868" t="s">
        <v>522</v>
      </c>
      <c r="E10" s="867"/>
      <c r="F10" s="1927">
        <f>'Expenditures 15-22'!K174</f>
        <v>588650</v>
      </c>
      <c r="G10" s="871"/>
    </row>
    <row r="11" spans="1:7" x14ac:dyDescent="0.2">
      <c r="A11" s="868" t="s">
        <v>481</v>
      </c>
      <c r="B11" s="869" t="s">
        <v>1986</v>
      </c>
      <c r="C11" s="870"/>
      <c r="D11" s="868" t="s">
        <v>522</v>
      </c>
      <c r="E11" s="867"/>
      <c r="F11" s="1927">
        <f>'Expenditures 15-22'!K210</f>
        <v>759888</v>
      </c>
      <c r="G11" s="871"/>
    </row>
    <row r="12" spans="1:7" x14ac:dyDescent="0.2">
      <c r="A12" s="868" t="s">
        <v>482</v>
      </c>
      <c r="B12" s="869" t="s">
        <v>1987</v>
      </c>
      <c r="C12" s="870"/>
      <c r="D12" s="868" t="s">
        <v>522</v>
      </c>
      <c r="E12" s="867"/>
      <c r="F12" s="1927">
        <f>'Expenditures 15-22'!K295</f>
        <v>666917</v>
      </c>
      <c r="G12" s="871"/>
    </row>
    <row r="13" spans="1:7" x14ac:dyDescent="0.2">
      <c r="A13" s="868" t="s">
        <v>108</v>
      </c>
      <c r="B13" s="869" t="s">
        <v>1988</v>
      </c>
      <c r="C13" s="870"/>
      <c r="D13" s="868" t="s">
        <v>522</v>
      </c>
      <c r="E13" s="867"/>
      <c r="F13" s="1927">
        <f>'Expenditures 15-22'!K342</f>
        <v>541950</v>
      </c>
      <c r="G13" s="872"/>
    </row>
    <row r="14" spans="1:7" ht="12" customHeight="1" thickBot="1" x14ac:dyDescent="0.25">
      <c r="A14" s="1787"/>
      <c r="B14" s="1788"/>
      <c r="C14" s="1789"/>
      <c r="D14" s="1790" t="s">
        <v>522</v>
      </c>
      <c r="E14" s="1791" t="s">
        <v>1015</v>
      </c>
      <c r="F14" s="1792">
        <f>SUM(F8:F13)</f>
        <v>19240491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28">
        <f>'Revenues 9-14'!F43</f>
        <v>0</v>
      </c>
      <c r="G18" s="864"/>
    </row>
    <row r="19" spans="1:7" x14ac:dyDescent="0.2">
      <c r="A19" s="868" t="s">
        <v>481</v>
      </c>
      <c r="B19" s="869" t="s">
        <v>1069</v>
      </c>
      <c r="C19" s="876">
        <f>'Revenues 9-14'!B47</f>
        <v>1421</v>
      </c>
      <c r="D19" s="877" t="str">
        <f>'Revenues 9-14'!A47</f>
        <v>Summer Sch - Transp. Fees from Pupils or Parents (In State)</v>
      </c>
      <c r="E19" s="878"/>
      <c r="F19" s="1929">
        <f>'Revenues 9-14'!F47</f>
        <v>0</v>
      </c>
      <c r="G19" s="864"/>
    </row>
    <row r="20" spans="1:7" x14ac:dyDescent="0.2">
      <c r="A20" s="868" t="s">
        <v>481</v>
      </c>
      <c r="B20" s="869" t="s">
        <v>1070</v>
      </c>
      <c r="C20" s="874">
        <f>'Revenues 9-14'!B48</f>
        <v>1422</v>
      </c>
      <c r="D20" s="875" t="str">
        <f>'Revenues 9-14'!A48</f>
        <v>Summer Sch - Transp. Fees from Other Districts (In State)</v>
      </c>
      <c r="E20" s="867"/>
      <c r="F20" s="1930">
        <f>'Revenues 9-14'!F48</f>
        <v>0</v>
      </c>
      <c r="G20" s="864"/>
    </row>
    <row r="21" spans="1:7" x14ac:dyDescent="0.2">
      <c r="A21" s="868" t="s">
        <v>481</v>
      </c>
      <c r="B21" s="869" t="s">
        <v>1071</v>
      </c>
      <c r="C21" s="876">
        <f>'Revenues 9-14'!B49</f>
        <v>1423</v>
      </c>
      <c r="D21" s="875" t="str">
        <f>'Revenues 9-14'!A49</f>
        <v>Summer Sch - Transp. Fees from Other Sources (In State)</v>
      </c>
      <c r="E21" s="867"/>
      <c r="F21" s="1931">
        <f>'Revenues 9-14'!F49</f>
        <v>0</v>
      </c>
      <c r="G21" s="864"/>
    </row>
    <row r="22" spans="1:7" x14ac:dyDescent="0.2">
      <c r="A22" s="868" t="s">
        <v>481</v>
      </c>
      <c r="B22" s="869" t="s">
        <v>1072</v>
      </c>
      <c r="C22" s="876">
        <f>'Revenues 9-14'!B50</f>
        <v>1424</v>
      </c>
      <c r="D22" s="875" t="str">
        <f>'Revenues 9-14'!A50</f>
        <v>Summer Sch - Transp. Fees from Other Sources (Out of State)</v>
      </c>
      <c r="E22" s="867"/>
      <c r="F22" s="1931">
        <f>'Revenues 9-14'!F50</f>
        <v>0</v>
      </c>
      <c r="G22" s="864"/>
    </row>
    <row r="23" spans="1:7" x14ac:dyDescent="0.2">
      <c r="A23" s="868" t="s">
        <v>481</v>
      </c>
      <c r="B23" s="869" t="s">
        <v>1073</v>
      </c>
      <c r="C23" s="874">
        <f>'Revenues 9-14'!B52</f>
        <v>1432</v>
      </c>
      <c r="D23" s="875" t="str">
        <f>'Revenues 9-14'!A52</f>
        <v>CTE - Transp Fees from Other Districts (In State)</v>
      </c>
      <c r="E23" s="867"/>
      <c r="F23" s="1931">
        <f>'Revenues 9-14'!F52</f>
        <v>0</v>
      </c>
      <c r="G23" s="864"/>
    </row>
    <row r="24" spans="1:7" x14ac:dyDescent="0.2">
      <c r="A24" s="868" t="s">
        <v>481</v>
      </c>
      <c r="B24" s="869" t="s">
        <v>1074</v>
      </c>
      <c r="C24" s="874">
        <f>'Revenues 9-14'!B56</f>
        <v>1442</v>
      </c>
      <c r="D24" s="875" t="str">
        <f>'Revenues 9-14'!A56</f>
        <v>Special Ed - Transp Fees from Other Districts (In State)</v>
      </c>
      <c r="E24" s="867"/>
      <c r="F24" s="1931">
        <f>'Revenues 9-14'!F56</f>
        <v>0</v>
      </c>
      <c r="G24" s="864"/>
    </row>
    <row r="25" spans="1:7" x14ac:dyDescent="0.2">
      <c r="A25" s="868" t="s">
        <v>481</v>
      </c>
      <c r="B25" s="869" t="s">
        <v>1075</v>
      </c>
      <c r="C25" s="874">
        <f>'Revenues 9-14'!B59</f>
        <v>1451</v>
      </c>
      <c r="D25" s="875" t="str">
        <f>'Revenues 9-14'!A59</f>
        <v>Adult - Transp Fees from Pupils or Parents (In State)</v>
      </c>
      <c r="E25" s="867"/>
      <c r="F25" s="1931">
        <f>'Revenues 9-14'!F59</f>
        <v>0</v>
      </c>
      <c r="G25" s="864"/>
    </row>
    <row r="26" spans="1:7" x14ac:dyDescent="0.2">
      <c r="A26" s="868" t="s">
        <v>481</v>
      </c>
      <c r="B26" s="869" t="s">
        <v>1076</v>
      </c>
      <c r="C26" s="874">
        <f>'Revenues 9-14'!B60</f>
        <v>1452</v>
      </c>
      <c r="D26" s="875" t="str">
        <f>'Revenues 9-14'!A60</f>
        <v>Adult - Transp Fees from Other Districts (In State)</v>
      </c>
      <c r="E26" s="867"/>
      <c r="F26" s="1931">
        <f>'Revenues 9-14'!F60</f>
        <v>0</v>
      </c>
      <c r="G26" s="864"/>
    </row>
    <row r="27" spans="1:7" x14ac:dyDescent="0.2">
      <c r="A27" s="868" t="s">
        <v>481</v>
      </c>
      <c r="B27" s="869" t="s">
        <v>1077</v>
      </c>
      <c r="C27" s="874">
        <f>'Revenues 9-14'!B61</f>
        <v>1453</v>
      </c>
      <c r="D27" s="875" t="str">
        <f>'Revenues 9-14'!A61</f>
        <v>Adult - Transp Fees from Other Sources (In State)</v>
      </c>
      <c r="E27" s="867"/>
      <c r="F27" s="1931">
        <f>'Revenues 9-14'!F61</f>
        <v>0</v>
      </c>
      <c r="G27" s="864"/>
    </row>
    <row r="28" spans="1:7" x14ac:dyDescent="0.2">
      <c r="A28" s="868" t="s">
        <v>481</v>
      </c>
      <c r="B28" s="869" t="s">
        <v>1078</v>
      </c>
      <c r="C28" s="874">
        <f>'Revenues 9-14'!B62</f>
        <v>1454</v>
      </c>
      <c r="D28" s="875" t="str">
        <f>'Revenues 9-14'!A62</f>
        <v>Adult - Transp Fees from Other Sources (Out of State)</v>
      </c>
      <c r="E28" s="867"/>
      <c r="F28" s="1931">
        <f>'Revenues 9-14'!F62</f>
        <v>0</v>
      </c>
      <c r="G28" s="864"/>
    </row>
    <row r="29" spans="1:7" x14ac:dyDescent="0.2">
      <c r="A29" s="868" t="s">
        <v>1159</v>
      </c>
      <c r="B29" s="869" t="s">
        <v>1681</v>
      </c>
      <c r="C29" s="879">
        <f>'Revenues 9-14'!B148</f>
        <v>3410</v>
      </c>
      <c r="D29" s="880" t="str">
        <f>'Revenues 9-14'!A148</f>
        <v>Adult Ed (from ICCB)</v>
      </c>
      <c r="E29" s="867"/>
      <c r="F29" s="1931">
        <f>SUM('Revenues 9-14'!D148,F149)</f>
        <v>0</v>
      </c>
      <c r="G29" s="864"/>
    </row>
    <row r="30" spans="1:7" x14ac:dyDescent="0.2">
      <c r="A30" s="868" t="s">
        <v>1159</v>
      </c>
      <c r="B30" s="869" t="s">
        <v>861</v>
      </c>
      <c r="C30" s="879">
        <f>'Revenues 9-14'!B149</f>
        <v>3499</v>
      </c>
      <c r="D30" s="880" t="str">
        <f>'Revenues 9-14'!A149</f>
        <v>Adult Ed - Other (Describe &amp; Itemize)</v>
      </c>
      <c r="E30" s="867"/>
      <c r="F30" s="1932">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1">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1">
        <f>SUM('Revenues 9-14'!D219,'Revenues 9-14'!F219)</f>
        <v>0</v>
      </c>
      <c r="G32" s="864"/>
    </row>
    <row r="33" spans="1:7" x14ac:dyDescent="0.2">
      <c r="A33" s="868" t="s">
        <v>480</v>
      </c>
      <c r="B33" s="869" t="s">
        <v>801</v>
      </c>
      <c r="C33" s="874">
        <f>'Revenues 9-14'!B229</f>
        <v>4810</v>
      </c>
      <c r="D33" s="882" t="str">
        <f>'Revenues 9-14'!A229</f>
        <v>Federal - Adult Education</v>
      </c>
      <c r="E33" s="867"/>
      <c r="F33" s="1931">
        <f>'Revenues 9-14'!D229</f>
        <v>0</v>
      </c>
      <c r="G33" s="864"/>
    </row>
    <row r="34" spans="1:7" x14ac:dyDescent="0.2">
      <c r="A34" s="868" t="s">
        <v>479</v>
      </c>
      <c r="B34" s="868" t="s">
        <v>1545</v>
      </c>
      <c r="C34" s="885" t="str">
        <f>'Expenditures 15-22'!B7</f>
        <v>1125</v>
      </c>
      <c r="D34" s="886" t="str">
        <f>'Expenditures 15-22'!A7</f>
        <v>Pre-K Programs</v>
      </c>
      <c r="E34" s="867"/>
      <c r="F34" s="1931">
        <f>'Expenditures 15-22'!K7-SUM('Expenditures 15-22'!G7,'Expenditures 15-22'!I7)</f>
        <v>216973</v>
      </c>
      <c r="G34" s="864"/>
    </row>
    <row r="35" spans="1:7" x14ac:dyDescent="0.2">
      <c r="A35" s="868" t="s">
        <v>479</v>
      </c>
      <c r="B35" s="868" t="s">
        <v>1546</v>
      </c>
      <c r="C35" s="885" t="str">
        <f>'Expenditures 15-22'!B9</f>
        <v>1225</v>
      </c>
      <c r="D35" s="886" t="str">
        <f>'Expenditures 15-22'!A9</f>
        <v>Special Education Programs Pre-K</v>
      </c>
      <c r="E35" s="867"/>
      <c r="F35" s="1931">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1">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1">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1">
        <f>'Expenditures 15-22'!K15-SUM('Expenditures 15-22'!G15,'Expenditures 15-22'!I15)</f>
        <v>13054</v>
      </c>
      <c r="G38" s="864"/>
    </row>
    <row r="39" spans="1:7" x14ac:dyDescent="0.2">
      <c r="A39" s="868" t="s">
        <v>479</v>
      </c>
      <c r="B39" s="868" t="s">
        <v>119</v>
      </c>
      <c r="C39" s="885" t="str">
        <f>'Expenditures 15-22'!B20</f>
        <v>1910</v>
      </c>
      <c r="D39" s="887" t="str">
        <f>'Expenditures 15-22'!A20</f>
        <v>Pre-K Programs - Private Tuition</v>
      </c>
      <c r="E39" s="867"/>
      <c r="F39" s="1931">
        <f>'Expenditures 15-22'!K20</f>
        <v>0</v>
      </c>
      <c r="G39" s="864"/>
    </row>
    <row r="40" spans="1:7" x14ac:dyDescent="0.2">
      <c r="A40" s="868" t="s">
        <v>479</v>
      </c>
      <c r="B40" s="868" t="s">
        <v>120</v>
      </c>
      <c r="C40" s="885" t="str">
        <f>'Expenditures 15-22'!B21</f>
        <v>1911</v>
      </c>
      <c r="D40" s="887" t="str">
        <f>'Expenditures 15-22'!A21</f>
        <v>Regular K-12 Programs - Private Tuition</v>
      </c>
      <c r="E40" s="867"/>
      <c r="F40" s="1931">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1">
        <f>'Expenditures 15-22'!K22</f>
        <v>287799</v>
      </c>
      <c r="G41" s="864"/>
    </row>
    <row r="42" spans="1:7" x14ac:dyDescent="0.2">
      <c r="A42" s="868" t="s">
        <v>479</v>
      </c>
      <c r="B42" s="868" t="s">
        <v>122</v>
      </c>
      <c r="C42" s="888" t="str">
        <f>'Expenditures 15-22'!B23</f>
        <v>1913</v>
      </c>
      <c r="D42" s="887" t="str">
        <f>'Expenditures 15-22'!A23</f>
        <v>Special Education Programs Pre-K - Tuition</v>
      </c>
      <c r="E42" s="867"/>
      <c r="F42" s="1931">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1">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1">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1">
        <f>'Expenditures 15-22'!K26</f>
        <v>0</v>
      </c>
      <c r="G45" s="864"/>
    </row>
    <row r="46" spans="1:7" x14ac:dyDescent="0.2">
      <c r="A46" s="868" t="s">
        <v>479</v>
      </c>
      <c r="B46" s="868" t="s">
        <v>126</v>
      </c>
      <c r="C46" s="885" t="str">
        <f>'Expenditures 15-22'!B27</f>
        <v>1917</v>
      </c>
      <c r="D46" s="887" t="str">
        <f>'Expenditures 15-22'!A27</f>
        <v>CTE Programs - Private Tuition</v>
      </c>
      <c r="E46" s="867"/>
      <c r="F46" s="1931">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1">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1">
        <f>'Expenditures 15-22'!K29</f>
        <v>0</v>
      </c>
      <c r="G48" s="864"/>
    </row>
    <row r="49" spans="1:7" x14ac:dyDescent="0.2">
      <c r="A49" s="868" t="s">
        <v>479</v>
      </c>
      <c r="B49" s="868" t="s">
        <v>129</v>
      </c>
      <c r="C49" s="885" t="str">
        <f>'Expenditures 15-22'!B30</f>
        <v>1920</v>
      </c>
      <c r="D49" s="887" t="str">
        <f>'Expenditures 15-22'!A30</f>
        <v>Gifted Programs - Private Tuition</v>
      </c>
      <c r="E49" s="867"/>
      <c r="F49" s="1931">
        <f>'Expenditures 15-22'!K30</f>
        <v>0</v>
      </c>
      <c r="G49" s="864"/>
    </row>
    <row r="50" spans="1:7" x14ac:dyDescent="0.2">
      <c r="A50" s="868" t="s">
        <v>479</v>
      </c>
      <c r="B50" s="868" t="s">
        <v>130</v>
      </c>
      <c r="C50" s="885" t="str">
        <f>'Expenditures 15-22'!B31</f>
        <v>1921</v>
      </c>
      <c r="D50" s="887" t="str">
        <f>'Expenditures 15-22'!A31</f>
        <v>Bilingual Programs - Private Tuition</v>
      </c>
      <c r="E50" s="867"/>
      <c r="F50" s="1931">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1">
        <f>'Expenditures 15-22'!K32</f>
        <v>0</v>
      </c>
      <c r="G51" s="864"/>
    </row>
    <row r="52" spans="1:7" x14ac:dyDescent="0.2">
      <c r="A52" s="868" t="s">
        <v>479</v>
      </c>
      <c r="B52" s="868" t="s">
        <v>1550</v>
      </c>
      <c r="C52" s="888" t="str">
        <f>'Expenditures 15-22'!B75</f>
        <v>3000</v>
      </c>
      <c r="D52" s="887" t="s">
        <v>469</v>
      </c>
      <c r="E52" s="867"/>
      <c r="F52" s="1931">
        <f>'Expenditures 15-22'!K75-SUM('Expenditures 15-22'!G75,'Expenditures 15-22'!I75)</f>
        <v>85153</v>
      </c>
      <c r="G52" s="864"/>
    </row>
    <row r="53" spans="1:7" x14ac:dyDescent="0.2">
      <c r="A53" s="868" t="s">
        <v>479</v>
      </c>
      <c r="B53" s="868" t="s">
        <v>1551</v>
      </c>
      <c r="C53" s="888">
        <f>'Expenditures 15-22'!B102</f>
        <v>4000</v>
      </c>
      <c r="D53" s="887" t="str">
        <f>'Expenditures 15-22'!A102</f>
        <v>Total Payments to Other Govt Units</v>
      </c>
      <c r="E53" s="867"/>
      <c r="F53" s="1931">
        <f>'Expenditures 15-22'!K102</f>
        <v>1792271</v>
      </c>
      <c r="G53" s="864"/>
    </row>
    <row r="54" spans="1:7" x14ac:dyDescent="0.2">
      <c r="A54" s="868" t="s">
        <v>479</v>
      </c>
      <c r="B54" s="868" t="s">
        <v>1552</v>
      </c>
      <c r="C54" s="888" t="s">
        <v>1039</v>
      </c>
      <c r="D54" s="884" t="s">
        <v>1157</v>
      </c>
      <c r="E54" s="867"/>
      <c r="F54" s="1931">
        <f>'Expenditures 15-22'!G114</f>
        <v>293849</v>
      </c>
      <c r="G54" s="864"/>
    </row>
    <row r="55" spans="1:7" x14ac:dyDescent="0.2">
      <c r="A55" s="868" t="s">
        <v>479</v>
      </c>
      <c r="B55" s="868" t="s">
        <v>1553</v>
      </c>
      <c r="C55" s="888" t="s">
        <v>1039</v>
      </c>
      <c r="D55" s="884" t="s">
        <v>309</v>
      </c>
      <c r="E55" s="867"/>
      <c r="F55" s="1931">
        <f>'Expenditures 15-22'!I114</f>
        <v>0</v>
      </c>
      <c r="G55" s="864"/>
    </row>
    <row r="56" spans="1:7" x14ac:dyDescent="0.2">
      <c r="A56" s="868" t="s">
        <v>480</v>
      </c>
      <c r="B56" s="868" t="s">
        <v>1554</v>
      </c>
      <c r="C56" s="885" t="str">
        <f>'Expenditures 15-22'!B130</f>
        <v>3000</v>
      </c>
      <c r="D56" s="891" t="s">
        <v>469</v>
      </c>
      <c r="E56" s="867"/>
      <c r="F56" s="1931">
        <f>'Expenditures 15-22'!K130-SUM('Expenditures 15-22'!G130+'Expenditures 15-22'!I130)</f>
        <v>0</v>
      </c>
      <c r="G56" s="864"/>
    </row>
    <row r="57" spans="1:7" x14ac:dyDescent="0.2">
      <c r="A57" s="868" t="s">
        <v>480</v>
      </c>
      <c r="B57" s="868" t="s">
        <v>1989</v>
      </c>
      <c r="C57" s="888">
        <f>'Expenditures 15-22'!B139</f>
        <v>4000</v>
      </c>
      <c r="D57" s="886" t="str">
        <f>'Expenditures 15-22'!A139</f>
        <v>Total Payments to Other Govt Units</v>
      </c>
      <c r="E57" s="867"/>
      <c r="F57" s="1931">
        <f>'Expenditures 15-22'!K139</f>
        <v>0</v>
      </c>
      <c r="G57" s="864"/>
    </row>
    <row r="58" spans="1:7" x14ac:dyDescent="0.2">
      <c r="A58" s="868" t="s">
        <v>480</v>
      </c>
      <c r="B58" s="868" t="s">
        <v>1990</v>
      </c>
      <c r="C58" s="885" t="s">
        <v>1039</v>
      </c>
      <c r="D58" s="884" t="s">
        <v>1157</v>
      </c>
      <c r="E58" s="867"/>
      <c r="F58" s="1933">
        <f>'Expenditures 15-22'!G151</f>
        <v>484891</v>
      </c>
      <c r="G58" s="864"/>
    </row>
    <row r="59" spans="1:7" x14ac:dyDescent="0.2">
      <c r="A59" s="892" t="s">
        <v>480</v>
      </c>
      <c r="B59" s="855" t="s">
        <v>1991</v>
      </c>
      <c r="C59" s="893" t="s">
        <v>1039</v>
      </c>
      <c r="D59" s="855" t="s">
        <v>309</v>
      </c>
      <c r="F59" s="1934">
        <f>'Expenditures 15-22'!I151</f>
        <v>0</v>
      </c>
      <c r="G59" s="864"/>
    </row>
    <row r="60" spans="1:7" x14ac:dyDescent="0.2">
      <c r="A60" s="892" t="s">
        <v>520</v>
      </c>
      <c r="B60" s="855" t="s">
        <v>1992</v>
      </c>
      <c r="C60" s="893">
        <v>4000</v>
      </c>
      <c r="D60" s="855" t="s">
        <v>330</v>
      </c>
      <c r="F60" s="1932">
        <f>'Expenditures 15-22'!K160</f>
        <v>0</v>
      </c>
      <c r="G60" s="864"/>
    </row>
    <row r="61" spans="1:7" x14ac:dyDescent="0.2">
      <c r="A61" s="894" t="s">
        <v>520</v>
      </c>
      <c r="B61" s="894" t="s">
        <v>1993</v>
      </c>
      <c r="C61" s="895" t="str">
        <f>'Expenditures 15-22'!B170</f>
        <v>5300</v>
      </c>
      <c r="D61" s="896" t="s">
        <v>329</v>
      </c>
      <c r="E61" s="878"/>
      <c r="F61" s="1931">
        <f>'Expenditures 15-22'!K170</f>
        <v>478000</v>
      </c>
      <c r="G61" s="864"/>
    </row>
    <row r="62" spans="1:7" x14ac:dyDescent="0.2">
      <c r="A62" s="868" t="s">
        <v>481</v>
      </c>
      <c r="B62" s="868" t="s">
        <v>1994</v>
      </c>
      <c r="C62" s="885">
        <f>'Expenditures 15-22'!B185</f>
        <v>3000</v>
      </c>
      <c r="D62" s="875" t="s">
        <v>469</v>
      </c>
      <c r="E62" s="867"/>
      <c r="F62" s="1931">
        <f>'Expenditures 15-22'!K185-SUM('Expenditures 15-22'!G185,'Expenditures 15-22'!I185)</f>
        <v>0</v>
      </c>
      <c r="G62" s="864"/>
    </row>
    <row r="63" spans="1:7" x14ac:dyDescent="0.2">
      <c r="A63" s="868" t="s">
        <v>481</v>
      </c>
      <c r="B63" s="868" t="s">
        <v>1995</v>
      </c>
      <c r="C63" s="885" t="str">
        <f>'Expenditures 15-22'!B196</f>
        <v>4000</v>
      </c>
      <c r="D63" s="886" t="str">
        <f>'Expenditures 15-22'!A196</f>
        <v>Total Payments to Other Govt Units</v>
      </c>
      <c r="E63" s="867"/>
      <c r="F63" s="1931">
        <f>'Expenditures 15-22'!K196</f>
        <v>0</v>
      </c>
      <c r="G63" s="864"/>
    </row>
    <row r="64" spans="1:7" x14ac:dyDescent="0.2">
      <c r="A64" s="894" t="s">
        <v>481</v>
      </c>
      <c r="B64" s="894" t="s">
        <v>1996</v>
      </c>
      <c r="C64" s="895" t="str">
        <f>'Expenditures 15-22'!B206</f>
        <v>5300</v>
      </c>
      <c r="D64" s="891" t="s">
        <v>329</v>
      </c>
      <c r="E64" s="867"/>
      <c r="F64" s="1931">
        <f>'Expenditures 15-22'!K206</f>
        <v>0</v>
      </c>
      <c r="G64" s="864"/>
    </row>
    <row r="65" spans="1:8" x14ac:dyDescent="0.2">
      <c r="A65" s="868" t="s">
        <v>481</v>
      </c>
      <c r="B65" s="868" t="s">
        <v>1997</v>
      </c>
      <c r="C65" s="885" t="s">
        <v>1039</v>
      </c>
      <c r="D65" s="884" t="s">
        <v>1157</v>
      </c>
      <c r="E65" s="867"/>
      <c r="F65" s="1931">
        <f>'Expenditures 15-22'!G210</f>
        <v>110077</v>
      </c>
      <c r="G65" s="864"/>
    </row>
    <row r="66" spans="1:8" x14ac:dyDescent="0.2">
      <c r="A66" s="868" t="s">
        <v>481</v>
      </c>
      <c r="B66" s="868" t="s">
        <v>1998</v>
      </c>
      <c r="C66" s="885" t="s">
        <v>1039</v>
      </c>
      <c r="D66" s="884" t="s">
        <v>309</v>
      </c>
      <c r="E66" s="867"/>
      <c r="F66" s="1931">
        <f>'Expenditures 15-22'!I210</f>
        <v>0</v>
      </c>
      <c r="G66" s="864"/>
    </row>
    <row r="67" spans="1:8" x14ac:dyDescent="0.2">
      <c r="A67" s="868" t="s">
        <v>482</v>
      </c>
      <c r="B67" s="868" t="s">
        <v>1999</v>
      </c>
      <c r="C67" s="885" t="str">
        <f>'Expenditures 15-22'!B216</f>
        <v>1125</v>
      </c>
      <c r="D67" s="891" t="str">
        <f>'Expenditures 15-22'!A216</f>
        <v>Pre-K Programs</v>
      </c>
      <c r="E67" s="867"/>
      <c r="F67" s="1931">
        <f>'Expenditures 15-22'!K216</f>
        <v>10003</v>
      </c>
      <c r="G67" s="864"/>
    </row>
    <row r="68" spans="1:8" x14ac:dyDescent="0.2">
      <c r="A68" s="868" t="s">
        <v>482</v>
      </c>
      <c r="B68" s="868" t="s">
        <v>1555</v>
      </c>
      <c r="C68" s="885" t="str">
        <f>'Expenditures 15-22'!B218</f>
        <v>1225</v>
      </c>
      <c r="D68" s="891" t="str">
        <f>'Expenditures 15-22'!A218</f>
        <v>Special Education Programs - Pre-K</v>
      </c>
      <c r="E68" s="867"/>
      <c r="F68" s="1931">
        <f>'Expenditures 15-22'!K218</f>
        <v>0</v>
      </c>
      <c r="G68" s="864"/>
    </row>
    <row r="69" spans="1:8" x14ac:dyDescent="0.2">
      <c r="A69" s="868" t="s">
        <v>482</v>
      </c>
      <c r="B69" s="868" t="s">
        <v>2000</v>
      </c>
      <c r="C69" s="885" t="str">
        <f>'Expenditures 15-22'!B220</f>
        <v>1275</v>
      </c>
      <c r="D69" s="891" t="str">
        <f>'Expenditures 15-22'!A220</f>
        <v>Remedial and Supplemental Programs - Pre-K</v>
      </c>
      <c r="E69" s="867"/>
      <c r="F69" s="1931">
        <f>'Expenditures 15-22'!K220</f>
        <v>0</v>
      </c>
      <c r="G69" s="864"/>
    </row>
    <row r="70" spans="1:8" x14ac:dyDescent="0.2">
      <c r="A70" s="868" t="s">
        <v>482</v>
      </c>
      <c r="B70" s="868" t="s">
        <v>2001</v>
      </c>
      <c r="C70" s="885">
        <f>'Expenditures 15-22'!B221</f>
        <v>1300</v>
      </c>
      <c r="D70" s="886" t="str">
        <f>'Expenditures 15-22'!A221</f>
        <v>Adult/Continuing Education Programs</v>
      </c>
      <c r="E70" s="867"/>
      <c r="F70" s="1931">
        <f>'Expenditures 15-22'!K221</f>
        <v>0</v>
      </c>
      <c r="G70" s="864"/>
    </row>
    <row r="71" spans="1:8" x14ac:dyDescent="0.2">
      <c r="A71" s="868" t="s">
        <v>482</v>
      </c>
      <c r="B71" s="868" t="s">
        <v>2002</v>
      </c>
      <c r="C71" s="885">
        <f>'Expenditures 15-22'!B224</f>
        <v>1600</v>
      </c>
      <c r="D71" s="886" t="str">
        <f>'Expenditures 15-22'!A224</f>
        <v>Summer School Programs</v>
      </c>
      <c r="E71" s="867"/>
      <c r="F71" s="1931">
        <f>'Expenditures 15-22'!K224</f>
        <v>186</v>
      </c>
      <c r="G71" s="864"/>
    </row>
    <row r="72" spans="1:8" x14ac:dyDescent="0.2">
      <c r="A72" s="868" t="s">
        <v>482</v>
      </c>
      <c r="B72" s="868" t="s">
        <v>2003</v>
      </c>
      <c r="C72" s="885">
        <f>'Expenditures 15-22'!B280</f>
        <v>3000</v>
      </c>
      <c r="D72" s="875" t="s">
        <v>469</v>
      </c>
      <c r="E72" s="867"/>
      <c r="F72" s="1931">
        <f>'Expenditures 15-22'!K280</f>
        <v>6305</v>
      </c>
      <c r="G72" s="864"/>
    </row>
    <row r="73" spans="1:8" x14ac:dyDescent="0.2">
      <c r="A73" s="868" t="s">
        <v>482</v>
      </c>
      <c r="B73" s="868" t="s">
        <v>2004</v>
      </c>
      <c r="C73" s="885" t="str">
        <f>'Expenditures 15-22'!B285</f>
        <v>4000</v>
      </c>
      <c r="D73" s="886" t="str">
        <f>'Expenditures 15-22'!A285</f>
        <v>Total Payments to Other Govt Units</v>
      </c>
      <c r="E73" s="867"/>
      <c r="F73" s="1931">
        <f>'Expenditures 15-22'!K285</f>
        <v>53936</v>
      </c>
      <c r="G73" s="864"/>
    </row>
    <row r="74" spans="1:8" x14ac:dyDescent="0.2">
      <c r="A74" s="868" t="s">
        <v>456</v>
      </c>
      <c r="B74" s="868" t="s">
        <v>2005</v>
      </c>
      <c r="C74" s="885" t="s">
        <v>915</v>
      </c>
      <c r="D74" s="886" t="s">
        <v>1567</v>
      </c>
      <c r="E74" s="867"/>
      <c r="F74" s="1935">
        <f>'Expenditures 15-22'!K334</f>
        <v>23533</v>
      </c>
      <c r="G74" s="864"/>
    </row>
    <row r="75" spans="1:8" ht="5.25" customHeight="1" x14ac:dyDescent="0.2">
      <c r="A75" s="864"/>
      <c r="B75" s="874"/>
      <c r="C75" s="874"/>
      <c r="D75" s="864"/>
      <c r="E75" s="867"/>
      <c r="F75" s="881"/>
      <c r="G75" s="866"/>
    </row>
    <row r="76" spans="1:8" ht="12" thickBot="1" x14ac:dyDescent="0.25">
      <c r="A76" s="1787"/>
      <c r="B76" s="1793"/>
      <c r="C76" s="1789"/>
      <c r="D76" s="1794" t="s">
        <v>2006</v>
      </c>
      <c r="E76" s="1791" t="s">
        <v>1015</v>
      </c>
      <c r="F76" s="1795">
        <f>SUM(F18:F74)</f>
        <v>3856030</v>
      </c>
      <c r="G76" s="864"/>
    </row>
    <row r="77" spans="1:8" s="892" customFormat="1" ht="12" customHeight="1" thickTop="1" thickBot="1" x14ac:dyDescent="0.25">
      <c r="A77" s="1796"/>
      <c r="B77" s="1793"/>
      <c r="C77" s="1789"/>
      <c r="D77" s="1794" t="s">
        <v>2007</v>
      </c>
      <c r="E77" s="1791"/>
      <c r="F77" s="1797">
        <f>(F14-F76)</f>
        <v>15384461</v>
      </c>
      <c r="G77" s="868"/>
    </row>
    <row r="78" spans="1:8" s="892" customFormat="1" ht="12" customHeight="1" thickTop="1" x14ac:dyDescent="0.2">
      <c r="A78" s="1798"/>
      <c r="B78" s="1793"/>
      <c r="C78" s="1789"/>
      <c r="D78" s="1794" t="s">
        <v>2054</v>
      </c>
      <c r="E78" s="1791"/>
      <c r="F78" s="897">
        <v>1712.72</v>
      </c>
      <c r="G78" s="898"/>
      <c r="H78" s="868"/>
    </row>
    <row r="79" spans="1:8" s="892" customFormat="1" ht="12" customHeight="1" thickBot="1" x14ac:dyDescent="0.25">
      <c r="A79" s="1799"/>
      <c r="B79" s="1793"/>
      <c r="C79" s="1789"/>
      <c r="D79" s="1794" t="s">
        <v>2008</v>
      </c>
      <c r="E79" s="1791" t="s">
        <v>1015</v>
      </c>
      <c r="F79" s="1800">
        <f>IF(F78&gt;0,F77/F78," Complete Line 78")</f>
        <v>8982.4729085898452</v>
      </c>
      <c r="G79" s="868"/>
    </row>
    <row r="80" spans="1:8" s="892" customFormat="1" ht="8.25" customHeight="1" thickTop="1" x14ac:dyDescent="0.2">
      <c r="A80" s="899"/>
      <c r="B80" s="868"/>
      <c r="C80" s="870"/>
      <c r="D80" s="900"/>
      <c r="E80" s="867"/>
      <c r="F80" s="901"/>
      <c r="G80" s="868"/>
    </row>
    <row r="81" spans="1:7" s="892" customFormat="1" ht="12" thickBot="1" x14ac:dyDescent="0.25">
      <c r="A81" s="2379" t="s">
        <v>1167</v>
      </c>
      <c r="B81" s="2380"/>
      <c r="C81" s="2380"/>
      <c r="D81" s="2380"/>
      <c r="E81" s="2380"/>
      <c r="F81" s="2381"/>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5">
        <f>'Revenues 9-14'!F42</f>
        <v>7119</v>
      </c>
      <c r="G84" s="911"/>
    </row>
    <row r="85" spans="1:7" x14ac:dyDescent="0.2">
      <c r="A85" s="907" t="s">
        <v>481</v>
      </c>
      <c r="B85" s="907" t="s">
        <v>192</v>
      </c>
      <c r="C85" s="912">
        <f>'Revenues 9-14'!B44</f>
        <v>1413</v>
      </c>
      <c r="D85" s="910" t="str">
        <f>'Revenues 9-14'!A44</f>
        <v>Regular - Transp Fees from Other Sources (In State)</v>
      </c>
      <c r="E85" s="905"/>
      <c r="F85" s="1806">
        <f>'Revenues 9-14'!F44</f>
        <v>29747</v>
      </c>
      <c r="G85" s="913"/>
    </row>
    <row r="86" spans="1:7" x14ac:dyDescent="0.2">
      <c r="A86" s="907" t="s">
        <v>481</v>
      </c>
      <c r="B86" s="907" t="s">
        <v>168</v>
      </c>
      <c r="C86" s="909">
        <f>'Revenues 9-14'!B45</f>
        <v>1415</v>
      </c>
      <c r="D86" s="910" t="str">
        <f>'Revenues 9-14'!A45</f>
        <v>Regular - Transp Fees from Co-curricular Activities (In State)</v>
      </c>
      <c r="E86" s="905"/>
      <c r="F86" s="1806">
        <f>'Revenues 9-14'!F45</f>
        <v>0</v>
      </c>
      <c r="G86" s="913"/>
    </row>
    <row r="87" spans="1:7" x14ac:dyDescent="0.2">
      <c r="A87" s="907" t="s">
        <v>481</v>
      </c>
      <c r="B87" s="907" t="s">
        <v>169</v>
      </c>
      <c r="C87" s="909">
        <v>1416</v>
      </c>
      <c r="D87" s="910" t="str">
        <f>'Revenues 9-14'!A46</f>
        <v>Regular Transp Fees from Other Sources (Out of State)</v>
      </c>
      <c r="E87" s="905"/>
      <c r="F87" s="1806">
        <f>'Revenues 9-14'!F46</f>
        <v>0</v>
      </c>
      <c r="G87" s="913"/>
    </row>
    <row r="88" spans="1:7" x14ac:dyDescent="0.2">
      <c r="A88" s="907" t="s">
        <v>481</v>
      </c>
      <c r="B88" s="907" t="s">
        <v>170</v>
      </c>
      <c r="C88" s="909">
        <f>'Revenues 9-14'!B51</f>
        <v>1431</v>
      </c>
      <c r="D88" s="910" t="str">
        <f>'Revenues 9-14'!A51</f>
        <v>CTE - Transp Fees from Pupils or Parents (In State)</v>
      </c>
      <c r="E88" s="905"/>
      <c r="F88" s="1806">
        <f>'Revenues 9-14'!F51</f>
        <v>0</v>
      </c>
      <c r="G88" s="913"/>
    </row>
    <row r="89" spans="1:7" x14ac:dyDescent="0.2">
      <c r="A89" s="907" t="s">
        <v>481</v>
      </c>
      <c r="B89" s="907" t="s">
        <v>171</v>
      </c>
      <c r="C89" s="909">
        <f>'Revenues 9-14'!B53</f>
        <v>1433</v>
      </c>
      <c r="D89" s="910" t="str">
        <f>'Revenues 9-14'!A53</f>
        <v>CTE - Transp Fees from Other Sources (In State)</v>
      </c>
      <c r="E89" s="905"/>
      <c r="F89" s="1806">
        <f>'Revenues 9-14'!F53</f>
        <v>0</v>
      </c>
      <c r="G89" s="913"/>
    </row>
    <row r="90" spans="1:7" x14ac:dyDescent="0.2">
      <c r="A90" s="907" t="s">
        <v>481</v>
      </c>
      <c r="B90" s="907" t="s">
        <v>172</v>
      </c>
      <c r="C90" s="909">
        <f>'Revenues 9-14'!B54</f>
        <v>1434</v>
      </c>
      <c r="D90" s="910" t="str">
        <f>'Revenues 9-14'!A54</f>
        <v>CTE - Transp Fees from Other Sources (Out of State)</v>
      </c>
      <c r="E90" s="905"/>
      <c r="F90" s="1806">
        <f>'Revenues 9-14'!F54</f>
        <v>0</v>
      </c>
      <c r="G90" s="913"/>
    </row>
    <row r="91" spans="1:7" x14ac:dyDescent="0.2">
      <c r="A91" s="907" t="s">
        <v>481</v>
      </c>
      <c r="B91" s="907" t="s">
        <v>173</v>
      </c>
      <c r="C91" s="914">
        <f>'Revenues 9-14'!B55</f>
        <v>1441</v>
      </c>
      <c r="D91" s="910" t="str">
        <f>'Revenues 9-14'!A55</f>
        <v>Special Ed - Transp Fees from Pupils or Parents (In State)</v>
      </c>
      <c r="E91" s="905"/>
      <c r="F91" s="1806">
        <f>'Revenues 9-14'!F55</f>
        <v>0</v>
      </c>
      <c r="G91" s="913"/>
    </row>
    <row r="92" spans="1:7" x14ac:dyDescent="0.2">
      <c r="A92" s="907" t="s">
        <v>481</v>
      </c>
      <c r="B92" s="907" t="s">
        <v>174</v>
      </c>
      <c r="C92" s="909">
        <f>'Revenues 9-14'!B57</f>
        <v>1443</v>
      </c>
      <c r="D92" s="910" t="str">
        <f>'Revenues 9-14'!A57</f>
        <v>Special Ed - Transp Fees from Other Sources (In State)</v>
      </c>
      <c r="E92" s="905"/>
      <c r="F92" s="1806">
        <f>'Revenues 9-14'!F57</f>
        <v>0</v>
      </c>
      <c r="G92" s="915"/>
    </row>
    <row r="93" spans="1:7" x14ac:dyDescent="0.2">
      <c r="A93" s="907" t="s">
        <v>481</v>
      </c>
      <c r="B93" s="907" t="s">
        <v>175</v>
      </c>
      <c r="C93" s="909">
        <f>'Revenues 9-14'!B58</f>
        <v>1444</v>
      </c>
      <c r="D93" s="910" t="str">
        <f>'Revenues 9-14'!A58</f>
        <v>Special Ed - Transp Fees from Other Sources (Out of State)</v>
      </c>
      <c r="E93" s="905"/>
      <c r="F93" s="1806">
        <f>'Revenues 9-14'!F58</f>
        <v>0</v>
      </c>
      <c r="G93" s="915"/>
    </row>
    <row r="94" spans="1:7" x14ac:dyDescent="0.2">
      <c r="A94" s="907" t="s">
        <v>479</v>
      </c>
      <c r="B94" s="907" t="s">
        <v>176</v>
      </c>
      <c r="C94" s="909">
        <v>1600</v>
      </c>
      <c r="D94" s="916" t="str">
        <f>'Revenues 9-14'!A75</f>
        <v>Total Food Service</v>
      </c>
      <c r="E94" s="905"/>
      <c r="F94" s="1806">
        <f>'Revenues 9-14'!C75</f>
        <v>225590</v>
      </c>
      <c r="G94" s="911"/>
    </row>
    <row r="95" spans="1:7" x14ac:dyDescent="0.2">
      <c r="A95" s="907" t="s">
        <v>142</v>
      </c>
      <c r="B95" s="907" t="s">
        <v>177</v>
      </c>
      <c r="C95" s="909">
        <v>1700</v>
      </c>
      <c r="D95" s="917" t="str">
        <f>'Revenues 9-14'!A82</f>
        <v>Total District/School Activity Income</v>
      </c>
      <c r="E95" s="905"/>
      <c r="F95" s="1806">
        <f>SUM('Revenues 9-14'!C82,'Revenues 9-14'!D82)</f>
        <v>53887</v>
      </c>
      <c r="G95" s="911"/>
    </row>
    <row r="96" spans="1:7" x14ac:dyDescent="0.2">
      <c r="A96" s="907" t="s">
        <v>479</v>
      </c>
      <c r="B96" s="907" t="s">
        <v>178</v>
      </c>
      <c r="C96" s="909">
        <f>'Revenues 9-14'!B84</f>
        <v>1811</v>
      </c>
      <c r="D96" s="910" t="str">
        <f>'Revenues 9-14'!A84</f>
        <v>Rentals - Regular Textbooks</v>
      </c>
      <c r="E96" s="905"/>
      <c r="F96" s="1806">
        <f>'Revenues 9-14'!C84</f>
        <v>13806</v>
      </c>
      <c r="G96" s="911"/>
    </row>
    <row r="97" spans="1:7" x14ac:dyDescent="0.2">
      <c r="A97" s="907" t="s">
        <v>479</v>
      </c>
      <c r="B97" s="907" t="s">
        <v>179</v>
      </c>
      <c r="C97" s="909">
        <f>'Revenues 9-14'!B87</f>
        <v>1819</v>
      </c>
      <c r="D97" s="910" t="str">
        <f>'Revenues 9-14'!A87</f>
        <v>Rentals - Other (Describe &amp; Itemize)</v>
      </c>
      <c r="E97" s="905"/>
      <c r="F97" s="1806">
        <f>'Revenues 9-14'!C87</f>
        <v>0</v>
      </c>
      <c r="G97" s="911"/>
    </row>
    <row r="98" spans="1:7" x14ac:dyDescent="0.2">
      <c r="A98" s="907" t="s">
        <v>479</v>
      </c>
      <c r="B98" s="907" t="s">
        <v>180</v>
      </c>
      <c r="C98" s="909">
        <f>'Revenues 9-14'!B88</f>
        <v>1821</v>
      </c>
      <c r="D98" s="910" t="str">
        <f>'Revenues 9-14'!A88</f>
        <v>Sales - Regular Textbooks</v>
      </c>
      <c r="E98" s="905"/>
      <c r="F98" s="1806">
        <f>'Revenues 9-14'!C88</f>
        <v>0</v>
      </c>
      <c r="G98" s="911"/>
    </row>
    <row r="99" spans="1:7" x14ac:dyDescent="0.2">
      <c r="A99" s="907" t="s">
        <v>479</v>
      </c>
      <c r="B99" s="907" t="s">
        <v>181</v>
      </c>
      <c r="C99" s="909">
        <f>'Revenues 9-14'!B91</f>
        <v>1829</v>
      </c>
      <c r="D99" s="910" t="str">
        <f>'Revenues 9-14'!A91</f>
        <v>Sales - Other (Describe &amp; Itemize)</v>
      </c>
      <c r="E99" s="905"/>
      <c r="F99" s="1806">
        <f>'Revenues 9-14'!C91</f>
        <v>0</v>
      </c>
      <c r="G99" s="911"/>
    </row>
    <row r="100" spans="1:7" x14ac:dyDescent="0.2">
      <c r="A100" s="907" t="s">
        <v>479</v>
      </c>
      <c r="B100" s="907" t="s">
        <v>182</v>
      </c>
      <c r="C100" s="909">
        <f>'Revenues 9-14'!B92</f>
        <v>1890</v>
      </c>
      <c r="D100" s="910" t="str">
        <f>'Revenues 9-14'!A92</f>
        <v>Other (Describe &amp; Itemize)</v>
      </c>
      <c r="E100" s="905"/>
      <c r="F100" s="1806">
        <f>'Revenues 9-14'!C92</f>
        <v>0</v>
      </c>
      <c r="G100" s="911"/>
    </row>
    <row r="101" spans="1:7" x14ac:dyDescent="0.2">
      <c r="A101" s="907" t="s">
        <v>142</v>
      </c>
      <c r="B101" s="907" t="s">
        <v>183</v>
      </c>
      <c r="C101" s="909">
        <f>'Revenues 9-14'!B95</f>
        <v>1910</v>
      </c>
      <c r="D101" s="910" t="str">
        <f>'Revenues 9-14'!A95</f>
        <v>Rentals</v>
      </c>
      <c r="E101" s="905"/>
      <c r="F101" s="1806">
        <f>SUM('Revenues 9-14'!C95:D95)</f>
        <v>18717</v>
      </c>
      <c r="G101" s="911"/>
    </row>
    <row r="102" spans="1:7" x14ac:dyDescent="0.2">
      <c r="A102" s="907" t="s">
        <v>524</v>
      </c>
      <c r="B102" s="907" t="s">
        <v>184</v>
      </c>
      <c r="C102" s="909">
        <f>'Revenues 9-14'!B98</f>
        <v>1940</v>
      </c>
      <c r="D102" s="910" t="str">
        <f>'Revenues 9-14'!A98</f>
        <v>Services Provided Other Districts</v>
      </c>
      <c r="E102" s="905"/>
      <c r="F102" s="1806">
        <f>SUM('Revenues 9-14'!C98,'Revenues 9-14'!D98,'Revenues 9-14'!F98)</f>
        <v>501412</v>
      </c>
      <c r="G102" s="911"/>
    </row>
    <row r="103" spans="1:7" x14ac:dyDescent="0.2">
      <c r="A103" s="907" t="s">
        <v>1066</v>
      </c>
      <c r="B103" s="907" t="s">
        <v>834</v>
      </c>
      <c r="C103" s="909">
        <f>'Revenues 9-14'!B104</f>
        <v>1991</v>
      </c>
      <c r="D103" s="918" t="str">
        <f>'Revenues 9-14'!A104</f>
        <v>Payment from Other Districts</v>
      </c>
      <c r="E103" s="905"/>
      <c r="F103" s="1806">
        <f>SUM('Revenues 9-14'!C104,'Revenues 9-14'!D104,'Revenues 9-14'!E104,'Revenues 9-14'!F104,'Revenues 9-14'!G104)</f>
        <v>185</v>
      </c>
      <c r="G103" s="911"/>
    </row>
    <row r="104" spans="1:7" x14ac:dyDescent="0.2">
      <c r="A104" s="907" t="s">
        <v>479</v>
      </c>
      <c r="B104" s="907" t="s">
        <v>841</v>
      </c>
      <c r="C104" s="909">
        <f>'Revenues 9-14'!B106</f>
        <v>1993</v>
      </c>
      <c r="D104" s="910" t="str">
        <f>'Revenues 9-14'!A106</f>
        <v>Other Local Fees (Describe &amp; Itemize)</v>
      </c>
      <c r="E104" s="905"/>
      <c r="F104" s="1806">
        <f>('Revenues 9-14'!C106)</f>
        <v>0</v>
      </c>
      <c r="G104" s="911"/>
    </row>
    <row r="105" spans="1:7" x14ac:dyDescent="0.2">
      <c r="A105" s="907" t="s">
        <v>524</v>
      </c>
      <c r="B105" s="907" t="s">
        <v>842</v>
      </c>
      <c r="C105" s="912">
        <v>3100</v>
      </c>
      <c r="D105" s="918" t="str">
        <f>'Revenues 9-14'!A131</f>
        <v>Total Special Education</v>
      </c>
      <c r="E105" s="905"/>
      <c r="F105" s="1806">
        <f>SUM('Revenues 9-14'!C131:D131,'Revenues 9-14'!F131)</f>
        <v>307636</v>
      </c>
      <c r="G105" s="911"/>
    </row>
    <row r="106" spans="1:7" x14ac:dyDescent="0.2">
      <c r="A106" s="907" t="s">
        <v>694</v>
      </c>
      <c r="B106" s="907" t="s">
        <v>1483</v>
      </c>
      <c r="C106" s="919">
        <v>3200</v>
      </c>
      <c r="D106" s="910" t="str">
        <f>'Revenues 9-14'!A140</f>
        <v>Total Career and Technical Education</v>
      </c>
      <c r="E106" s="905"/>
      <c r="F106" s="1806">
        <f>SUM('Revenues 9-14'!C140,'Revenues 9-14'!D140,'Revenues 9-14'!G140)</f>
        <v>71712</v>
      </c>
      <c r="G106" s="911"/>
    </row>
    <row r="107" spans="1:7" x14ac:dyDescent="0.2">
      <c r="A107" s="920" t="s">
        <v>685</v>
      </c>
      <c r="B107" s="907" t="s">
        <v>843</v>
      </c>
      <c r="C107" s="919">
        <v>3300</v>
      </c>
      <c r="D107" s="910" t="str">
        <f>'Revenues 9-14'!A144</f>
        <v>Total Bilingual Ed</v>
      </c>
      <c r="E107" s="905"/>
      <c r="F107" s="1806">
        <f>SUM('Revenues 9-14'!C144,'Revenues 9-14'!G144)</f>
        <v>62278</v>
      </c>
      <c r="G107" s="911"/>
    </row>
    <row r="108" spans="1:7" x14ac:dyDescent="0.2">
      <c r="A108" s="907" t="s">
        <v>479</v>
      </c>
      <c r="B108" s="907" t="s">
        <v>844</v>
      </c>
      <c r="C108" s="919">
        <f>'Revenues 9-14'!B145</f>
        <v>3360</v>
      </c>
      <c r="D108" s="910" t="str">
        <f>'Revenues 9-14'!A145</f>
        <v>State Free Lunch &amp; Breakfast</v>
      </c>
      <c r="E108" s="905"/>
      <c r="F108" s="1806">
        <f>'Revenues 9-14'!C145</f>
        <v>14528</v>
      </c>
      <c r="G108" s="911"/>
    </row>
    <row r="109" spans="1:7" x14ac:dyDescent="0.2">
      <c r="A109" s="907" t="s">
        <v>694</v>
      </c>
      <c r="B109" s="907" t="s">
        <v>845</v>
      </c>
      <c r="C109" s="919">
        <f>'Revenues 9-14'!B146</f>
        <v>3365</v>
      </c>
      <c r="D109" s="910" t="str">
        <f>'Revenues 9-14'!A146</f>
        <v>School Breakfast Initiative</v>
      </c>
      <c r="E109" s="905"/>
      <c r="F109" s="1806">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6">
        <f>SUM('Revenues 9-14'!C147,'Revenues 9-14'!D147)</f>
        <v>29051</v>
      </c>
      <c r="G110" s="911"/>
    </row>
    <row r="111" spans="1:7" x14ac:dyDescent="0.2">
      <c r="A111" s="907" t="s">
        <v>689</v>
      </c>
      <c r="B111" s="907" t="s">
        <v>802</v>
      </c>
      <c r="C111" s="921">
        <v>3500</v>
      </c>
      <c r="D111" s="910" t="str">
        <f>'Revenues 9-14'!A154</f>
        <v>Total Transportation</v>
      </c>
      <c r="E111" s="905"/>
      <c r="F111" s="1806">
        <f>SUM('Revenues 9-14'!C154,'Revenues 9-14'!D154,'Revenues 9-14'!F154,'Revenues 9-14'!G154)</f>
        <v>798334</v>
      </c>
      <c r="G111" s="911"/>
    </row>
    <row r="112" spans="1:7" x14ac:dyDescent="0.2">
      <c r="A112" s="907" t="s">
        <v>479</v>
      </c>
      <c r="B112" s="907" t="s">
        <v>847</v>
      </c>
      <c r="C112" s="919">
        <f>'Revenues 9-14'!B155</f>
        <v>3610</v>
      </c>
      <c r="D112" s="910" t="str">
        <f>'Revenues 9-14'!A155</f>
        <v>Learning Improvement - Change Grants</v>
      </c>
      <c r="E112" s="905"/>
      <c r="F112" s="1806">
        <f>'Revenues 9-14'!C155</f>
        <v>0</v>
      </c>
      <c r="G112" s="911"/>
    </row>
    <row r="113" spans="1:7" x14ac:dyDescent="0.2">
      <c r="A113" s="907" t="s">
        <v>689</v>
      </c>
      <c r="B113" s="907" t="s">
        <v>848</v>
      </c>
      <c r="C113" s="919">
        <f>'Revenues 9-14'!B156</f>
        <v>3660</v>
      </c>
      <c r="D113" s="910" t="str">
        <f>'Revenues 9-14'!A156</f>
        <v>Scientific Literacy</v>
      </c>
      <c r="E113" s="905"/>
      <c r="F113" s="1806">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6">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6">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6">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6">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4">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6">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6">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5">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5">
        <f>SUM('Revenues 9-14'!C166:G166)</f>
        <v>0</v>
      </c>
      <c r="G122" s="911"/>
    </row>
    <row r="123" spans="1:7" x14ac:dyDescent="0.2">
      <c r="A123" s="922" t="s">
        <v>525</v>
      </c>
      <c r="B123" s="922" t="s">
        <v>853</v>
      </c>
      <c r="C123" s="923">
        <f>'Revenues 9-14'!B167</f>
        <v>3815</v>
      </c>
      <c r="D123" s="924" t="str">
        <f>'Revenues 9-14'!A167</f>
        <v>State Charter Schools</v>
      </c>
      <c r="E123" s="905"/>
      <c r="F123" s="1925">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6">
        <f>'Revenues 9-14'!D170</f>
        <v>0</v>
      </c>
      <c r="G124" s="929"/>
    </row>
    <row r="125" spans="1:7" x14ac:dyDescent="0.2">
      <c r="A125" s="926" t="s">
        <v>521</v>
      </c>
      <c r="B125" s="926" t="s">
        <v>855</v>
      </c>
      <c r="C125" s="927">
        <f>'Revenues 9-14'!B171</f>
        <v>3999</v>
      </c>
      <c r="D125" s="928" t="s">
        <v>564</v>
      </c>
      <c r="E125" s="930"/>
      <c r="F125" s="1806">
        <f>SUM('Revenues 9-14'!C171:G171,'Revenues 9-14'!J171)</f>
        <v>60961</v>
      </c>
      <c r="G125" s="929"/>
    </row>
    <row r="126" spans="1:7" x14ac:dyDescent="0.2">
      <c r="A126" s="926" t="s">
        <v>479</v>
      </c>
      <c r="B126" s="926" t="s">
        <v>856</v>
      </c>
      <c r="C126" s="931">
        <f>'Revenues 9-14'!B180</f>
        <v>4045</v>
      </c>
      <c r="D126" s="928" t="str">
        <f>'Revenues 9-14'!A180 &amp; " (Subtract)"</f>
        <v>Head Start (Subtract)</v>
      </c>
      <c r="E126" s="905"/>
      <c r="F126" s="1806">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6">
        <f>SUM('Revenues 9-14'!C184,'Revenues 9-14'!D184,'Revenues 9-14'!F184,'Revenues 9-14'!G184)</f>
        <v>0</v>
      </c>
      <c r="G127" s="929"/>
    </row>
    <row r="128" spans="1:7" x14ac:dyDescent="0.2">
      <c r="A128" s="926" t="s">
        <v>689</v>
      </c>
      <c r="B128" s="926" t="s">
        <v>858</v>
      </c>
      <c r="C128" s="931">
        <v>4100</v>
      </c>
      <c r="D128" s="932" t="str">
        <f>'Revenues 9-14'!A191</f>
        <v>Total Title V</v>
      </c>
      <c r="E128" s="905"/>
      <c r="F128" s="1806">
        <f>SUM('Revenues 9-14'!C191,'Revenues 9-14'!D191,'Revenues 9-14'!F191,'Revenues 9-14'!G191)</f>
        <v>31060</v>
      </c>
      <c r="G128" s="929"/>
    </row>
    <row r="129" spans="1:7" x14ac:dyDescent="0.2">
      <c r="A129" s="926" t="s">
        <v>685</v>
      </c>
      <c r="B129" s="926" t="s">
        <v>803</v>
      </c>
      <c r="C129" s="931">
        <v>4200</v>
      </c>
      <c r="D129" s="928" t="str">
        <f>'Revenues 9-14'!A201</f>
        <v>Total Food Service</v>
      </c>
      <c r="E129" s="905"/>
      <c r="F129" s="1806">
        <f>SUM('Revenues 9-14'!C201,'Revenues 9-14'!G201)</f>
        <v>1041235</v>
      </c>
      <c r="G129" s="929"/>
    </row>
    <row r="130" spans="1:7" x14ac:dyDescent="0.2">
      <c r="A130" s="926" t="s">
        <v>689</v>
      </c>
      <c r="B130" s="926" t="s">
        <v>804</v>
      </c>
      <c r="C130" s="931">
        <v>4300</v>
      </c>
      <c r="D130" s="932" t="str">
        <f>'Revenues 9-14'!A211</f>
        <v>Total Title I</v>
      </c>
      <c r="E130" s="905"/>
      <c r="F130" s="1806">
        <f>SUM('Revenues 9-14'!C211,'Revenues 9-14'!D211,'Revenues 9-14'!F211,'Revenues 9-14'!G211)</f>
        <v>534627</v>
      </c>
      <c r="G130" s="929"/>
    </row>
    <row r="131" spans="1:7" x14ac:dyDescent="0.2">
      <c r="A131" s="926" t="s">
        <v>689</v>
      </c>
      <c r="B131" s="926" t="s">
        <v>805</v>
      </c>
      <c r="C131" s="931">
        <v>4400</v>
      </c>
      <c r="D131" s="932" t="str">
        <f>'Revenues 9-14'!A216</f>
        <v>Total Title IV</v>
      </c>
      <c r="E131" s="905"/>
      <c r="F131" s="1806">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6">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6">
        <f>SUM('Revenues 9-14'!C221,'Revenues 9-14'!D221,'Revenues 9-14'!F221,'Revenues 9-14'!G221)</f>
        <v>452227</v>
      </c>
      <c r="G133" s="929"/>
    </row>
    <row r="134" spans="1:7" x14ac:dyDescent="0.2">
      <c r="A134" s="926" t="s">
        <v>689</v>
      </c>
      <c r="B134" s="926" t="s">
        <v>859</v>
      </c>
      <c r="C134" s="931">
        <f>'Revenues 9-14'!B222</f>
        <v>4630</v>
      </c>
      <c r="D134" s="932" t="str">
        <f>'Revenues 9-14'!A222</f>
        <v>Fed - Spec Education - IDEA - Discretionary</v>
      </c>
      <c r="E134" s="905"/>
      <c r="F134" s="1806">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6">
        <f>SUM('Revenues 9-14'!C223:D223,'Revenues 9-14'!F223:G223)</f>
        <v>0</v>
      </c>
      <c r="G135" s="929"/>
    </row>
    <row r="136" spans="1:7" x14ac:dyDescent="0.2">
      <c r="A136" s="926" t="s">
        <v>694</v>
      </c>
      <c r="B136" s="926" t="s">
        <v>807</v>
      </c>
      <c r="C136" s="931">
        <v>4700</v>
      </c>
      <c r="D136" s="928" t="str">
        <f>'Revenues 9-14'!A228</f>
        <v>Total CTE - Perkins</v>
      </c>
      <c r="E136" s="905"/>
      <c r="F136" s="1806">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5">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6">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6">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6">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6">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6">
        <v>0</v>
      </c>
      <c r="G142" s="904"/>
    </row>
    <row r="143" spans="1:7" s="866" customFormat="1" hidden="1" x14ac:dyDescent="0.2">
      <c r="A143" s="933" t="s">
        <v>215</v>
      </c>
      <c r="B143" s="933" t="s">
        <v>228</v>
      </c>
      <c r="C143" s="934" t="s">
        <v>225</v>
      </c>
      <c r="D143" s="935" t="str">
        <f>'Revenues 9-14'!A237</f>
        <v>ARRA - IDEA - Part B - Flow-Through</v>
      </c>
      <c r="E143" s="936"/>
      <c r="F143" s="1806">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6">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6">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6">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6">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6">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6">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6">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6">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6">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6">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6">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6">
        <v>0</v>
      </c>
      <c r="G155" s="904"/>
    </row>
    <row r="156" spans="1:7" s="866" customFormat="1" hidden="1" x14ac:dyDescent="0.2">
      <c r="A156" s="933" t="s">
        <v>215</v>
      </c>
      <c r="B156" s="933" t="s">
        <v>250</v>
      </c>
      <c r="C156" s="934" t="s">
        <v>247</v>
      </c>
      <c r="D156" s="935" t="str">
        <f>'Revenues 9-14'!A254</f>
        <v>Other ARRA Funds VII</v>
      </c>
      <c r="E156" s="936"/>
      <c r="F156" s="1806">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6">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6">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6">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6">
        <f>SUM('Revenues 9-14'!C258:G258,'Revenues 9-14'!J258)</f>
        <v>0</v>
      </c>
      <c r="G160" s="904"/>
    </row>
    <row r="161" spans="1:7" s="866" customFormat="1" x14ac:dyDescent="0.2">
      <c r="A161" s="937" t="s">
        <v>521</v>
      </c>
      <c r="B161" s="938" t="s">
        <v>1564</v>
      </c>
      <c r="C161" s="939" t="s">
        <v>896</v>
      </c>
      <c r="D161" s="940" t="s">
        <v>808</v>
      </c>
      <c r="E161" s="941"/>
      <c r="F161" s="1806">
        <f>SUM(F137:F160)</f>
        <v>0</v>
      </c>
      <c r="G161" s="904"/>
    </row>
    <row r="162" spans="1:7" s="866" customFormat="1" x14ac:dyDescent="0.2">
      <c r="A162" s="937" t="s">
        <v>479</v>
      </c>
      <c r="B162" s="938" t="s">
        <v>1501</v>
      </c>
      <c r="C162" s="939" t="s">
        <v>1499</v>
      </c>
      <c r="D162" s="940" t="s">
        <v>1500</v>
      </c>
      <c r="E162" s="941"/>
      <c r="F162" s="1806">
        <f>SUM('Revenues 9-14'!C260)</f>
        <v>0</v>
      </c>
      <c r="G162" s="904"/>
    </row>
    <row r="163" spans="1:7" s="866" customFormat="1" x14ac:dyDescent="0.2">
      <c r="A163" s="937" t="s">
        <v>521</v>
      </c>
      <c r="B163" s="938" t="s">
        <v>1541</v>
      </c>
      <c r="C163" s="939" t="s">
        <v>1542</v>
      </c>
      <c r="D163" s="940" t="s">
        <v>1543</v>
      </c>
      <c r="E163" s="941"/>
      <c r="F163" s="1806">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6">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6">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6">
        <f>SUM('Revenues 9-14'!C264,'Revenues 9-14'!F264,'Revenues 9-14'!G264)</f>
        <v>15595</v>
      </c>
      <c r="G166" s="942"/>
    </row>
    <row r="167" spans="1:7" x14ac:dyDescent="0.2">
      <c r="A167" s="926" t="s">
        <v>5</v>
      </c>
      <c r="B167" s="926" t="s">
        <v>1557</v>
      </c>
      <c r="C167" s="931">
        <f>'Revenues 9-14'!B265</f>
        <v>4910</v>
      </c>
      <c r="D167" s="928" t="str">
        <f>'Revenues 9-14'!A265</f>
        <v>Learn &amp; Serve America</v>
      </c>
      <c r="E167" s="905"/>
      <c r="F167" s="1806">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6">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5">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5">
        <f>SUM('Revenues 9-14'!C268,'Revenues 9-14'!D268,'Revenues 9-14'!F268,'Revenues 9-14'!G268)</f>
        <v>82117</v>
      </c>
      <c r="G170" s="929"/>
    </row>
    <row r="171" spans="1:7" x14ac:dyDescent="0.2">
      <c r="A171" s="926" t="s">
        <v>689</v>
      </c>
      <c r="B171" s="926" t="s">
        <v>864</v>
      </c>
      <c r="C171" s="931">
        <f>'Revenues 9-14'!B269</f>
        <v>4960</v>
      </c>
      <c r="D171" s="928" t="str">
        <f>'Revenues 9-14'!A269</f>
        <v>Federal Charter Schools</v>
      </c>
      <c r="E171" s="905"/>
      <c r="F171" s="1806">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6">
        <f>SUM('Revenues 9-14'!C270:D270,'Revenues 9-14'!F270:G270)</f>
        <v>14074</v>
      </c>
      <c r="G172" s="946">
        <v>6320</v>
      </c>
    </row>
    <row r="173" spans="1:7" x14ac:dyDescent="0.2">
      <c r="A173" s="926" t="s">
        <v>689</v>
      </c>
      <c r="B173" s="926" t="s">
        <v>1503</v>
      </c>
      <c r="C173" s="931">
        <f>'Revenues 9-14'!B271</f>
        <v>4992</v>
      </c>
      <c r="D173" s="932" t="str">
        <f>'Revenues 9-14'!A271</f>
        <v>Medicaid Matching Funds - Fee-for-Service Program</v>
      </c>
      <c r="E173" s="905"/>
      <c r="F173" s="1806">
        <f>SUM('Revenues 9-14'!C271:D271,'Revenues 9-14'!F271:G271)</f>
        <v>14309</v>
      </c>
      <c r="G173" s="946"/>
    </row>
    <row r="174" spans="1:7" x14ac:dyDescent="0.2">
      <c r="A174" s="947" t="s">
        <v>689</v>
      </c>
      <c r="B174" s="943" t="s">
        <v>1558</v>
      </c>
      <c r="C174" s="944">
        <f>'Revenues 9-14'!B272</f>
        <v>4999</v>
      </c>
      <c r="D174" s="945" t="str">
        <f>'Revenues 9-14'!A272</f>
        <v>Other Restricted Revenue from Federal Sources (Describe &amp; Itemize)</v>
      </c>
      <c r="E174" s="905"/>
      <c r="F174" s="1806">
        <f>SUM('Revenues 9-14'!C272:D272,'Revenues 9-14'!F272:G272)</f>
        <v>0</v>
      </c>
      <c r="G174" s="926"/>
    </row>
    <row r="175" spans="1:7" x14ac:dyDescent="0.2">
      <c r="A175" s="1936" t="s">
        <v>5</v>
      </c>
      <c r="B175" s="1937" t="s">
        <v>2053</v>
      </c>
      <c r="C175" s="1938">
        <v>3100</v>
      </c>
      <c r="D175" s="1939" t="s">
        <v>2056</v>
      </c>
      <c r="E175" s="905"/>
      <c r="F175" s="1923">
        <v>421543.16</v>
      </c>
      <c r="G175" s="926"/>
    </row>
    <row r="176" spans="1:7" x14ac:dyDescent="0.2">
      <c r="A176" s="1936" t="s">
        <v>685</v>
      </c>
      <c r="B176" s="1937" t="s">
        <v>2053</v>
      </c>
      <c r="C176" s="1938">
        <v>3300</v>
      </c>
      <c r="D176" s="1939" t="s">
        <v>2057</v>
      </c>
      <c r="E176" s="905"/>
      <c r="F176" s="1923">
        <v>86463.4</v>
      </c>
      <c r="G176" s="926"/>
    </row>
    <row r="177" spans="1:7" ht="6" customHeight="1" x14ac:dyDescent="0.2">
      <c r="A177" s="926"/>
      <c r="B177" s="926"/>
      <c r="C177" s="948"/>
      <c r="D177" s="926"/>
      <c r="E177" s="905"/>
      <c r="F177" s="949"/>
      <c r="G177" s="946"/>
    </row>
    <row r="178" spans="1:7" x14ac:dyDescent="0.2">
      <c r="A178" s="1787"/>
      <c r="B178" s="1801"/>
      <c r="C178" s="1802"/>
      <c r="D178" s="1803" t="s">
        <v>2009</v>
      </c>
      <c r="E178" s="1804" t="s">
        <v>1015</v>
      </c>
      <c r="F178" s="1805">
        <f>SUM(F84:F136,F161:F176)</f>
        <v>4888213.5600000005</v>
      </c>
    </row>
    <row r="179" spans="1:7" ht="12" customHeight="1" x14ac:dyDescent="0.2">
      <c r="A179" s="1787"/>
      <c r="B179" s="1801"/>
      <c r="C179" s="1802"/>
      <c r="D179" s="1803" t="s">
        <v>2010</v>
      </c>
      <c r="E179" s="1804"/>
      <c r="F179" s="1806">
        <f>'PCTC-OEPP 27-28'!F77-F178</f>
        <v>10496247.439999999</v>
      </c>
    </row>
    <row r="180" spans="1:7" ht="12" customHeight="1" x14ac:dyDescent="0.2">
      <c r="A180" s="1787"/>
      <c r="B180" s="1801"/>
      <c r="C180" s="1802"/>
      <c r="D180" s="1803" t="s">
        <v>1919</v>
      </c>
      <c r="E180" s="1804"/>
      <c r="F180" s="1806">
        <f>'Cap Outlay Deprec 26'!I18</f>
        <v>1000729</v>
      </c>
    </row>
    <row r="181" spans="1:7" ht="12" customHeight="1" x14ac:dyDescent="0.2">
      <c r="A181" s="1787"/>
      <c r="B181" s="1801"/>
      <c r="C181" s="1802"/>
      <c r="D181" s="1803" t="s">
        <v>2011</v>
      </c>
      <c r="E181" s="1804"/>
      <c r="F181" s="1806">
        <f>F179+F180</f>
        <v>11496976.439999999</v>
      </c>
    </row>
    <row r="182" spans="1:7" ht="12" customHeight="1" x14ac:dyDescent="0.2">
      <c r="A182" s="1787"/>
      <c r="B182" s="1807"/>
      <c r="C182" s="1802"/>
      <c r="D182" s="1803" t="str">
        <f>D78</f>
        <v>9 Month ADA from District Average Daily Attendance/Prior General State Aid Inquiry 2017-2018</v>
      </c>
      <c r="E182" s="1804"/>
      <c r="F182" s="1808">
        <f>'PCTC-OEPP 27-28'!F78</f>
        <v>1712.72</v>
      </c>
      <c r="G182" s="929"/>
    </row>
    <row r="183" spans="1:7" ht="12" customHeight="1" thickBot="1" x14ac:dyDescent="0.25">
      <c r="A183" s="1787"/>
      <c r="B183" s="1807"/>
      <c r="C183" s="1802"/>
      <c r="D183" s="1803" t="s">
        <v>2012</v>
      </c>
      <c r="E183" s="1804" t="s">
        <v>1626</v>
      </c>
      <c r="F183" s="1809">
        <f>F181/F182</f>
        <v>6712.7005231444718</v>
      </c>
      <c r="G183" s="855">
        <v>6323</v>
      </c>
    </row>
    <row r="184" spans="1:7" ht="12" thickTop="1" x14ac:dyDescent="0.2">
      <c r="B184" s="929"/>
      <c r="C184" s="948"/>
      <c r="D184" s="929"/>
      <c r="E184" s="948"/>
      <c r="F184" s="929"/>
      <c r="G184" s="950">
        <v>6326</v>
      </c>
    </row>
    <row r="185" spans="1:7" ht="12.2" customHeight="1" x14ac:dyDescent="0.2">
      <c r="A185" s="929" t="s">
        <v>2055</v>
      </c>
      <c r="B185" s="929"/>
      <c r="C185" s="948"/>
      <c r="D185" s="929"/>
      <c r="E185" s="948"/>
      <c r="F185" s="929"/>
      <c r="G185" s="929"/>
    </row>
    <row r="186" spans="1:7" s="1940" customFormat="1" ht="12.2" customHeight="1" x14ac:dyDescent="0.2">
      <c r="A186" s="1940" t="s">
        <v>2060</v>
      </c>
      <c r="B186" s="1941"/>
      <c r="C186" s="1942"/>
      <c r="D186" s="1941"/>
      <c r="E186" s="1942"/>
      <c r="F186" s="1941"/>
      <c r="G186" s="1941"/>
    </row>
    <row r="187" spans="1:7" s="1940" customFormat="1" ht="12.2" customHeight="1" x14ac:dyDescent="0.2">
      <c r="A187" s="1943" t="s">
        <v>2061</v>
      </c>
      <c r="C187" s="1942"/>
      <c r="D187" s="1941"/>
      <c r="E187" s="1942"/>
      <c r="F187" s="1941"/>
      <c r="G187" s="1941"/>
    </row>
    <row r="188" spans="1:7" ht="12" customHeight="1" x14ac:dyDescent="0.2">
      <c r="C188" s="948"/>
      <c r="D188" s="929"/>
      <c r="E188" s="948"/>
      <c r="F188" s="929"/>
      <c r="G188" s="929"/>
    </row>
    <row r="189" spans="1:7" x14ac:dyDescent="0.2">
      <c r="A189" s="1944" t="s">
        <v>2059</v>
      </c>
      <c r="B189" s="1945" t="s">
        <v>2058</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showGridLines="0" workbookViewId="0">
      <pane ySplit="16" topLeftCell="A17" activePane="bottomLeft" state="frozen"/>
      <selection activeCell="L30" sqref="L30"/>
      <selection pane="bottomLeft" activeCell="A17" sqref="A17"/>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1935</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393" t="s">
        <v>1920</v>
      </c>
      <c r="B4" s="2394"/>
      <c r="C4" s="2394"/>
      <c r="D4" s="2394"/>
      <c r="E4" s="2394"/>
      <c r="F4" s="2394"/>
      <c r="G4" s="2395"/>
    </row>
    <row r="5" spans="1:7" x14ac:dyDescent="0.25">
      <c r="A5" s="2396"/>
      <c r="B5" s="2397"/>
      <c r="C5" s="2397"/>
      <c r="D5" s="2397"/>
      <c r="E5" s="2397"/>
      <c r="F5" s="2397"/>
      <c r="G5" s="2398"/>
    </row>
    <row r="6" spans="1:7" ht="18.75" x14ac:dyDescent="0.25">
      <c r="A6" s="1551" t="s">
        <v>1921</v>
      </c>
      <c r="B6" s="1552"/>
      <c r="C6" s="1552"/>
      <c r="D6" s="1552"/>
      <c r="E6" s="1552"/>
      <c r="F6" s="1552"/>
      <c r="G6" s="1553"/>
    </row>
    <row r="7" spans="1:7" ht="30.75" customHeight="1" x14ac:dyDescent="0.25">
      <c r="A7" s="2399" t="s">
        <v>2070</v>
      </c>
      <c r="B7" s="2400"/>
      <c r="C7" s="2400"/>
      <c r="D7" s="2400"/>
      <c r="E7" s="2400"/>
      <c r="F7" s="2400"/>
      <c r="G7" s="2401"/>
    </row>
    <row r="8" spans="1:7" ht="15.75" customHeight="1" x14ac:dyDescent="0.25">
      <c r="A8" s="2402" t="s">
        <v>2019</v>
      </c>
      <c r="B8" s="2403"/>
      <c r="C8" s="2403"/>
      <c r="D8" s="2403"/>
      <c r="E8" s="2403"/>
      <c r="F8" s="2403"/>
      <c r="G8" s="2404"/>
    </row>
    <row r="9" spans="1:7" ht="35.25" customHeight="1" x14ac:dyDescent="0.25">
      <c r="A9" s="2399" t="s">
        <v>2018</v>
      </c>
      <c r="B9" s="2400"/>
      <c r="C9" s="2400"/>
      <c r="D9" s="2400"/>
      <c r="E9" s="2400"/>
      <c r="F9" s="2400"/>
      <c r="G9" s="2401"/>
    </row>
    <row r="10" spans="1:7" ht="15" customHeight="1" x14ac:dyDescent="0.25">
      <c r="A10" s="1554" t="s">
        <v>1922</v>
      </c>
      <c r="B10" s="1555"/>
      <c r="C10" s="1555"/>
      <c r="D10" s="1555"/>
      <c r="E10" s="1555"/>
      <c r="F10" s="1555"/>
      <c r="G10" s="1556"/>
    </row>
    <row r="11" spans="1:7" ht="17.25" customHeight="1" x14ac:dyDescent="0.25">
      <c r="A11" s="2399" t="s">
        <v>1936</v>
      </c>
      <c r="B11" s="2400"/>
      <c r="C11" s="2400"/>
      <c r="D11" s="2400"/>
      <c r="E11" s="2400"/>
      <c r="F11" s="2400"/>
      <c r="G11" s="2401"/>
    </row>
    <row r="12" spans="1:7" ht="15" customHeight="1" x14ac:dyDescent="0.25">
      <c r="A12" s="1554" t="s">
        <v>1927</v>
      </c>
      <c r="B12" s="1555"/>
      <c r="C12" s="1555"/>
      <c r="D12" s="1555"/>
      <c r="E12" s="1555"/>
      <c r="F12" s="1555"/>
      <c r="G12" s="1556"/>
    </row>
    <row r="13" spans="1:7" ht="32.25" customHeight="1" x14ac:dyDescent="0.25">
      <c r="A13" s="2390" t="s">
        <v>1928</v>
      </c>
      <c r="B13" s="2391"/>
      <c r="C13" s="2391"/>
      <c r="D13" s="2391"/>
      <c r="E13" s="2391"/>
      <c r="F13" s="2391"/>
      <c r="G13" s="2392"/>
    </row>
    <row r="14" spans="1:7" x14ac:dyDescent="0.25">
      <c r="A14" s="1678" t="s">
        <v>1937</v>
      </c>
      <c r="B14" s="1679"/>
      <c r="C14" s="1679"/>
      <c r="D14" s="1679"/>
      <c r="E14" s="1679"/>
      <c r="F14" s="1679"/>
      <c r="G14" s="1680"/>
    </row>
    <row r="15" spans="1:7" ht="61.5" customHeight="1" x14ac:dyDescent="0.25">
      <c r="A15" s="1563" t="s">
        <v>1929</v>
      </c>
      <c r="B15" s="1563" t="s">
        <v>1930</v>
      </c>
      <c r="C15" s="1563" t="s">
        <v>1931</v>
      </c>
      <c r="D15" s="1564" t="s">
        <v>1932</v>
      </c>
      <c r="E15" s="1564" t="s">
        <v>1923</v>
      </c>
      <c r="F15" s="1564" t="s">
        <v>1933</v>
      </c>
      <c r="G15" s="1564" t="s">
        <v>1934</v>
      </c>
    </row>
    <row r="16" spans="1:7" x14ac:dyDescent="0.25">
      <c r="A16" s="1665" t="s">
        <v>1938</v>
      </c>
      <c r="B16" s="1666" t="s">
        <v>1926</v>
      </c>
      <c r="C16" s="1667" t="s">
        <v>1924</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58" t="s">
        <v>2168</v>
      </c>
      <c r="B17" s="1956" t="s">
        <v>2160</v>
      </c>
      <c r="C17" s="1950" t="s">
        <v>2109</v>
      </c>
      <c r="D17" s="1862">
        <v>80000</v>
      </c>
      <c r="E17" s="1557">
        <f t="shared" ref="E17:E127" si="1">IF(D17&lt;=25000,D17,IF(D17&gt;25000,25000,0))</f>
        <v>25000</v>
      </c>
      <c r="F17" s="1810">
        <f t="shared" si="0"/>
        <v>25000</v>
      </c>
      <c r="G17" s="1811">
        <f>IF(F17=0,0,D17-F17)</f>
        <v>55000</v>
      </c>
      <c r="H17" s="1664"/>
    </row>
    <row r="18" spans="1:8" x14ac:dyDescent="0.25">
      <c r="A18" s="1958" t="s">
        <v>2168</v>
      </c>
      <c r="B18" s="1956" t="s">
        <v>2160</v>
      </c>
      <c r="C18" s="1950" t="s">
        <v>2110</v>
      </c>
      <c r="D18" s="1862">
        <v>149647</v>
      </c>
      <c r="E18" s="1557">
        <f t="shared" ref="E18:E126" si="2">IF(D18&lt;=25000,D18,IF(D18&gt;25000,25000,0))</f>
        <v>25000</v>
      </c>
      <c r="F18" s="1810">
        <f t="shared" ref="F18:F12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G126" si="4">IF(F18=0,0,D18-F18)</f>
        <v>124647</v>
      </c>
    </row>
    <row r="19" spans="1:8" x14ac:dyDescent="0.25">
      <c r="A19" s="1958" t="s">
        <v>2168</v>
      </c>
      <c r="B19" s="1956" t="s">
        <v>2160</v>
      </c>
      <c r="C19" s="1950" t="s">
        <v>2111</v>
      </c>
      <c r="D19" s="1862">
        <v>260451</v>
      </c>
      <c r="E19" s="1557">
        <f t="shared" si="2"/>
        <v>25000</v>
      </c>
      <c r="F19" s="1810">
        <f t="shared" si="3"/>
        <v>25000</v>
      </c>
      <c r="G19" s="1811">
        <f t="shared" si="4"/>
        <v>235451</v>
      </c>
    </row>
    <row r="20" spans="1:8" x14ac:dyDescent="0.25">
      <c r="A20" s="1958" t="s">
        <v>2168</v>
      </c>
      <c r="B20" s="1956" t="s">
        <v>2160</v>
      </c>
      <c r="C20" s="1950" t="s">
        <v>2112</v>
      </c>
      <c r="D20" s="1862">
        <v>242472</v>
      </c>
      <c r="E20" s="1557">
        <f t="shared" si="2"/>
        <v>25000</v>
      </c>
      <c r="F20" s="1810">
        <f t="shared" si="3"/>
        <v>25000</v>
      </c>
      <c r="G20" s="1811">
        <f t="shared" si="4"/>
        <v>217472</v>
      </c>
    </row>
    <row r="21" spans="1:8" x14ac:dyDescent="0.25">
      <c r="A21" s="1958" t="s">
        <v>2169</v>
      </c>
      <c r="B21" s="1956" t="s">
        <v>1926</v>
      </c>
      <c r="C21" s="1950" t="s">
        <v>2113</v>
      </c>
      <c r="D21" s="1862">
        <v>32437</v>
      </c>
      <c r="E21" s="1557">
        <f t="shared" si="2"/>
        <v>25000</v>
      </c>
      <c r="F21" s="1810">
        <f t="shared" si="3"/>
        <v>25000</v>
      </c>
      <c r="G21" s="1811">
        <f t="shared" si="4"/>
        <v>7437</v>
      </c>
    </row>
    <row r="22" spans="1:8" x14ac:dyDescent="0.25">
      <c r="A22" s="1958" t="s">
        <v>2169</v>
      </c>
      <c r="B22" s="1956" t="s">
        <v>1926</v>
      </c>
      <c r="C22" s="1950" t="s">
        <v>2114</v>
      </c>
      <c r="D22" s="1862">
        <v>151244</v>
      </c>
      <c r="E22" s="1557">
        <f t="shared" si="2"/>
        <v>25000</v>
      </c>
      <c r="F22" s="1810">
        <f t="shared" si="3"/>
        <v>25000</v>
      </c>
      <c r="G22" s="1811">
        <f t="shared" si="4"/>
        <v>126244</v>
      </c>
    </row>
    <row r="23" spans="1:8" x14ac:dyDescent="0.25">
      <c r="A23" s="1958" t="s">
        <v>2168</v>
      </c>
      <c r="B23" s="1956" t="s">
        <v>2160</v>
      </c>
      <c r="C23" s="1950" t="s">
        <v>2115</v>
      </c>
      <c r="D23" s="1862">
        <v>36000</v>
      </c>
      <c r="E23" s="1557">
        <f t="shared" si="2"/>
        <v>25000</v>
      </c>
      <c r="F23" s="1810">
        <f t="shared" si="3"/>
        <v>25000</v>
      </c>
      <c r="G23" s="1811">
        <f t="shared" si="4"/>
        <v>11000</v>
      </c>
    </row>
    <row r="24" spans="1:8" hidden="1" x14ac:dyDescent="0.25">
      <c r="A24" s="1948"/>
      <c r="B24" s="1949"/>
      <c r="C24" s="1950"/>
      <c r="D24" s="1862"/>
      <c r="E24" s="1557">
        <f t="shared" si="2"/>
        <v>0</v>
      </c>
      <c r="F24" s="1810">
        <f t="shared" si="3"/>
        <v>0</v>
      </c>
      <c r="G24" s="1811">
        <f t="shared" si="4"/>
        <v>0</v>
      </c>
    </row>
    <row r="25" spans="1:8" x14ac:dyDescent="0.25">
      <c r="A25" s="1948" t="s">
        <v>2116</v>
      </c>
      <c r="B25" s="1956" t="s">
        <v>2164</v>
      </c>
      <c r="C25" s="1950" t="s">
        <v>2117</v>
      </c>
      <c r="D25" s="1862">
        <v>70895</v>
      </c>
      <c r="E25" s="1557">
        <f t="shared" si="2"/>
        <v>25000</v>
      </c>
      <c r="F25" s="1810">
        <f t="shared" si="3"/>
        <v>25000</v>
      </c>
      <c r="G25" s="1811">
        <f t="shared" si="4"/>
        <v>45895</v>
      </c>
    </row>
    <row r="26" spans="1:8" x14ac:dyDescent="0.25">
      <c r="A26" s="1948" t="s">
        <v>2118</v>
      </c>
      <c r="B26" s="1956" t="s">
        <v>2165</v>
      </c>
      <c r="C26" s="1950" t="s">
        <v>2119</v>
      </c>
      <c r="D26" s="1862">
        <v>65029</v>
      </c>
      <c r="E26" s="1557">
        <f t="shared" si="2"/>
        <v>25000</v>
      </c>
      <c r="F26" s="1810">
        <f t="shared" si="3"/>
        <v>25000</v>
      </c>
      <c r="G26" s="1811">
        <f t="shared" si="4"/>
        <v>40029</v>
      </c>
    </row>
    <row r="27" spans="1:8" x14ac:dyDescent="0.25">
      <c r="A27" s="1948" t="s">
        <v>2120</v>
      </c>
      <c r="B27" s="1956" t="s">
        <v>2166</v>
      </c>
      <c r="C27" s="1950" t="s">
        <v>2121</v>
      </c>
      <c r="D27" s="1862">
        <v>124304</v>
      </c>
      <c r="E27" s="1557">
        <f t="shared" si="2"/>
        <v>25000</v>
      </c>
      <c r="F27" s="1810">
        <f t="shared" si="3"/>
        <v>25000</v>
      </c>
      <c r="G27" s="1811">
        <f t="shared" si="4"/>
        <v>99304</v>
      </c>
    </row>
    <row r="28" spans="1:8" x14ac:dyDescent="0.25">
      <c r="A28" s="1948" t="s">
        <v>2122</v>
      </c>
      <c r="B28" s="1956" t="s">
        <v>2161</v>
      </c>
      <c r="C28" s="1950" t="s">
        <v>2123</v>
      </c>
      <c r="D28" s="1862">
        <v>161549</v>
      </c>
      <c r="E28" s="1557">
        <f t="shared" si="2"/>
        <v>25000</v>
      </c>
      <c r="F28" s="1810">
        <f t="shared" si="3"/>
        <v>25000</v>
      </c>
      <c r="G28" s="1811">
        <f t="shared" si="4"/>
        <v>136549</v>
      </c>
    </row>
    <row r="29" spans="1:8" x14ac:dyDescent="0.25">
      <c r="A29" s="1948" t="s">
        <v>2122</v>
      </c>
      <c r="B29" s="1956" t="s">
        <v>2161</v>
      </c>
      <c r="C29" s="1950" t="s">
        <v>2124</v>
      </c>
      <c r="D29" s="1862">
        <v>289069</v>
      </c>
      <c r="E29" s="1557">
        <f t="shared" si="2"/>
        <v>25000</v>
      </c>
      <c r="F29" s="1810">
        <f t="shared" si="3"/>
        <v>25000</v>
      </c>
      <c r="G29" s="1811">
        <f t="shared" si="4"/>
        <v>264069</v>
      </c>
    </row>
    <row r="30" spans="1:8" x14ac:dyDescent="0.25">
      <c r="A30" s="1958" t="s">
        <v>2125</v>
      </c>
      <c r="B30" s="1956" t="s">
        <v>2162</v>
      </c>
      <c r="C30" s="1950" t="s">
        <v>2126</v>
      </c>
      <c r="D30" s="1862">
        <v>42000</v>
      </c>
      <c r="E30" s="1557">
        <f t="shared" si="2"/>
        <v>25000</v>
      </c>
      <c r="F30" s="1810">
        <f t="shared" si="3"/>
        <v>25000</v>
      </c>
      <c r="G30" s="1811">
        <f t="shared" si="4"/>
        <v>17000</v>
      </c>
    </row>
    <row r="31" spans="1:8" x14ac:dyDescent="0.25">
      <c r="A31" s="1948" t="s">
        <v>2127</v>
      </c>
      <c r="B31" s="1956" t="s">
        <v>2162</v>
      </c>
      <c r="C31" s="1950" t="s">
        <v>2128</v>
      </c>
      <c r="D31" s="1862">
        <v>94455</v>
      </c>
      <c r="E31" s="1557">
        <f t="shared" si="2"/>
        <v>25000</v>
      </c>
      <c r="F31" s="1810">
        <f t="shared" si="3"/>
        <v>25000</v>
      </c>
      <c r="G31" s="1811">
        <f t="shared" si="4"/>
        <v>69455</v>
      </c>
    </row>
    <row r="32" spans="1:8" x14ac:dyDescent="0.25">
      <c r="A32" s="1948" t="s">
        <v>2127</v>
      </c>
      <c r="B32" s="1956" t="s">
        <v>2162</v>
      </c>
      <c r="C32" s="1950" t="s">
        <v>2129</v>
      </c>
      <c r="D32" s="1862">
        <v>35384</v>
      </c>
      <c r="E32" s="1557">
        <f t="shared" si="2"/>
        <v>25000</v>
      </c>
      <c r="F32" s="1810">
        <f t="shared" si="3"/>
        <v>25000</v>
      </c>
      <c r="G32" s="1811">
        <f t="shared" si="4"/>
        <v>10384</v>
      </c>
    </row>
    <row r="33" spans="1:7" x14ac:dyDescent="0.25">
      <c r="A33" s="1948" t="s">
        <v>2130</v>
      </c>
      <c r="B33" s="1956" t="s">
        <v>2162</v>
      </c>
      <c r="C33" s="1950" t="s">
        <v>2131</v>
      </c>
      <c r="D33" s="1862">
        <v>51245</v>
      </c>
      <c r="E33" s="1557">
        <f t="shared" si="2"/>
        <v>25000</v>
      </c>
      <c r="F33" s="1810">
        <f t="shared" si="3"/>
        <v>25000</v>
      </c>
      <c r="G33" s="1811">
        <f t="shared" si="4"/>
        <v>26245</v>
      </c>
    </row>
    <row r="34" spans="1:7" x14ac:dyDescent="0.25">
      <c r="A34" s="1948" t="s">
        <v>2132</v>
      </c>
      <c r="B34" s="1956" t="s">
        <v>2163</v>
      </c>
      <c r="C34" s="1950" t="s">
        <v>2133</v>
      </c>
      <c r="D34" s="1862">
        <v>41073</v>
      </c>
      <c r="E34" s="1557">
        <f t="shared" si="2"/>
        <v>25000</v>
      </c>
      <c r="F34" s="1810">
        <f t="shared" si="3"/>
        <v>25000</v>
      </c>
      <c r="G34" s="1811">
        <f t="shared" si="4"/>
        <v>16073</v>
      </c>
    </row>
    <row r="35" spans="1:7" x14ac:dyDescent="0.25">
      <c r="A35" s="1948" t="s">
        <v>2134</v>
      </c>
      <c r="B35" s="1956" t="s">
        <v>2163</v>
      </c>
      <c r="C35" s="1950" t="s">
        <v>2135</v>
      </c>
      <c r="D35" s="1862">
        <v>68370</v>
      </c>
      <c r="E35" s="1557">
        <f t="shared" si="2"/>
        <v>25000</v>
      </c>
      <c r="F35" s="1810">
        <f t="shared" si="3"/>
        <v>25000</v>
      </c>
      <c r="G35" s="1811">
        <f t="shared" si="4"/>
        <v>43370</v>
      </c>
    </row>
    <row r="36" spans="1:7" x14ac:dyDescent="0.25">
      <c r="A36" s="1948" t="s">
        <v>2136</v>
      </c>
      <c r="B36" s="1956" t="s">
        <v>2163</v>
      </c>
      <c r="C36" s="1950" t="s">
        <v>2137</v>
      </c>
      <c r="D36" s="1862">
        <v>73237</v>
      </c>
      <c r="E36" s="1557">
        <f t="shared" si="2"/>
        <v>25000</v>
      </c>
      <c r="F36" s="1810">
        <f t="shared" si="3"/>
        <v>25000</v>
      </c>
      <c r="G36" s="1811">
        <f t="shared" si="4"/>
        <v>48237</v>
      </c>
    </row>
    <row r="37" spans="1:7" x14ac:dyDescent="0.25">
      <c r="A37" s="1948" t="s">
        <v>2136</v>
      </c>
      <c r="B37" s="1957" t="s">
        <v>2163</v>
      </c>
      <c r="C37" s="1950" t="s">
        <v>2138</v>
      </c>
      <c r="D37" s="1862">
        <v>154042</v>
      </c>
      <c r="E37" s="1557">
        <f t="shared" si="2"/>
        <v>25000</v>
      </c>
      <c r="F37" s="1810">
        <f t="shared" si="3"/>
        <v>25000</v>
      </c>
      <c r="G37" s="1811">
        <f t="shared" si="4"/>
        <v>129042</v>
      </c>
    </row>
    <row r="38" spans="1:7" x14ac:dyDescent="0.25">
      <c r="A38" s="1948" t="s">
        <v>2139</v>
      </c>
      <c r="B38" s="1957" t="s">
        <v>2167</v>
      </c>
      <c r="C38" s="1950" t="s">
        <v>2140</v>
      </c>
      <c r="D38" s="1862">
        <v>31544</v>
      </c>
      <c r="E38" s="1557">
        <f t="shared" si="2"/>
        <v>25000</v>
      </c>
      <c r="F38" s="1810">
        <f t="shared" si="3"/>
        <v>25000</v>
      </c>
      <c r="G38" s="1811">
        <f t="shared" si="4"/>
        <v>6544</v>
      </c>
    </row>
    <row r="39" spans="1:7" x14ac:dyDescent="0.25">
      <c r="A39" s="1948" t="s">
        <v>2139</v>
      </c>
      <c r="B39" s="1957" t="s">
        <v>2167</v>
      </c>
      <c r="C39" s="1950" t="s">
        <v>2141</v>
      </c>
      <c r="D39" s="1862">
        <v>26256</v>
      </c>
      <c r="E39" s="1557">
        <f t="shared" si="2"/>
        <v>25000</v>
      </c>
      <c r="F39" s="1810">
        <f t="shared" si="3"/>
        <v>25000</v>
      </c>
      <c r="G39" s="1811">
        <f t="shared" si="4"/>
        <v>1256</v>
      </c>
    </row>
    <row r="40" spans="1:7" x14ac:dyDescent="0.25">
      <c r="A40" s="1948" t="s">
        <v>2139</v>
      </c>
      <c r="B40" s="1957" t="s">
        <v>2167</v>
      </c>
      <c r="C40" s="1950" t="s">
        <v>2142</v>
      </c>
      <c r="D40" s="1862">
        <v>24694</v>
      </c>
      <c r="E40" s="1557">
        <f t="shared" si="2"/>
        <v>24694</v>
      </c>
      <c r="F40" s="1810">
        <f t="shared" si="3"/>
        <v>24694</v>
      </c>
      <c r="G40" s="1811">
        <f t="shared" si="4"/>
        <v>0</v>
      </c>
    </row>
    <row r="41" spans="1:7" x14ac:dyDescent="0.25">
      <c r="A41" s="1948" t="s">
        <v>2139</v>
      </c>
      <c r="B41" s="1957" t="s">
        <v>2167</v>
      </c>
      <c r="C41" s="1950" t="s">
        <v>2142</v>
      </c>
      <c r="D41" s="1862">
        <v>32552</v>
      </c>
      <c r="E41" s="1557">
        <f t="shared" si="2"/>
        <v>25000</v>
      </c>
      <c r="F41" s="1810">
        <f t="shared" si="3"/>
        <v>25000</v>
      </c>
      <c r="G41" s="1811">
        <f t="shared" si="4"/>
        <v>7552</v>
      </c>
    </row>
    <row r="42" spans="1:7" x14ac:dyDescent="0.25">
      <c r="A42" s="1948">
        <v>0</v>
      </c>
      <c r="B42" s="1959"/>
      <c r="C42" s="1950"/>
      <c r="D42" s="1862"/>
      <c r="E42" s="1557">
        <f t="shared" si="2"/>
        <v>0</v>
      </c>
      <c r="F42" s="1810">
        <f t="shared" si="3"/>
        <v>0</v>
      </c>
      <c r="G42" s="1811">
        <f t="shared" si="4"/>
        <v>0</v>
      </c>
    </row>
    <row r="43" spans="1:7" hidden="1" x14ac:dyDescent="0.25">
      <c r="A43" s="1670"/>
      <c r="B43" s="1684"/>
      <c r="C43" s="1671"/>
      <c r="D43" s="1862"/>
      <c r="E43" s="1557">
        <f t="shared" si="2"/>
        <v>0</v>
      </c>
      <c r="F43" s="1810">
        <f t="shared" si="3"/>
        <v>0</v>
      </c>
      <c r="G43" s="1811">
        <f t="shared" si="4"/>
        <v>0</v>
      </c>
    </row>
    <row r="44" spans="1:7" hidden="1" x14ac:dyDescent="0.25">
      <c r="A44" s="1670"/>
      <c r="B44" s="1684"/>
      <c r="C44" s="1671"/>
      <c r="D44" s="1862"/>
      <c r="E44" s="1557">
        <f t="shared" si="2"/>
        <v>0</v>
      </c>
      <c r="F44" s="1810">
        <f t="shared" si="3"/>
        <v>0</v>
      </c>
      <c r="G44" s="1811">
        <f t="shared" si="4"/>
        <v>0</v>
      </c>
    </row>
    <row r="45" spans="1:7" hidden="1" x14ac:dyDescent="0.25">
      <c r="A45" s="1670"/>
      <c r="B45" s="1684"/>
      <c r="C45" s="1671"/>
      <c r="D45" s="1862"/>
      <c r="E45" s="1557">
        <f t="shared" si="2"/>
        <v>0</v>
      </c>
      <c r="F45" s="1810">
        <f t="shared" si="3"/>
        <v>0</v>
      </c>
      <c r="G45" s="1811">
        <f t="shared" si="4"/>
        <v>0</v>
      </c>
    </row>
    <row r="46" spans="1:7" hidden="1" x14ac:dyDescent="0.25">
      <c r="A46" s="1670"/>
      <c r="B46" s="1684"/>
      <c r="C46" s="1671"/>
      <c r="D46" s="1862"/>
      <c r="E46" s="1557">
        <f t="shared" si="2"/>
        <v>0</v>
      </c>
      <c r="F46" s="1810">
        <f t="shared" si="3"/>
        <v>0</v>
      </c>
      <c r="G46" s="1811">
        <f t="shared" si="4"/>
        <v>0</v>
      </c>
    </row>
    <row r="47" spans="1:7" hidden="1" x14ac:dyDescent="0.25">
      <c r="A47" s="1670"/>
      <c r="B47" s="1684"/>
      <c r="C47" s="1671"/>
      <c r="D47" s="1862"/>
      <c r="E47" s="1557">
        <f t="shared" si="2"/>
        <v>0</v>
      </c>
      <c r="F47" s="1810">
        <f t="shared" si="3"/>
        <v>0</v>
      </c>
      <c r="G47" s="1811">
        <f t="shared" si="4"/>
        <v>0</v>
      </c>
    </row>
    <row r="48" spans="1:7" hidden="1" x14ac:dyDescent="0.25">
      <c r="A48" s="1670"/>
      <c r="B48" s="1684"/>
      <c r="C48" s="1671"/>
      <c r="D48" s="1862"/>
      <c r="E48" s="1557">
        <f t="shared" si="2"/>
        <v>0</v>
      </c>
      <c r="F48" s="1810">
        <f t="shared" si="3"/>
        <v>0</v>
      </c>
      <c r="G48" s="1811">
        <f t="shared" si="4"/>
        <v>0</v>
      </c>
    </row>
    <row r="49" spans="1:7" hidden="1" x14ac:dyDescent="0.25">
      <c r="A49" s="1670"/>
      <c r="B49" s="1684"/>
      <c r="C49" s="1671"/>
      <c r="D49" s="1862"/>
      <c r="E49" s="1557">
        <f t="shared" si="2"/>
        <v>0</v>
      </c>
      <c r="F49" s="1810">
        <f t="shared" si="3"/>
        <v>0</v>
      </c>
      <c r="G49" s="1811">
        <f t="shared" si="4"/>
        <v>0</v>
      </c>
    </row>
    <row r="50" spans="1:7" hidden="1" x14ac:dyDescent="0.25">
      <c r="A50" s="1672"/>
      <c r="B50" s="1684"/>
      <c r="C50" s="1673"/>
      <c r="D50" s="1862"/>
      <c r="E50" s="1557">
        <f t="shared" si="2"/>
        <v>0</v>
      </c>
      <c r="F50" s="1810">
        <f t="shared" si="3"/>
        <v>0</v>
      </c>
      <c r="G50" s="1811">
        <f t="shared" si="4"/>
        <v>0</v>
      </c>
    </row>
    <row r="51" spans="1:7" hidden="1" x14ac:dyDescent="0.25">
      <c r="A51" s="1670"/>
      <c r="B51" s="1684"/>
      <c r="C51" s="1671"/>
      <c r="D51" s="1862"/>
      <c r="E51" s="1557">
        <f t="shared" si="2"/>
        <v>0</v>
      </c>
      <c r="F51" s="1810">
        <f t="shared" si="3"/>
        <v>0</v>
      </c>
      <c r="G51" s="1811">
        <f t="shared" si="4"/>
        <v>0</v>
      </c>
    </row>
    <row r="52" spans="1:7" hidden="1" x14ac:dyDescent="0.25">
      <c r="A52" s="1670"/>
      <c r="B52" s="1684"/>
      <c r="C52" s="1671"/>
      <c r="D52" s="1862"/>
      <c r="E52" s="1557">
        <f t="shared" si="2"/>
        <v>0</v>
      </c>
      <c r="F52" s="1810">
        <f t="shared" si="3"/>
        <v>0</v>
      </c>
      <c r="G52" s="1811">
        <f t="shared" si="4"/>
        <v>0</v>
      </c>
    </row>
    <row r="53" spans="1:7" hidden="1" x14ac:dyDescent="0.25">
      <c r="A53" s="1670"/>
      <c r="B53" s="1684"/>
      <c r="C53" s="1671"/>
      <c r="D53" s="1862"/>
      <c r="E53" s="1557">
        <f t="shared" si="2"/>
        <v>0</v>
      </c>
      <c r="F53" s="1810">
        <f t="shared" si="3"/>
        <v>0</v>
      </c>
      <c r="G53" s="1811">
        <f t="shared" si="4"/>
        <v>0</v>
      </c>
    </row>
    <row r="54" spans="1:7" hidden="1" x14ac:dyDescent="0.25">
      <c r="A54" s="1670"/>
      <c r="B54" s="1684"/>
      <c r="C54" s="1671"/>
      <c r="D54" s="1862"/>
      <c r="E54" s="1557">
        <f t="shared" si="2"/>
        <v>0</v>
      </c>
      <c r="F54" s="1810">
        <f t="shared" si="3"/>
        <v>0</v>
      </c>
      <c r="G54" s="1811">
        <f t="shared" si="4"/>
        <v>0</v>
      </c>
    </row>
    <row r="55" spans="1:7" hidden="1" x14ac:dyDescent="0.25">
      <c r="A55" s="1670"/>
      <c r="B55" s="1684"/>
      <c r="C55" s="1671"/>
      <c r="D55" s="1862"/>
      <c r="E55" s="1557">
        <f t="shared" si="2"/>
        <v>0</v>
      </c>
      <c r="F55" s="1810">
        <f t="shared" si="3"/>
        <v>0</v>
      </c>
      <c r="G55" s="1811">
        <f t="shared" si="4"/>
        <v>0</v>
      </c>
    </row>
    <row r="56" spans="1:7" hidden="1" x14ac:dyDescent="0.25">
      <c r="A56" s="1670"/>
      <c r="B56" s="1684"/>
      <c r="C56" s="1671"/>
      <c r="D56" s="1862"/>
      <c r="E56" s="1557">
        <f t="shared" si="2"/>
        <v>0</v>
      </c>
      <c r="F56" s="1810">
        <f t="shared" si="3"/>
        <v>0</v>
      </c>
      <c r="G56" s="1811">
        <f t="shared" si="4"/>
        <v>0</v>
      </c>
    </row>
    <row r="57" spans="1:7" hidden="1" x14ac:dyDescent="0.25">
      <c r="A57" s="1670"/>
      <c r="B57" s="1684"/>
      <c r="C57" s="1671"/>
      <c r="D57" s="1862"/>
      <c r="E57" s="1557">
        <f t="shared" si="2"/>
        <v>0</v>
      </c>
      <c r="F57" s="1810">
        <f t="shared" si="3"/>
        <v>0</v>
      </c>
      <c r="G57" s="1811">
        <f t="shared" si="4"/>
        <v>0</v>
      </c>
    </row>
    <row r="58" spans="1:7" hidden="1" x14ac:dyDescent="0.25">
      <c r="A58" s="1670"/>
      <c r="B58" s="1684"/>
      <c r="C58" s="1671"/>
      <c r="D58" s="1862"/>
      <c r="E58" s="1557">
        <f t="shared" si="2"/>
        <v>0</v>
      </c>
      <c r="F58" s="1810">
        <f t="shared" si="3"/>
        <v>0</v>
      </c>
      <c r="G58" s="1811">
        <f t="shared" si="4"/>
        <v>0</v>
      </c>
    </row>
    <row r="59" spans="1:7" hidden="1" x14ac:dyDescent="0.25">
      <c r="A59" s="1670"/>
      <c r="B59" s="1684"/>
      <c r="C59" s="1671"/>
      <c r="D59" s="1862"/>
      <c r="E59" s="1557">
        <f t="shared" ref="E59:E70" si="5">IF(D59&lt;=25000,D59,IF(D59&gt;25000,25000,0))</f>
        <v>0</v>
      </c>
      <c r="F59" s="1810">
        <f t="shared" ref="F59:F70" si="6">IF(OR(B59="10-1000-100",B59="10-1000-200",B59="10-1000-300",B59="10-1000-400",B59="10-1000-600",B59="10-1000-800",B59="50-1000-200",B59="10-2100-100",B59="10-2100-200",B59="10-2100-300",B59="10-2100-400",B59="10-2100-600",B59="10-2100-800",B59="20-2100-200",B59="20-2190-100",B59="20-2190-200",B59="20-2190-300",B59="20-2190-400",B59="20-2190-600",B59="20-2190-800",B59="40-2190-100",B59="40-2190-200",B59="40-2190-300",B59="40-2190-400",B59="40-2190-600",B59="40-2190-800",B59="50-2190-200",B59="10-2200-100",B59="10-2200-200",B59="10-2200-300",B59="10-2200-400",B59="10-2200-600",B59="10-2200-800",B59="50-2200-200",B59="10-2300-100",B59="10-2300-200",B59="10-2300-300",B59="10-2300-400",B59="10-2300-600",B59="10-2300-800",B59="50-2300-200",B59="80-2300-100",B59="80-2300-200",B59="80-2300-300",B59="80-2300-400",B59="80-2300-600",B59="80-2300-800",B59="10-2400-100",B59="10-2400-200",B59="10-2400-300",B59="10-2400-400",B59="10-2400-600",B59="10-2400-800",B59="50-2400-200",B59="10-2510-100",B59="10-2510-200",B59="10-2510-300",B59="10-2510-400",B59="10-2510-600",B59="10-2510-800",B59="20-2510-100",B59="20-2510-200",B59="20-2510-300",B59="20-2510-400",B59="20-2510-600",B59="20-2510-800",B59="50-2510-200",B59="10-2520-100",B59="10-2520-200",B59="10-2520-300",B59="10-2520-400",B59="10-2520-600",B59="10-2520-800",B59="50-2520-200",B59="10-2540-100",B59="10-2540-200",B59="10-2540-300",B59="10-2540-400",B59="10-2540-600",B59="20-2540-800",B59="20-2540-100",B59="20-2540-200",B59="20-2540-300",B59="20-2540-400",B59="20-2540-600",B59="50-2540-200",B59="90-2540-100",B59="90-2540-200",B59="90-2540-300",B59="90-2540-400",B59="90-2540-600",B59="90-2540-800",B59="90-2540-800",B59="10-2550-100",B59="10-2550-200",B59="10-2550-300",B59="10-2550-400",B59="10-2550-600",B59="10-2550-800",B59="20-2550-100",B59="20-2550-200",B59="20-2550-300",B59="20-2550-400",B59="20-2550-600",B59="20-2550-800",B59="40-2550-100",B59="40-2550-200",B59="40-2550-300",B59="40-2550-400",B59="40-2550-600",B59="40-2550-800",B59="50-2550-200",B59="10-2560-100",B59="10-2560-200",B59="10-2560-300",B59="10-2560-400",B59="10-2560-600",B59="10-2560-800",B59="20-2560-100",B59="20-2560-200",B59="20-2560-300",B59="20-2560-400",B59="20-2560-600",B59="20-2560-800",B59="50-2560-200",B59="10-2570-100",B59="10-2570-200",B59="10-2570-300",B59="10-2570-400",B59="10-2570-600",B59="10-2570-800",B59="50-2570-200",B59="10-2610-100",B59="10-2610-200",B59="10-2610-300",B59="10-2610-400",B59="10-2610-600",B59="10-2610-800",B59="50-2610-200",B59="10-2620-100",B59="10-2620-200",B59="10-2620-300",B59="10-2620-400",B59="10-2620-600",B59="10-2620-800",B59="50-2620-200",B59="10-2630-100",B59="10-2630-200",B59="10-2630-300",B59="10-2630-400",B59="10-2630-600",B59="10-2630-800",B59="50-2630-200",B59="10-2640-100",B59="10-2640-200",B59="10-2640-300",B59="10-2640-400",B59="10-2640-600",B59="10-2640-800",B59="50-2640-200",B59="10-2660-100",B59="10-2660-200",B59="10-2660-300",B59="10-2660-400",B59="10-2660-600",B59="10-2660-800",B59="50-2660-200",B59="10-2900-100",B59="10-2900-200",B59="10-2900-300",B59="10-2900-400",B59="10-2900-600",B59="10-2900-800",B59="20-2900-100",B59="20-2900-200",B59="20-2900-300",B59="20-2900-400",B59="20-2900-600",B59="20-2900-800",B59="40-2900-100",B59="40-2900-200",B59="40-2900-300",B59="40-2900-400",B59="40-2900-600",B59="40-2900-800",B59="50-2900-200",B59="60-2900-100",B59="60-2900-200",B59="60-2900-300",B59="60-2900-400",B59="60-2900-600",B59="60-2900-800",B59="90-2900-100",B59="90-2900-200",B59="90-2900-300",B59="90-2900-400",B59="90-2900-600",B59="90-2900-800",B59="10-3000-100",B59="10-3000-200",B59="10-3000-300",B59="10-3000-400",B59="10-3000-600",B59="10-3000-800",B59="20-3000-100",B59="20-3000-200",B59="20-3000-300",B59="20-3000-400",B59="20-3000-600",B59="20-3000-800",B59="40-3000-100",B59="40-3000-200",B59="40-3000-300",B59="40-3000-400",B59="40-3000-600",B59="40-3000-800",B59="50-3000-200"),E59,0)</f>
        <v>0</v>
      </c>
      <c r="G59" s="1811">
        <f t="shared" ref="G59:G70" si="7">IF(F59=0,0,D59-F59)</f>
        <v>0</v>
      </c>
    </row>
    <row r="60" spans="1:7" hidden="1" x14ac:dyDescent="0.25">
      <c r="A60" s="1670"/>
      <c r="B60" s="1684"/>
      <c r="C60" s="1671"/>
      <c r="D60" s="1862"/>
      <c r="E60" s="1557">
        <f t="shared" si="5"/>
        <v>0</v>
      </c>
      <c r="F60" s="1810">
        <f t="shared" si="6"/>
        <v>0</v>
      </c>
      <c r="G60" s="1811">
        <f t="shared" si="7"/>
        <v>0</v>
      </c>
    </row>
    <row r="61" spans="1:7" hidden="1" x14ac:dyDescent="0.25">
      <c r="A61" s="1670"/>
      <c r="B61" s="1684"/>
      <c r="C61" s="1671"/>
      <c r="D61" s="1862"/>
      <c r="E61" s="1557">
        <f t="shared" si="5"/>
        <v>0</v>
      </c>
      <c r="F61" s="1810">
        <f t="shared" si="6"/>
        <v>0</v>
      </c>
      <c r="G61" s="1811">
        <f t="shared" si="7"/>
        <v>0</v>
      </c>
    </row>
    <row r="62" spans="1:7" hidden="1" x14ac:dyDescent="0.25">
      <c r="A62" s="1670"/>
      <c r="B62" s="1684"/>
      <c r="C62" s="1671"/>
      <c r="D62" s="1862"/>
      <c r="E62" s="1557">
        <f t="shared" si="5"/>
        <v>0</v>
      </c>
      <c r="F62" s="1810">
        <f t="shared" si="6"/>
        <v>0</v>
      </c>
      <c r="G62" s="1811">
        <f t="shared" si="7"/>
        <v>0</v>
      </c>
    </row>
    <row r="63" spans="1:7" hidden="1" x14ac:dyDescent="0.25">
      <c r="A63" s="1670"/>
      <c r="B63" s="1684"/>
      <c r="C63" s="1671"/>
      <c r="D63" s="1862"/>
      <c r="E63" s="1557">
        <f t="shared" si="5"/>
        <v>0</v>
      </c>
      <c r="F63" s="1810">
        <f t="shared" si="6"/>
        <v>0</v>
      </c>
      <c r="G63" s="1811">
        <f t="shared" si="7"/>
        <v>0</v>
      </c>
    </row>
    <row r="64" spans="1:7" hidden="1" x14ac:dyDescent="0.25">
      <c r="A64" s="1670"/>
      <c r="B64" s="1684"/>
      <c r="C64" s="1671"/>
      <c r="D64" s="1862"/>
      <c r="E64" s="1557">
        <f t="shared" si="5"/>
        <v>0</v>
      </c>
      <c r="F64" s="1810">
        <f t="shared" si="6"/>
        <v>0</v>
      </c>
      <c r="G64" s="1811">
        <f t="shared" si="7"/>
        <v>0</v>
      </c>
    </row>
    <row r="65" spans="1:7" hidden="1" x14ac:dyDescent="0.25">
      <c r="A65" s="1670"/>
      <c r="B65" s="1684"/>
      <c r="C65" s="1671"/>
      <c r="D65" s="1862"/>
      <c r="E65" s="1557">
        <f t="shared" si="5"/>
        <v>0</v>
      </c>
      <c r="F65" s="1810">
        <f t="shared" si="6"/>
        <v>0</v>
      </c>
      <c r="G65" s="1811">
        <f t="shared" si="7"/>
        <v>0</v>
      </c>
    </row>
    <row r="66" spans="1:7" hidden="1" x14ac:dyDescent="0.25">
      <c r="A66" s="1670"/>
      <c r="B66" s="1684"/>
      <c r="C66" s="1671"/>
      <c r="D66" s="1862"/>
      <c r="E66" s="1557">
        <f t="shared" si="5"/>
        <v>0</v>
      </c>
      <c r="F66" s="1810">
        <f t="shared" si="6"/>
        <v>0</v>
      </c>
      <c r="G66" s="1811">
        <f t="shared" si="7"/>
        <v>0</v>
      </c>
    </row>
    <row r="67" spans="1:7" hidden="1" x14ac:dyDescent="0.25">
      <c r="A67" s="1670"/>
      <c r="B67" s="1684"/>
      <c r="C67" s="1671"/>
      <c r="D67" s="1862"/>
      <c r="E67" s="1557">
        <f t="shared" si="5"/>
        <v>0</v>
      </c>
      <c r="F67" s="1810">
        <f t="shared" si="6"/>
        <v>0</v>
      </c>
      <c r="G67" s="1811">
        <f t="shared" si="7"/>
        <v>0</v>
      </c>
    </row>
    <row r="68" spans="1:7" hidden="1" x14ac:dyDescent="0.25">
      <c r="A68" s="1670"/>
      <c r="B68" s="1684"/>
      <c r="C68" s="1671"/>
      <c r="D68" s="1862"/>
      <c r="E68" s="1557">
        <f t="shared" si="5"/>
        <v>0</v>
      </c>
      <c r="F68" s="1810">
        <f t="shared" si="6"/>
        <v>0</v>
      </c>
      <c r="G68" s="1811">
        <f t="shared" si="7"/>
        <v>0</v>
      </c>
    </row>
    <row r="69" spans="1:7" hidden="1" x14ac:dyDescent="0.25">
      <c r="A69" s="1670"/>
      <c r="B69" s="1684"/>
      <c r="C69" s="1671"/>
      <c r="D69" s="1862"/>
      <c r="E69" s="1557">
        <f t="shared" si="5"/>
        <v>0</v>
      </c>
      <c r="F69" s="1810">
        <f t="shared" si="6"/>
        <v>0</v>
      </c>
      <c r="G69" s="1811">
        <f t="shared" si="7"/>
        <v>0</v>
      </c>
    </row>
    <row r="70" spans="1:7" hidden="1" x14ac:dyDescent="0.25">
      <c r="A70" s="1670"/>
      <c r="B70" s="1684"/>
      <c r="C70" s="1671"/>
      <c r="D70" s="1862"/>
      <c r="E70" s="1557">
        <f t="shared" si="5"/>
        <v>0</v>
      </c>
      <c r="F70" s="1810">
        <f t="shared" si="6"/>
        <v>0</v>
      </c>
      <c r="G70" s="1811">
        <f t="shared" si="7"/>
        <v>0</v>
      </c>
    </row>
    <row r="71" spans="1:7" hidden="1" x14ac:dyDescent="0.25">
      <c r="A71" s="1670"/>
      <c r="B71" s="1684"/>
      <c r="C71" s="1671"/>
      <c r="D71" s="1862"/>
      <c r="E71" s="1557">
        <f t="shared" si="2"/>
        <v>0</v>
      </c>
      <c r="F71" s="1810">
        <f t="shared" si="3"/>
        <v>0</v>
      </c>
      <c r="G71" s="1811">
        <f t="shared" si="4"/>
        <v>0</v>
      </c>
    </row>
    <row r="72" spans="1:7" hidden="1" x14ac:dyDescent="0.25">
      <c r="A72" s="1670"/>
      <c r="B72" s="1684"/>
      <c r="C72" s="1671"/>
      <c r="D72" s="1862"/>
      <c r="E72" s="1557">
        <f t="shared" si="2"/>
        <v>0</v>
      </c>
      <c r="F72" s="1810">
        <f t="shared" si="3"/>
        <v>0</v>
      </c>
      <c r="G72" s="1811">
        <f t="shared" si="4"/>
        <v>0</v>
      </c>
    </row>
    <row r="73" spans="1:7" hidden="1" x14ac:dyDescent="0.25">
      <c r="A73" s="1670"/>
      <c r="B73" s="1684"/>
      <c r="C73" s="1671"/>
      <c r="D73" s="1862"/>
      <c r="E73" s="1557">
        <f t="shared" si="2"/>
        <v>0</v>
      </c>
      <c r="F73" s="1810">
        <f t="shared" si="3"/>
        <v>0</v>
      </c>
      <c r="G73" s="1811">
        <f t="shared" si="4"/>
        <v>0</v>
      </c>
    </row>
    <row r="74" spans="1:7" hidden="1" x14ac:dyDescent="0.25">
      <c r="A74" s="1670"/>
      <c r="B74" s="1684"/>
      <c r="C74" s="1671"/>
      <c r="D74" s="1862"/>
      <c r="E74" s="1557">
        <f t="shared" si="2"/>
        <v>0</v>
      </c>
      <c r="F74" s="1810">
        <f t="shared" si="3"/>
        <v>0</v>
      </c>
      <c r="G74" s="1811">
        <f t="shared" si="4"/>
        <v>0</v>
      </c>
    </row>
    <row r="75" spans="1:7" hidden="1" x14ac:dyDescent="0.25">
      <c r="A75" s="1670"/>
      <c r="B75" s="1684"/>
      <c r="C75" s="1671"/>
      <c r="D75" s="1862"/>
      <c r="E75" s="1557">
        <f t="shared" si="2"/>
        <v>0</v>
      </c>
      <c r="F75" s="1810">
        <f t="shared" si="3"/>
        <v>0</v>
      </c>
      <c r="G75" s="1811">
        <f t="shared" si="4"/>
        <v>0</v>
      </c>
    </row>
    <row r="76" spans="1:7" hidden="1" x14ac:dyDescent="0.25">
      <c r="A76" s="1670"/>
      <c r="B76" s="1684"/>
      <c r="C76" s="1671"/>
      <c r="D76" s="1862"/>
      <c r="E76" s="1557">
        <f t="shared" si="2"/>
        <v>0</v>
      </c>
      <c r="F76" s="1810">
        <f t="shared" si="3"/>
        <v>0</v>
      </c>
      <c r="G76" s="1811">
        <f t="shared" si="4"/>
        <v>0</v>
      </c>
    </row>
    <row r="77" spans="1:7" hidden="1" x14ac:dyDescent="0.25">
      <c r="A77" s="1670"/>
      <c r="B77" s="1684"/>
      <c r="C77" s="1671"/>
      <c r="D77" s="1862"/>
      <c r="E77" s="1557">
        <f t="shared" si="2"/>
        <v>0</v>
      </c>
      <c r="F77" s="1810">
        <f t="shared" si="3"/>
        <v>0</v>
      </c>
      <c r="G77" s="1811">
        <f t="shared" si="4"/>
        <v>0</v>
      </c>
    </row>
    <row r="78" spans="1:7" hidden="1" x14ac:dyDescent="0.25">
      <c r="A78" s="1670"/>
      <c r="B78" s="1684"/>
      <c r="C78" s="1671"/>
      <c r="D78" s="1862"/>
      <c r="E78" s="1557">
        <f t="shared" si="2"/>
        <v>0</v>
      </c>
      <c r="F78" s="1810">
        <f t="shared" si="3"/>
        <v>0</v>
      </c>
      <c r="G78" s="1811">
        <f t="shared" si="4"/>
        <v>0</v>
      </c>
    </row>
    <row r="79" spans="1:7" hidden="1" x14ac:dyDescent="0.25">
      <c r="A79" s="1670"/>
      <c r="B79" s="1684"/>
      <c r="C79" s="1671"/>
      <c r="D79" s="1862"/>
      <c r="E79" s="1557">
        <f t="shared" ref="E79" si="8">IF(D79&lt;=25000,D79,IF(D79&gt;25000,25000,0))</f>
        <v>0</v>
      </c>
      <c r="F79" s="1810">
        <f t="shared" ref="F79" si="9">IF(OR(B79="10-1000-100",B79="10-1000-200",B79="10-1000-300",B79="10-1000-400",B79="10-1000-600",B79="10-1000-800",B79="50-1000-200",B79="10-2100-100",B79="10-2100-200",B79="10-2100-300",B79="10-2100-400",B79="10-2100-600",B79="10-2100-800",B79="20-2100-200",B79="20-2190-100",B79="20-2190-200",B79="20-2190-300",B79="20-2190-400",B79="20-2190-600",B79="20-2190-800",B79="40-2190-100",B79="40-2190-200",B79="40-2190-300",B79="40-2190-400",B79="40-2190-600",B79="40-2190-800",B79="50-2190-200",B79="10-2200-100",B79="10-2200-200",B79="10-2200-300",B79="10-2200-400",B79="10-2200-600",B79="10-2200-800",B79="50-2200-200",B79="10-2300-100",B79="10-2300-200",B79="10-2300-300",B79="10-2300-400",B79="10-2300-600",B79="10-2300-800",B79="50-2300-200",B79="80-2300-100",B79="80-2300-200",B79="80-2300-300",B79="80-2300-400",B79="80-2300-600",B79="80-2300-800",B79="10-2400-100",B79="10-2400-200",B79="10-2400-300",B79="10-2400-400",B79="10-2400-600",B79="10-2400-800",B79="50-2400-200",B79="10-2510-100",B79="10-2510-200",B79="10-2510-300",B79="10-2510-400",B79="10-2510-600",B79="10-2510-800",B79="20-2510-100",B79="20-2510-200",B79="20-2510-300",B79="20-2510-400",B79="20-2510-600",B79="20-2510-800",B79="50-2510-200",B79="10-2520-100",B79="10-2520-200",B79="10-2520-300",B79="10-2520-400",B79="10-2520-600",B79="10-2520-800",B79="50-2520-200",B79="10-2540-100",B79="10-2540-200",B79="10-2540-300",B79="10-2540-400",B79="10-2540-600",B79="20-2540-800",B79="20-2540-100",B79="20-2540-200",B79="20-2540-300",B79="20-2540-400",B79="20-2540-600",B79="50-2540-200",B79="90-2540-100",B79="90-2540-200",B79="90-2540-300",B79="90-2540-400",B79="90-2540-600",B79="90-2540-800",B79="90-2540-800",B79="10-2550-100",B79="10-2550-200",B79="10-2550-300",B79="10-2550-400",B79="10-2550-600",B79="10-2550-800",B79="20-2550-100",B79="20-2550-200",B79="20-2550-300",B79="20-2550-400",B79="20-2550-600",B79="20-2550-800",B79="40-2550-100",B79="40-2550-200",B79="40-2550-300",B79="40-2550-400",B79="40-2550-600",B79="40-2550-800",B79="50-2550-200",B79="10-2560-100",B79="10-2560-200",B79="10-2560-300",B79="10-2560-400",B79="10-2560-600",B79="10-2560-800",B79="20-2560-100",B79="20-2560-200",B79="20-2560-300",B79="20-2560-400",B79="20-2560-600",B79="20-2560-800",B79="50-2560-200",B79="10-2570-100",B79="10-2570-200",B79="10-2570-300",B79="10-2570-400",B79="10-2570-600",B79="10-2570-800",B79="50-2570-200",B79="10-2610-100",B79="10-2610-200",B79="10-2610-300",B79="10-2610-400",B79="10-2610-600",B79="10-2610-800",B79="50-2610-200",B79="10-2620-100",B79="10-2620-200",B79="10-2620-300",B79="10-2620-400",B79="10-2620-600",B79="10-2620-800",B79="50-2620-200",B79="10-2630-100",B79="10-2630-200",B79="10-2630-300",B79="10-2630-400",B79="10-2630-600",B79="10-2630-800",B79="50-2630-200",B79="10-2640-100",B79="10-2640-200",B79="10-2640-300",B79="10-2640-400",B79="10-2640-600",B79="10-2640-800",B79="50-2640-200",B79="10-2660-100",B79="10-2660-200",B79="10-2660-300",B79="10-2660-400",B79="10-2660-600",B79="10-2660-800",B79="50-2660-200",B79="10-2900-100",B79="10-2900-200",B79="10-2900-300",B79="10-2900-400",B79="10-2900-600",B79="10-2900-800",B79="20-2900-100",B79="20-2900-200",B79="20-2900-300",B79="20-2900-400",B79="20-2900-600",B79="20-2900-800",B79="40-2900-100",B79="40-2900-200",B79="40-2900-300",B79="40-2900-400",B79="40-2900-600",B79="40-2900-800",B79="50-2900-200",B79="60-2900-100",B79="60-2900-200",B79="60-2900-300",B79="60-2900-400",B79="60-2900-600",B79="60-2900-800",B79="90-2900-100",B79="90-2900-200",B79="90-2900-300",B79="90-2900-400",B79="90-2900-600",B79="90-2900-800",B79="10-3000-100",B79="10-3000-200",B79="10-3000-300",B79="10-3000-400",B79="10-3000-600",B79="10-3000-800",B79="20-3000-100",B79="20-3000-200",B79="20-3000-300",B79="20-3000-400",B79="20-3000-600",B79="20-3000-800",B79="40-3000-100",B79="40-3000-200",B79="40-3000-300",B79="40-3000-400",B79="40-3000-600",B79="40-3000-800",B79="50-3000-200"),E79,0)</f>
        <v>0</v>
      </c>
      <c r="G79" s="1811">
        <f t="shared" ref="G79" si="10">IF(F79=0,0,D79-F79)</f>
        <v>0</v>
      </c>
    </row>
    <row r="80" spans="1:7" hidden="1" x14ac:dyDescent="0.25">
      <c r="A80" s="1670"/>
      <c r="B80" s="1684"/>
      <c r="C80" s="1671"/>
      <c r="D80" s="1862"/>
      <c r="E80" s="1557">
        <f t="shared" si="2"/>
        <v>0</v>
      </c>
      <c r="F80" s="1810">
        <f t="shared" si="3"/>
        <v>0</v>
      </c>
      <c r="G80" s="1811">
        <f t="shared" si="4"/>
        <v>0</v>
      </c>
    </row>
    <row r="81" spans="1:7" hidden="1" x14ac:dyDescent="0.25">
      <c r="A81" s="1670"/>
      <c r="B81" s="1684"/>
      <c r="C81" s="1671"/>
      <c r="D81" s="1862"/>
      <c r="E81" s="1557">
        <f t="shared" ref="E81:E84" si="11">IF(D81&lt;=25000,D81,IF(D81&gt;25000,25000,0))</f>
        <v>0</v>
      </c>
      <c r="F81" s="1810">
        <f t="shared" ref="F81:F84" si="12">IF(OR(B81="10-1000-100",B81="10-1000-200",B81="10-1000-300",B81="10-1000-400",B81="10-1000-600",B81="10-1000-800",B81="50-1000-200",B81="10-2100-100",B81="10-2100-200",B81="10-2100-300",B81="10-2100-400",B81="10-2100-600",B81="10-2100-800",B81="20-2100-200",B81="20-2190-100",B81="20-2190-200",B81="20-2190-300",B81="20-2190-400",B81="20-2190-600",B81="20-2190-800",B81="40-2190-100",B81="40-2190-200",B81="40-2190-300",B81="40-2190-400",B81="40-2190-600",B81="40-2190-800",B81="50-2190-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20-2540-800",B81="20-2540-100",B81="20-2540-200",B81="20-2540-300",B81="20-2540-400",B81="20-2540-600",B81="50-2540-200",B81="90-2540-100",B81="90-2540-200",B81="90-2540-300",B81="90-2540-400",B81="90-2540-600",B81="90-2540-800",B81="90-2540-800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20-2560-100",B81="20-2560-200",B81="20-2560-300",B81="20-2560-400",B81="20-2560-600",B81="20-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60-2900-100",B81="60-2900-200",B81="60-2900-300",B81="60-2900-400",B81="60-2900-600",B81="60-2900-800",B81="90-2900-100",B81="90-2900-200",B81="90-2900-300",B81="90-2900-400",B81="90-2900-600",B81="90-2900-800",B81="10-3000-100",B81="10-3000-200",B81="10-3000-300",B81="10-3000-400",B81="10-3000-600",B81="10-3000-800",B81="20-3000-100",B81="20-3000-200",B81="20-3000-300",B81="20-3000-400",B81="20-3000-600",B81="20-3000-800",B81="40-3000-100",B81="40-3000-200",B81="40-3000-300",B81="40-3000-400",B81="40-3000-600",B81="40-3000-800",B81="50-3000-200"),E81,0)</f>
        <v>0</v>
      </c>
      <c r="G81" s="1811">
        <f t="shared" ref="G81:G84" si="13">IF(F81=0,0,D81-F81)</f>
        <v>0</v>
      </c>
    </row>
    <row r="82" spans="1:7" hidden="1" x14ac:dyDescent="0.25">
      <c r="A82" s="1670"/>
      <c r="B82" s="1684"/>
      <c r="C82" s="1671"/>
      <c r="D82" s="1862"/>
      <c r="E82" s="1557">
        <f t="shared" si="11"/>
        <v>0</v>
      </c>
      <c r="F82" s="1810">
        <f t="shared" si="12"/>
        <v>0</v>
      </c>
      <c r="G82" s="1811">
        <f t="shared" si="13"/>
        <v>0</v>
      </c>
    </row>
    <row r="83" spans="1:7" hidden="1" x14ac:dyDescent="0.25">
      <c r="A83" s="1670"/>
      <c r="B83" s="1684"/>
      <c r="C83" s="1671"/>
      <c r="D83" s="1862"/>
      <c r="E83" s="1557">
        <f t="shared" si="11"/>
        <v>0</v>
      </c>
      <c r="F83" s="1810">
        <f t="shared" si="12"/>
        <v>0</v>
      </c>
      <c r="G83" s="1811">
        <f t="shared" si="13"/>
        <v>0</v>
      </c>
    </row>
    <row r="84" spans="1:7" hidden="1" x14ac:dyDescent="0.25">
      <c r="A84" s="1670"/>
      <c r="B84" s="1684"/>
      <c r="C84" s="1671"/>
      <c r="D84" s="1862"/>
      <c r="E84" s="1557">
        <f t="shared" si="11"/>
        <v>0</v>
      </c>
      <c r="F84" s="1810">
        <f t="shared" si="12"/>
        <v>0</v>
      </c>
      <c r="G84" s="1811">
        <f t="shared" si="13"/>
        <v>0</v>
      </c>
    </row>
    <row r="85" spans="1:7" hidden="1" x14ac:dyDescent="0.25">
      <c r="A85" s="1670"/>
      <c r="B85" s="1684"/>
      <c r="C85" s="1671"/>
      <c r="D85" s="1862"/>
      <c r="E85" s="1557">
        <f t="shared" ref="E85" si="14">IF(D85&lt;=25000,D85,IF(D85&gt;25000,25000,0))</f>
        <v>0</v>
      </c>
      <c r="F85" s="1810">
        <f t="shared" ref="F85" si="15">IF(OR(B85="10-1000-100",B85="10-1000-200",B85="10-1000-300",B85="10-1000-400",B85="10-1000-600",B85="10-1000-800",B85="50-1000-200",B85="10-2100-100",B85="10-2100-200",B85="10-2100-300",B85="10-2100-400",B85="10-2100-600",B85="10-2100-800",B85="20-2100-200",B85="20-2190-100",B85="20-2190-200",B85="20-2190-300",B85="20-2190-400",B85="20-2190-600",B85="20-2190-800",B85="40-2190-100",B85="40-2190-200",B85="40-2190-300",B85="40-2190-400",B85="40-2190-600",B85="40-2190-800",B85="50-2190-200",B85="10-2200-100",B85="10-2200-200",B85="10-2200-300",B85="10-2200-400",B85="10-2200-600",B85="10-2200-800",B85="50-2200-200",B85="10-2300-100",B85="10-2300-200",B85="10-2300-300",B85="10-2300-400",B85="10-2300-600",B85="10-2300-800",B85="50-2300-200",B85="80-2300-100",B85="80-2300-200",B85="80-2300-300",B85="80-2300-400",B85="80-2300-600",B85="80-2300-800",B85="10-2400-100",B85="10-2400-200",B85="10-2400-300",B85="10-2400-400",B85="10-2400-600",B85="10-2400-800",B85="50-2400-200",B85="10-2510-100",B85="10-2510-200",B85="10-2510-300",B85="10-2510-400",B85="10-2510-600",B85="10-2510-800",B85="20-2510-100",B85="20-2510-200",B85="20-2510-300",B85="20-2510-400",B85="20-2510-600",B85="20-2510-800",B85="50-2510-200",B85="10-2520-100",B85="10-2520-200",B85="10-2520-300",B85="10-2520-400",B85="10-2520-600",B85="10-2520-800",B85="50-2520-200",B85="10-2540-100",B85="10-2540-200",B85="10-2540-300",B85="10-2540-400",B85="10-2540-600",B85="20-2540-800",B85="20-2540-100",B85="20-2540-200",B85="20-2540-300",B85="20-2540-400",B85="20-2540-600",B85="50-2540-200",B85="90-2540-100",B85="90-2540-200",B85="90-2540-300",B85="90-2540-400",B85="90-2540-600",B85="90-2540-800",B85="90-2540-800",B85="10-2550-100",B85="10-2550-200",B85="10-2550-300",B85="10-2550-400",B85="10-2550-600",B85="10-2550-800",B85="20-2550-100",B85="20-2550-200",B85="20-2550-300",B85="20-2550-400",B85="20-2550-600",B85="20-2550-800",B85="40-2550-100",B85="40-2550-200",B85="40-2550-300",B85="40-2550-400",B85="40-2550-600",B85="40-2550-800",B85="50-2550-200",B85="10-2560-100",B85="10-2560-200",B85="10-2560-300",B85="10-2560-400",B85="10-2560-600",B85="10-2560-800",B85="20-2560-100",B85="20-2560-200",B85="20-2560-300",B85="20-2560-400",B85="20-2560-600",B85="20-2560-800",B85="50-2560-200",B85="10-2570-100",B85="10-2570-200",B85="10-2570-300",B85="10-2570-400",B85="10-2570-600",B85="10-2570-800",B85="50-2570-200",B85="10-2610-100",B85="10-2610-200",B85="10-2610-300",B85="10-2610-400",B85="10-2610-600",B85="10-2610-800",B85="50-2610-200",B85="10-2620-100",B85="10-2620-200",B85="10-2620-300",B85="10-2620-400",B85="10-2620-600",B85="10-2620-800",B85="50-2620-200",B85="10-2630-100",B85="10-2630-200",B85="10-2630-300",B85="10-2630-400",B85="10-2630-600",B85="10-2630-800",B85="50-2630-200",B85="10-2640-100",B85="10-2640-200",B85="10-2640-300",B85="10-2640-400",B85="10-2640-600",B85="10-2640-800",B85="50-2640-200",B85="10-2660-100",B85="10-2660-200",B85="10-2660-300",B85="10-2660-400",B85="10-2660-600",B85="10-2660-800",B85="50-2660-200",B85="10-2900-100",B85="10-2900-200",B85="10-2900-300",B85="10-2900-400",B85="10-2900-600",B85="10-2900-800",B85="20-2900-100",B85="20-2900-200",B85="20-2900-300",B85="20-2900-400",B85="20-2900-600",B85="20-2900-800",B85="40-2900-100",B85="40-2900-200",B85="40-2900-300",B85="40-2900-400",B85="40-2900-600",B85="40-2900-800",B85="50-2900-200",B85="60-2900-100",B85="60-2900-200",B85="60-2900-300",B85="60-2900-400",B85="60-2900-600",B85="60-2900-800",B85="90-2900-100",B85="90-2900-200",B85="90-2900-300",B85="90-2900-400",B85="90-2900-600",B85="90-2900-800",B85="10-3000-100",B85="10-3000-200",B85="10-3000-300",B85="10-3000-400",B85="10-3000-600",B85="10-3000-800",B85="20-3000-100",B85="20-3000-200",B85="20-3000-300",B85="20-3000-400",B85="20-3000-600",B85="20-3000-800",B85="40-3000-100",B85="40-3000-200",B85="40-3000-300",B85="40-3000-400",B85="40-3000-600",B85="40-3000-800",B85="50-3000-200"),E85,0)</f>
        <v>0</v>
      </c>
      <c r="G85" s="1811">
        <f t="shared" ref="G85" si="16">IF(F85=0,0,D85-F85)</f>
        <v>0</v>
      </c>
    </row>
    <row r="86" spans="1:7" hidden="1" x14ac:dyDescent="0.25">
      <c r="A86" s="1670"/>
      <c r="B86" s="1684"/>
      <c r="C86" s="1671"/>
      <c r="D86" s="1862"/>
      <c r="E86" s="1557">
        <f t="shared" ref="E86:E98" si="17">IF(D86&lt;=25000,D86,IF(D86&gt;25000,25000,0))</f>
        <v>0</v>
      </c>
      <c r="F86" s="1810">
        <f t="shared" ref="F86:F98" si="18">IF(OR(B86="10-1000-100",B86="10-1000-200",B86="10-1000-300",B86="10-1000-400",B86="10-1000-600",B86="10-1000-800",B86="50-1000-200",B86="10-2100-100",B86="10-2100-200",B86="10-2100-300",B86="10-2100-400",B86="10-2100-600",B86="10-2100-800",B86="20-2100-200",B86="20-2190-100",B86="20-2190-200",B86="20-2190-300",B86="20-2190-400",B86="20-2190-600",B86="20-2190-800",B86="40-2190-100",B86="40-2190-200",B86="40-2190-300",B86="40-2190-400",B86="40-2190-600",B86="40-2190-800",B86="50-2190-200",B86="10-2200-100",B86="10-2200-200",B86="10-2200-300",B86="10-2200-400",B86="10-2200-600",B86="10-2200-800",B86="50-2200-200",B86="10-2300-100",B86="10-2300-200",B86="10-2300-300",B86="10-2300-400",B86="10-2300-600",B86="10-2300-800",B86="50-2300-200",B86="80-2300-100",B86="80-2300-200",B86="80-2300-300",B86="80-2300-400",B86="80-2300-600",B86="80-2300-800",B86="10-2400-100",B86="10-2400-200",B86="10-2400-300",B86="10-2400-400",B86="10-2400-600",B86="10-2400-800",B86="50-2400-200",B86="10-2510-100",B86="10-2510-200",B86="10-2510-300",B86="10-2510-400",B86="10-2510-600",B86="10-2510-800",B86="20-2510-100",B86="20-2510-200",B86="20-2510-300",B86="20-2510-400",B86="20-2510-600",B86="20-2510-800",B86="50-2510-200",B86="10-2520-100",B86="10-2520-200",B86="10-2520-300",B86="10-2520-400",B86="10-2520-600",B86="10-2520-800",B86="50-2520-200",B86="10-2540-100",B86="10-2540-200",B86="10-2540-300",B86="10-2540-400",B86="10-2540-600",B86="20-2540-800",B86="20-2540-100",B86="20-2540-200",B86="20-2540-300",B86="20-2540-400",B86="20-2540-600",B86="50-2540-200",B86="90-2540-100",B86="90-2540-200",B86="90-2540-300",B86="90-2540-400",B86="90-2540-600",B86="90-2540-800",B86="90-2540-800",B86="10-2550-100",B86="10-2550-200",B86="10-2550-300",B86="10-2550-400",B86="10-2550-600",B86="10-2550-800",B86="20-2550-100",B86="20-2550-200",B86="20-2550-300",B86="20-2550-400",B86="20-2550-600",B86="20-2550-800",B86="40-2550-100",B86="40-2550-200",B86="40-2550-300",B86="40-2550-400",B86="40-2550-600",B86="40-2550-800",B86="50-2550-200",B86="10-2560-100",B86="10-2560-200",B86="10-2560-300",B86="10-2560-400",B86="10-2560-600",B86="10-2560-800",B86="20-2560-100",B86="20-2560-200",B86="20-2560-300",B86="20-2560-400",B86="20-2560-600",B86="20-2560-800",B86="50-2560-200",B86="10-2570-100",B86="10-2570-200",B86="10-2570-300",B86="10-2570-400",B86="10-2570-600",B86="10-2570-800",B86="50-2570-200",B86="10-2610-100",B86="10-2610-200",B86="10-2610-300",B86="10-2610-400",B86="10-2610-600",B86="10-2610-800",B86="50-2610-200",B86="10-2620-100",B86="10-2620-200",B86="10-2620-300",B86="10-2620-400",B86="10-2620-600",B86="10-2620-800",B86="50-2620-200",B86="10-2630-100",B86="10-2630-200",B86="10-2630-300",B86="10-2630-400",B86="10-2630-600",B86="10-2630-800",B86="50-2630-200",B86="10-2640-100",B86="10-2640-200",B86="10-2640-300",B86="10-2640-400",B86="10-2640-600",B86="10-2640-800",B86="50-2640-200",B86="10-2660-100",B86="10-2660-200",B86="10-2660-300",B86="10-2660-400",B86="10-2660-600",B86="10-2660-800",B86="50-2660-200",B86="10-2900-100",B86="10-2900-200",B86="10-2900-300",B86="10-2900-400",B86="10-2900-600",B86="10-2900-800",B86="20-2900-100",B86="20-2900-200",B86="20-2900-300",B86="20-2900-400",B86="20-2900-600",B86="20-2900-800",B86="40-2900-100",B86="40-2900-200",B86="40-2900-300",B86="40-2900-400",B86="40-2900-600",B86="40-2900-800",B86="50-2900-200",B86="60-2900-100",B86="60-2900-200",B86="60-2900-300",B86="60-2900-400",B86="60-2900-600",B86="60-2900-800",B86="90-2900-100",B86="90-2900-200",B86="90-2900-300",B86="90-2900-400",B86="90-2900-600",B86="90-2900-800",B86="10-3000-100",B86="10-3000-200",B86="10-3000-300",B86="10-3000-400",B86="10-3000-600",B86="10-3000-800",B86="20-3000-100",B86="20-3000-200",B86="20-3000-300",B86="20-3000-400",B86="20-3000-600",B86="20-3000-800",B86="40-3000-100",B86="40-3000-200",B86="40-3000-300",B86="40-3000-400",B86="40-3000-600",B86="40-3000-800",B86="50-3000-200"),E86,0)</f>
        <v>0</v>
      </c>
      <c r="G86" s="1811">
        <f t="shared" ref="G86:G98" si="19">IF(F86=0,0,D86-F86)</f>
        <v>0</v>
      </c>
    </row>
    <row r="87" spans="1:7" hidden="1" x14ac:dyDescent="0.25">
      <c r="A87" s="1670"/>
      <c r="B87" s="1684"/>
      <c r="C87" s="1671"/>
      <c r="D87" s="1862"/>
      <c r="E87" s="1557">
        <f t="shared" si="17"/>
        <v>0</v>
      </c>
      <c r="F87" s="1810">
        <f t="shared" si="18"/>
        <v>0</v>
      </c>
      <c r="G87" s="1811">
        <f t="shared" si="19"/>
        <v>0</v>
      </c>
    </row>
    <row r="88" spans="1:7" hidden="1" x14ac:dyDescent="0.25">
      <c r="A88" s="1670"/>
      <c r="B88" s="1684"/>
      <c r="C88" s="1671"/>
      <c r="D88" s="1862"/>
      <c r="E88" s="1557">
        <f t="shared" si="17"/>
        <v>0</v>
      </c>
      <c r="F88" s="1810">
        <f t="shared" si="18"/>
        <v>0</v>
      </c>
      <c r="G88" s="1811">
        <f t="shared" si="19"/>
        <v>0</v>
      </c>
    </row>
    <row r="89" spans="1:7" hidden="1" x14ac:dyDescent="0.25">
      <c r="A89" s="1670"/>
      <c r="B89" s="1684"/>
      <c r="C89" s="1671"/>
      <c r="D89" s="1862"/>
      <c r="E89" s="1557">
        <f t="shared" si="17"/>
        <v>0</v>
      </c>
      <c r="F89" s="1810">
        <f t="shared" si="18"/>
        <v>0</v>
      </c>
      <c r="G89" s="1811">
        <f t="shared" si="19"/>
        <v>0</v>
      </c>
    </row>
    <row r="90" spans="1:7" hidden="1" x14ac:dyDescent="0.25">
      <c r="A90" s="1670"/>
      <c r="B90" s="1684"/>
      <c r="C90" s="1671"/>
      <c r="D90" s="1862"/>
      <c r="E90" s="1557">
        <f t="shared" si="17"/>
        <v>0</v>
      </c>
      <c r="F90" s="1810">
        <f t="shared" si="18"/>
        <v>0</v>
      </c>
      <c r="G90" s="1811">
        <f t="shared" si="19"/>
        <v>0</v>
      </c>
    </row>
    <row r="91" spans="1:7" hidden="1" x14ac:dyDescent="0.25">
      <c r="A91" s="1670"/>
      <c r="B91" s="1684"/>
      <c r="C91" s="1671"/>
      <c r="D91" s="1862"/>
      <c r="E91" s="1557">
        <f t="shared" si="17"/>
        <v>0</v>
      </c>
      <c r="F91" s="1810">
        <f t="shared" si="18"/>
        <v>0</v>
      </c>
      <c r="G91" s="1811">
        <f t="shared" si="19"/>
        <v>0</v>
      </c>
    </row>
    <row r="92" spans="1:7" hidden="1" x14ac:dyDescent="0.25">
      <c r="A92" s="1670"/>
      <c r="B92" s="1684"/>
      <c r="C92" s="1671"/>
      <c r="D92" s="1862"/>
      <c r="E92" s="1557">
        <f t="shared" si="17"/>
        <v>0</v>
      </c>
      <c r="F92" s="1810">
        <f t="shared" si="18"/>
        <v>0</v>
      </c>
      <c r="G92" s="1811">
        <f t="shared" si="19"/>
        <v>0</v>
      </c>
    </row>
    <row r="93" spans="1:7" hidden="1" x14ac:dyDescent="0.25">
      <c r="A93" s="1670"/>
      <c r="B93" s="1684"/>
      <c r="C93" s="1671"/>
      <c r="D93" s="1862"/>
      <c r="E93" s="1557">
        <f t="shared" si="17"/>
        <v>0</v>
      </c>
      <c r="F93" s="1810">
        <f t="shared" si="18"/>
        <v>0</v>
      </c>
      <c r="G93" s="1811">
        <f t="shared" si="19"/>
        <v>0</v>
      </c>
    </row>
    <row r="94" spans="1:7" hidden="1" x14ac:dyDescent="0.25">
      <c r="A94" s="1670"/>
      <c r="B94" s="1684"/>
      <c r="C94" s="1671"/>
      <c r="D94" s="1862"/>
      <c r="E94" s="1557">
        <f t="shared" si="17"/>
        <v>0</v>
      </c>
      <c r="F94" s="1810">
        <f t="shared" si="18"/>
        <v>0</v>
      </c>
      <c r="G94" s="1811">
        <f t="shared" si="19"/>
        <v>0</v>
      </c>
    </row>
    <row r="95" spans="1:7" hidden="1" x14ac:dyDescent="0.25">
      <c r="A95" s="1670"/>
      <c r="B95" s="1684"/>
      <c r="C95" s="1671"/>
      <c r="D95" s="1862"/>
      <c r="E95" s="1557">
        <f t="shared" si="17"/>
        <v>0</v>
      </c>
      <c r="F95" s="1810">
        <f t="shared" si="18"/>
        <v>0</v>
      </c>
      <c r="G95" s="1811">
        <f t="shared" si="19"/>
        <v>0</v>
      </c>
    </row>
    <row r="96" spans="1:7" hidden="1" x14ac:dyDescent="0.25">
      <c r="A96" s="1670"/>
      <c r="B96" s="1684"/>
      <c r="C96" s="1671"/>
      <c r="D96" s="1862"/>
      <c r="E96" s="1557">
        <f t="shared" si="17"/>
        <v>0</v>
      </c>
      <c r="F96" s="1810">
        <f t="shared" si="18"/>
        <v>0</v>
      </c>
      <c r="G96" s="1811">
        <f t="shared" si="19"/>
        <v>0</v>
      </c>
    </row>
    <row r="97" spans="1:7" hidden="1" x14ac:dyDescent="0.25">
      <c r="A97" s="1670"/>
      <c r="B97" s="1684"/>
      <c r="C97" s="1671"/>
      <c r="D97" s="1862"/>
      <c r="E97" s="1557">
        <f t="shared" si="17"/>
        <v>0</v>
      </c>
      <c r="F97" s="1810">
        <f t="shared" si="18"/>
        <v>0</v>
      </c>
      <c r="G97" s="1811">
        <f t="shared" si="19"/>
        <v>0</v>
      </c>
    </row>
    <row r="98" spans="1:7" hidden="1" x14ac:dyDescent="0.25">
      <c r="A98" s="1670"/>
      <c r="B98" s="1684"/>
      <c r="C98" s="1671"/>
      <c r="D98" s="1862"/>
      <c r="E98" s="1557">
        <f t="shared" si="17"/>
        <v>0</v>
      </c>
      <c r="F98" s="1810">
        <f t="shared" si="18"/>
        <v>0</v>
      </c>
      <c r="G98" s="1811">
        <f t="shared" si="19"/>
        <v>0</v>
      </c>
    </row>
    <row r="99" spans="1:7" hidden="1" x14ac:dyDescent="0.25">
      <c r="A99" s="1670"/>
      <c r="B99" s="1684"/>
      <c r="C99" s="1671"/>
      <c r="D99" s="1862"/>
      <c r="E99" s="1557">
        <f t="shared" ref="E99:E111" si="20">IF(D99&lt;=25000,D99,IF(D99&gt;25000,25000,0))</f>
        <v>0</v>
      </c>
      <c r="F99" s="1810">
        <f t="shared" ref="F99:F111" si="21">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G111" si="22">IF(F99=0,0,D99-F99)</f>
        <v>0</v>
      </c>
    </row>
    <row r="100" spans="1:7" hidden="1" x14ac:dyDescent="0.25">
      <c r="A100" s="1670"/>
      <c r="B100" s="1684"/>
      <c r="C100" s="1671"/>
      <c r="D100" s="1862"/>
      <c r="E100" s="1557">
        <f t="shared" si="20"/>
        <v>0</v>
      </c>
      <c r="F100" s="1810">
        <f t="shared" si="21"/>
        <v>0</v>
      </c>
      <c r="G100" s="1811">
        <f t="shared" si="22"/>
        <v>0</v>
      </c>
    </row>
    <row r="101" spans="1:7" hidden="1" x14ac:dyDescent="0.25">
      <c r="A101" s="1670"/>
      <c r="B101" s="1684"/>
      <c r="C101" s="1671"/>
      <c r="D101" s="1862"/>
      <c r="E101" s="1557">
        <f t="shared" si="20"/>
        <v>0</v>
      </c>
      <c r="F101" s="1810">
        <f t="shared" si="21"/>
        <v>0</v>
      </c>
      <c r="G101" s="1811">
        <f t="shared" si="22"/>
        <v>0</v>
      </c>
    </row>
    <row r="102" spans="1:7" hidden="1" x14ac:dyDescent="0.25">
      <c r="A102" s="1670"/>
      <c r="B102" s="1684"/>
      <c r="C102" s="1671"/>
      <c r="D102" s="1862"/>
      <c r="E102" s="1557">
        <f t="shared" si="20"/>
        <v>0</v>
      </c>
      <c r="F102" s="1810">
        <f t="shared" si="21"/>
        <v>0</v>
      </c>
      <c r="G102" s="1811">
        <f t="shared" si="22"/>
        <v>0</v>
      </c>
    </row>
    <row r="103" spans="1:7" hidden="1" x14ac:dyDescent="0.25">
      <c r="A103" s="1670"/>
      <c r="B103" s="1684"/>
      <c r="C103" s="1671"/>
      <c r="D103" s="1862"/>
      <c r="E103" s="1557">
        <f t="shared" si="20"/>
        <v>0</v>
      </c>
      <c r="F103" s="1810">
        <f t="shared" si="21"/>
        <v>0</v>
      </c>
      <c r="G103" s="1811">
        <f t="shared" si="22"/>
        <v>0</v>
      </c>
    </row>
    <row r="104" spans="1:7" hidden="1" x14ac:dyDescent="0.25">
      <c r="A104" s="1670"/>
      <c r="B104" s="1684"/>
      <c r="C104" s="1671"/>
      <c r="D104" s="1862"/>
      <c r="E104" s="1557">
        <f t="shared" si="20"/>
        <v>0</v>
      </c>
      <c r="F104" s="1810">
        <f t="shared" si="21"/>
        <v>0</v>
      </c>
      <c r="G104" s="1811">
        <f t="shared" si="22"/>
        <v>0</v>
      </c>
    </row>
    <row r="105" spans="1:7" hidden="1" x14ac:dyDescent="0.25">
      <c r="A105" s="1670"/>
      <c r="B105" s="1684"/>
      <c r="C105" s="1671"/>
      <c r="D105" s="1862"/>
      <c r="E105" s="1557">
        <f t="shared" si="20"/>
        <v>0</v>
      </c>
      <c r="F105" s="1810">
        <f t="shared" si="21"/>
        <v>0</v>
      </c>
      <c r="G105" s="1811">
        <f t="shared" si="22"/>
        <v>0</v>
      </c>
    </row>
    <row r="106" spans="1:7" hidden="1" x14ac:dyDescent="0.25">
      <c r="A106" s="1670"/>
      <c r="B106" s="1684"/>
      <c r="C106" s="1671"/>
      <c r="D106" s="1862"/>
      <c r="E106" s="1557">
        <f t="shared" si="20"/>
        <v>0</v>
      </c>
      <c r="F106" s="1810">
        <f t="shared" si="21"/>
        <v>0</v>
      </c>
      <c r="G106" s="1811">
        <f t="shared" si="22"/>
        <v>0</v>
      </c>
    </row>
    <row r="107" spans="1:7" hidden="1" x14ac:dyDescent="0.25">
      <c r="A107" s="1670"/>
      <c r="B107" s="1684"/>
      <c r="C107" s="1671"/>
      <c r="D107" s="1862"/>
      <c r="E107" s="1557">
        <f t="shared" si="20"/>
        <v>0</v>
      </c>
      <c r="F107" s="1810">
        <f t="shared" si="21"/>
        <v>0</v>
      </c>
      <c r="G107" s="1811">
        <f t="shared" si="22"/>
        <v>0</v>
      </c>
    </row>
    <row r="108" spans="1:7" hidden="1" x14ac:dyDescent="0.25">
      <c r="A108" s="1670"/>
      <c r="B108" s="1684"/>
      <c r="C108" s="1671"/>
      <c r="D108" s="1862"/>
      <c r="E108" s="1557">
        <f t="shared" si="20"/>
        <v>0</v>
      </c>
      <c r="F108" s="1810">
        <f t="shared" si="21"/>
        <v>0</v>
      </c>
      <c r="G108" s="1811">
        <f t="shared" si="22"/>
        <v>0</v>
      </c>
    </row>
    <row r="109" spans="1:7" hidden="1" x14ac:dyDescent="0.25">
      <c r="A109" s="1670"/>
      <c r="B109" s="1684"/>
      <c r="C109" s="1671"/>
      <c r="D109" s="1862"/>
      <c r="E109" s="1557">
        <f t="shared" si="20"/>
        <v>0</v>
      </c>
      <c r="F109" s="1810">
        <f t="shared" si="21"/>
        <v>0</v>
      </c>
      <c r="G109" s="1811">
        <f t="shared" si="22"/>
        <v>0</v>
      </c>
    </row>
    <row r="110" spans="1:7" hidden="1" x14ac:dyDescent="0.25">
      <c r="A110" s="1670"/>
      <c r="B110" s="1684"/>
      <c r="C110" s="1671"/>
      <c r="D110" s="1862"/>
      <c r="E110" s="1557">
        <f t="shared" si="20"/>
        <v>0</v>
      </c>
      <c r="F110" s="1810">
        <f t="shared" si="21"/>
        <v>0</v>
      </c>
      <c r="G110" s="1811">
        <f t="shared" si="22"/>
        <v>0</v>
      </c>
    </row>
    <row r="111" spans="1:7" hidden="1" x14ac:dyDescent="0.25">
      <c r="A111" s="1670"/>
      <c r="B111" s="1684"/>
      <c r="C111" s="1671"/>
      <c r="D111" s="1862"/>
      <c r="E111" s="1557">
        <f t="shared" si="20"/>
        <v>0</v>
      </c>
      <c r="F111" s="1810">
        <f t="shared" si="21"/>
        <v>0</v>
      </c>
      <c r="G111" s="1811">
        <f t="shared" si="22"/>
        <v>0</v>
      </c>
    </row>
    <row r="112" spans="1:7" hidden="1" x14ac:dyDescent="0.25">
      <c r="A112" s="1670"/>
      <c r="B112" s="1684"/>
      <c r="C112" s="1671"/>
      <c r="D112" s="1862"/>
      <c r="E112" s="1557">
        <f t="shared" ref="E112:E120" si="23">IF(D112&lt;=25000,D112,IF(D112&gt;25000,25000,0))</f>
        <v>0</v>
      </c>
      <c r="F112" s="1810">
        <f t="shared" ref="F112:F120" si="24">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811">
        <f t="shared" ref="G112:G120" si="25">IF(F112=0,0,D112-F112)</f>
        <v>0</v>
      </c>
    </row>
    <row r="113" spans="1:7" hidden="1" x14ac:dyDescent="0.25">
      <c r="A113" s="1670"/>
      <c r="B113" s="1684"/>
      <c r="C113" s="1671"/>
      <c r="D113" s="1862"/>
      <c r="E113" s="1557">
        <f t="shared" si="23"/>
        <v>0</v>
      </c>
      <c r="F113" s="1810">
        <f t="shared" si="24"/>
        <v>0</v>
      </c>
      <c r="G113" s="1811">
        <f t="shared" si="25"/>
        <v>0</v>
      </c>
    </row>
    <row r="114" spans="1:7" hidden="1" x14ac:dyDescent="0.25">
      <c r="A114" s="1670"/>
      <c r="B114" s="1684"/>
      <c r="C114" s="1671"/>
      <c r="D114" s="1862"/>
      <c r="E114" s="1557">
        <f t="shared" si="23"/>
        <v>0</v>
      </c>
      <c r="F114" s="1810">
        <f t="shared" si="24"/>
        <v>0</v>
      </c>
      <c r="G114" s="1811">
        <f t="shared" si="25"/>
        <v>0</v>
      </c>
    </row>
    <row r="115" spans="1:7" hidden="1" x14ac:dyDescent="0.25">
      <c r="A115" s="1670"/>
      <c r="B115" s="1684"/>
      <c r="C115" s="1671"/>
      <c r="D115" s="1862"/>
      <c r="E115" s="1557">
        <f t="shared" si="23"/>
        <v>0</v>
      </c>
      <c r="F115" s="1810">
        <f t="shared" si="24"/>
        <v>0</v>
      </c>
      <c r="G115" s="1811">
        <f t="shared" si="25"/>
        <v>0</v>
      </c>
    </row>
    <row r="116" spans="1:7" hidden="1" x14ac:dyDescent="0.25">
      <c r="A116" s="1670"/>
      <c r="B116" s="1684"/>
      <c r="C116" s="1671"/>
      <c r="D116" s="1862"/>
      <c r="E116" s="1557">
        <f t="shared" si="23"/>
        <v>0</v>
      </c>
      <c r="F116" s="1810">
        <f t="shared" si="24"/>
        <v>0</v>
      </c>
      <c r="G116" s="1811">
        <f t="shared" si="25"/>
        <v>0</v>
      </c>
    </row>
    <row r="117" spans="1:7" hidden="1" x14ac:dyDescent="0.25">
      <c r="A117" s="1670"/>
      <c r="B117" s="1855"/>
      <c r="C117" s="1671"/>
      <c r="D117" s="1862"/>
      <c r="E117" s="1557">
        <f t="shared" si="23"/>
        <v>0</v>
      </c>
      <c r="F117" s="1810">
        <f t="shared" si="24"/>
        <v>0</v>
      </c>
      <c r="G117" s="1811">
        <f t="shared" si="25"/>
        <v>0</v>
      </c>
    </row>
    <row r="118" spans="1:7" hidden="1" x14ac:dyDescent="0.25">
      <c r="A118" s="1670"/>
      <c r="B118" s="1855"/>
      <c r="C118" s="1671"/>
      <c r="D118" s="1862"/>
      <c r="E118" s="1557">
        <f t="shared" si="23"/>
        <v>0</v>
      </c>
      <c r="F118" s="1810">
        <f t="shared" si="24"/>
        <v>0</v>
      </c>
      <c r="G118" s="1811">
        <f t="shared" si="25"/>
        <v>0</v>
      </c>
    </row>
    <row r="119" spans="1:7" hidden="1" x14ac:dyDescent="0.25">
      <c r="A119" s="1670"/>
      <c r="B119" s="1684"/>
      <c r="C119" s="1671"/>
      <c r="D119" s="1862"/>
      <c r="E119" s="1557">
        <f t="shared" si="23"/>
        <v>0</v>
      </c>
      <c r="F119" s="1810">
        <f t="shared" si="24"/>
        <v>0</v>
      </c>
      <c r="G119" s="1811">
        <f t="shared" si="25"/>
        <v>0</v>
      </c>
    </row>
    <row r="120" spans="1:7" hidden="1" x14ac:dyDescent="0.25">
      <c r="A120" s="1670"/>
      <c r="B120" s="1684"/>
      <c r="C120" s="1671"/>
      <c r="D120" s="1862"/>
      <c r="E120" s="1557">
        <f t="shared" si="23"/>
        <v>0</v>
      </c>
      <c r="F120" s="1810">
        <f t="shared" si="24"/>
        <v>0</v>
      </c>
      <c r="G120" s="1811">
        <f t="shared" si="25"/>
        <v>0</v>
      </c>
    </row>
    <row r="121" spans="1:7" hidden="1" x14ac:dyDescent="0.25">
      <c r="A121" s="1670"/>
      <c r="B121" s="1684"/>
      <c r="C121" s="1671"/>
      <c r="D121" s="1862"/>
      <c r="E121" s="1557">
        <f t="shared" ref="E121:E125" si="26">IF(D121&lt;=25000,D121,IF(D121&gt;25000,25000,0))</f>
        <v>0</v>
      </c>
      <c r="F121" s="1810">
        <f t="shared" ref="F121:F125" si="27">IF(OR(B121="10-1000-100",B121="10-1000-200",B121="10-1000-300",B121="10-1000-400",B121="10-1000-600",B121="10-1000-800",B121="50-1000-200",B121="10-2100-100",B121="10-2100-200",B121="10-2100-300",B121="10-2100-400",B121="10-2100-600",B121="10-2100-800",B121="20-2100-200",B121="20-2190-100",B121="20-2190-200",B121="20-2190-300",B121="20-2190-400",B121="20-2190-600",B121="20-2190-800",B121="40-2190-100",B121="40-2190-200",B121="40-2190-300",B121="40-2190-400",B121="40-2190-600",B121="40-2190-800",B121="50-2190-200",B121="10-2200-100",B121="10-2200-200",B121="10-2200-300",B121="10-2200-400",B121="10-2200-600",B121="10-2200-800",B121="50-2200-200",B121="10-2300-100",B121="10-2300-200",B121="10-2300-300",B121="10-2300-400",B121="10-2300-600",B121="10-2300-800",B121="50-2300-200",B121="80-2300-100",B121="80-2300-200",B121="80-2300-300",B121="80-2300-400",B121="80-2300-600",B121="80-2300-800",B121="10-2400-100",B121="10-2400-200",B121="10-2400-300",B121="10-2400-400",B121="10-2400-600",B121="10-2400-800",B121="50-2400-200",B121="10-2510-100",B121="10-2510-200",B121="10-2510-300",B121="10-2510-400",B121="10-2510-600",B121="10-2510-800",B121="20-2510-100",B121="20-2510-200",B121="20-2510-300",B121="20-2510-400",B121="20-2510-600",B121="20-2510-800",B121="50-2510-200",B121="10-2520-100",B121="10-2520-200",B121="10-2520-300",B121="10-2520-400",B121="10-2520-600",B121="10-2520-800",B121="50-2520-200",B121="10-2540-100",B121="10-2540-200",B121="10-2540-300",B121="10-2540-400",B121="10-2540-600",B121="20-2540-800",B121="20-2540-100",B121="20-2540-200",B121="20-2540-300",B121="20-2540-400",B121="20-2540-600",B121="50-2540-200",B121="90-2540-100",B121="90-2540-200",B121="90-2540-300",B121="90-2540-400",B121="90-2540-600",B121="90-2540-800",B121="90-2540-800",B121="10-2550-100",B121="10-2550-200",B121="10-2550-300",B121="10-2550-400",B121="10-2550-600",B121="10-2550-800",B121="20-2550-100",B121="20-2550-200",B121="20-2550-300",B121="20-2550-400",B121="20-2550-600",B121="20-2550-800",B121="40-2550-100",B121="40-2550-200",B121="40-2550-300",B121="40-2550-400",B121="40-2550-600",B121="40-2550-800",B121="50-2550-200",B121="10-2560-100",B121="10-2560-200",B121="10-2560-300",B121="10-2560-400",B121="10-2560-600",B121="10-2560-800",B121="20-2560-100",B121="20-2560-200",B121="20-2560-300",B121="20-2560-400",B121="20-2560-600",B121="20-2560-800",B121="50-2560-200",B121="10-2570-100",B121="10-2570-200",B121="10-2570-300",B121="10-2570-400",B121="10-2570-600",B121="10-2570-800",B121="50-2570-200",B121="10-2610-100",B121="10-2610-200",B121="10-2610-300",B121="10-2610-400",B121="10-2610-600",B121="10-2610-800",B121="50-2610-200",B121="10-2620-100",B121="10-2620-200",B121="10-2620-300",B121="10-2620-400",B121="10-2620-600",B121="10-2620-800",B121="50-2620-200",B121="10-2630-100",B121="10-2630-200",B121="10-2630-300",B121="10-2630-400",B121="10-2630-600",B121="10-2630-800",B121="50-2630-200",B121="10-2640-100",B121="10-2640-200",B121="10-2640-300",B121="10-2640-400",B121="10-2640-600",B121="10-2640-800",B121="50-2640-200",B121="10-2660-100",B121="10-2660-200",B121="10-2660-300",B121="10-2660-400",B121="10-2660-600",B121="10-2660-800",B121="50-2660-200",B121="10-2900-100",B121="10-2900-200",B121="10-2900-300",B121="10-2900-400",B121="10-2900-600",B121="10-2900-800",B121="20-2900-100",B121="20-2900-200",B121="20-2900-300",B121="20-2900-400",B121="20-2900-600",B121="20-2900-800",B121="40-2900-100",B121="40-2900-200",B121="40-2900-300",B121="40-2900-400",B121="40-2900-600",B121="40-2900-800",B121="50-2900-200",B121="60-2900-100",B121="60-2900-200",B121="60-2900-300",B121="60-2900-400",B121="60-2900-600",B121="60-2900-800",B121="90-2900-100",B121="90-2900-200",B121="90-2900-300",B121="90-2900-400",B121="90-2900-600",B121="90-2900-800",B121="10-3000-100",B121="10-3000-200",B121="10-3000-300",B121="10-3000-400",B121="10-3000-600",B121="10-3000-800",B121="20-3000-100",B121="20-3000-200",B121="20-3000-300",B121="20-3000-400",B121="20-3000-600",B121="20-3000-800",B121="40-3000-100",B121="40-3000-200",B121="40-3000-300",B121="40-3000-400",B121="40-3000-600",B121="40-3000-800",B121="50-3000-200"),E121,0)</f>
        <v>0</v>
      </c>
      <c r="G121" s="1811">
        <f t="shared" ref="G121:G125" si="28">IF(F121=0,0,D121-F121)</f>
        <v>0</v>
      </c>
    </row>
    <row r="122" spans="1:7" hidden="1" x14ac:dyDescent="0.25">
      <c r="A122" s="1670"/>
      <c r="B122" s="1684"/>
      <c r="C122" s="1671"/>
      <c r="D122" s="1862"/>
      <c r="E122" s="1557">
        <f t="shared" si="26"/>
        <v>0</v>
      </c>
      <c r="F122" s="1810">
        <f t="shared" si="27"/>
        <v>0</v>
      </c>
      <c r="G122" s="1811">
        <f t="shared" si="28"/>
        <v>0</v>
      </c>
    </row>
    <row r="123" spans="1:7" hidden="1" x14ac:dyDescent="0.25">
      <c r="A123" s="1670"/>
      <c r="B123" s="1684"/>
      <c r="C123" s="1671"/>
      <c r="D123" s="1862"/>
      <c r="E123" s="1557">
        <f t="shared" si="26"/>
        <v>0</v>
      </c>
      <c r="F123" s="1810">
        <f t="shared" si="27"/>
        <v>0</v>
      </c>
      <c r="G123" s="1811">
        <f t="shared" si="28"/>
        <v>0</v>
      </c>
    </row>
    <row r="124" spans="1:7" hidden="1" x14ac:dyDescent="0.25">
      <c r="A124" s="1670"/>
      <c r="B124" s="1684"/>
      <c r="C124" s="1671"/>
      <c r="D124" s="1862"/>
      <c r="E124" s="1557">
        <f t="shared" si="26"/>
        <v>0</v>
      </c>
      <c r="F124" s="1810">
        <f t="shared" si="27"/>
        <v>0</v>
      </c>
      <c r="G124" s="1811">
        <f t="shared" si="28"/>
        <v>0</v>
      </c>
    </row>
    <row r="125" spans="1:7" hidden="1" x14ac:dyDescent="0.25">
      <c r="A125" s="1670"/>
      <c r="B125" s="1684"/>
      <c r="C125" s="1671"/>
      <c r="D125" s="1862"/>
      <c r="E125" s="1557">
        <f t="shared" si="26"/>
        <v>0</v>
      </c>
      <c r="F125" s="1810">
        <f t="shared" si="27"/>
        <v>0</v>
      </c>
      <c r="G125" s="1811">
        <f t="shared" si="28"/>
        <v>0</v>
      </c>
    </row>
    <row r="126" spans="1:7" hidden="1" x14ac:dyDescent="0.25">
      <c r="A126" s="1670"/>
      <c r="B126" s="1683"/>
      <c r="C126" s="1671"/>
      <c r="D126" s="1862"/>
      <c r="E126" s="1557">
        <f t="shared" si="2"/>
        <v>0</v>
      </c>
      <c r="F126" s="1810">
        <f t="shared" si="3"/>
        <v>0</v>
      </c>
      <c r="G126" s="1811">
        <f t="shared" si="4"/>
        <v>0</v>
      </c>
    </row>
    <row r="127" spans="1:7" x14ac:dyDescent="0.25">
      <c r="A127" s="1814" t="s">
        <v>158</v>
      </c>
      <c r="B127" s="1815"/>
      <c r="C127" s="1816"/>
      <c r="D127" s="1812">
        <f>SUM(D17:D126)</f>
        <v>2337949</v>
      </c>
      <c r="E127" s="1558">
        <f t="shared" si="1"/>
        <v>25000</v>
      </c>
      <c r="F127" s="1812">
        <f>SUM(F17:F126)</f>
        <v>599694</v>
      </c>
      <c r="G127" s="1813">
        <f>SUM(G17:G126)</f>
        <v>1738255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05" t="s">
        <v>1776</v>
      </c>
      <c r="B5" s="2406"/>
      <c r="C5" s="2406"/>
      <c r="D5" s="2406"/>
      <c r="E5" s="2406"/>
      <c r="F5" s="2406"/>
      <c r="G5" s="2407"/>
      <c r="H5" s="252"/>
      <c r="I5" s="608"/>
    </row>
    <row r="6" spans="1:9" s="667" customFormat="1" x14ac:dyDescent="0.2">
      <c r="A6" s="1654"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2071</v>
      </c>
      <c r="B10" s="970"/>
      <c r="C10" s="975"/>
      <c r="D10" s="971"/>
      <c r="E10" s="972">
        <v>442531</v>
      </c>
      <c r="F10" s="973"/>
      <c r="G10" s="974"/>
      <c r="H10" s="162"/>
      <c r="I10" s="162"/>
    </row>
    <row r="11" spans="1:9" s="667" customFormat="1" ht="22.5" customHeight="1" x14ac:dyDescent="0.2">
      <c r="A11" s="2410" t="s">
        <v>1940</v>
      </c>
      <c r="B11" s="2411"/>
      <c r="C11" s="2411"/>
      <c r="D11" s="2412"/>
      <c r="E11" s="976">
        <v>93764</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5" t="s">
        <v>553</v>
      </c>
      <c r="E17" s="1656"/>
      <c r="F17" s="1655" t="s">
        <v>453</v>
      </c>
      <c r="G17" s="1657"/>
      <c r="H17" s="162"/>
      <c r="I17" s="162"/>
    </row>
    <row r="18" spans="1:9" s="259" customFormat="1" ht="11.25" x14ac:dyDescent="0.2">
      <c r="A18" s="987"/>
      <c r="C18" s="988" t="s">
        <v>454</v>
      </c>
      <c r="D18" s="1658" t="s">
        <v>455</v>
      </c>
      <c r="E18" s="1658" t="s">
        <v>55</v>
      </c>
      <c r="F18" s="1658" t="s">
        <v>455</v>
      </c>
      <c r="G18" s="1658" t="s">
        <v>55</v>
      </c>
      <c r="H18" s="178"/>
      <c r="I18" s="178"/>
    </row>
    <row r="19" spans="1:9" s="667" customFormat="1" ht="12" customHeight="1" x14ac:dyDescent="0.2">
      <c r="A19" s="989" t="s">
        <v>476</v>
      </c>
      <c r="B19" s="990"/>
      <c r="C19" s="991" t="s">
        <v>591</v>
      </c>
      <c r="D19" s="1817"/>
      <c r="E19" s="1818">
        <f>'Expenditures 15-22'!K33-SUM('Expenditures 15-22'!G33,'Expenditures 15-22'!I33)+'Expenditures 15-22'!D229</f>
        <v>9203796</v>
      </c>
      <c r="F19" s="1817"/>
      <c r="G19" s="1819">
        <f>'Expenditures 15-22'!K33-SUM('Expenditures 15-22'!G33,'Expenditures 15-22'!I33)+'Expenditures 15-22'!D229</f>
        <v>9203796</v>
      </c>
      <c r="H19" s="986"/>
      <c r="I19" s="162"/>
    </row>
    <row r="20" spans="1:9" s="667" customFormat="1" ht="12" customHeight="1" x14ac:dyDescent="0.2">
      <c r="A20" s="989" t="s">
        <v>56</v>
      </c>
      <c r="B20" s="990"/>
      <c r="C20" s="992"/>
      <c r="D20" s="1820"/>
      <c r="E20" s="1820"/>
      <c r="F20" s="1820"/>
      <c r="G20" s="1821"/>
      <c r="H20" s="986"/>
      <c r="I20" s="162"/>
    </row>
    <row r="21" spans="1:9" s="667" customFormat="1" ht="12" customHeight="1" x14ac:dyDescent="0.2">
      <c r="A21" s="993" t="s">
        <v>421</v>
      </c>
      <c r="B21" s="994"/>
      <c r="C21" s="992">
        <v>2100</v>
      </c>
      <c r="D21" s="1820"/>
      <c r="E21" s="1822">
        <f>'Expenditures 15-22'!K42-SUM('Expenditures 15-22'!G42,'Expenditures 15-22'!I42)+'Expenditures 15-22'!K120-SUM('Expenditures 15-22'!G120,'Expenditures 15-22'!I120)+'Expenditures 15-22'!K180-SUM('Expenditures 15-22'!G180,'Expenditures 15-22'!I180)+'Expenditures 15-22'!D238</f>
        <v>357519</v>
      </c>
      <c r="F21" s="1820"/>
      <c r="G21" s="1823">
        <f>'Expenditures 15-22'!K42-SUM('Expenditures 15-22'!G42,'Expenditures 15-22'!I42)+'Expenditures 15-22'!K120-SUM('Expenditures 15-22'!G120,'Expenditures 15-22'!I120)+'Expenditures 15-22'!K180-SUM('Expenditures 15-22'!G180,'Expenditures 15-22'!I180)+'Expenditures 15-22'!D238</f>
        <v>357519</v>
      </c>
      <c r="H21" s="986"/>
      <c r="I21" s="162"/>
    </row>
    <row r="22" spans="1:9" s="667" customFormat="1" ht="12" customHeight="1" x14ac:dyDescent="0.2">
      <c r="A22" s="993" t="s">
        <v>585</v>
      </c>
      <c r="B22" s="994"/>
      <c r="C22" s="992">
        <v>2200</v>
      </c>
      <c r="D22" s="1820"/>
      <c r="E22" s="1822">
        <f>'Expenditures 15-22'!K47-SUM('Expenditures 15-22'!G47,'Expenditures 15-22'!I47)+'Expenditures 15-22'!D243</f>
        <v>332936</v>
      </c>
      <c r="F22" s="1820"/>
      <c r="G22" s="1823">
        <f>'Expenditures 15-22'!K47-SUM('Expenditures 15-22'!G47,'Expenditures 15-22'!I47)+'Expenditures 15-22'!D243</f>
        <v>332936</v>
      </c>
      <c r="H22" s="986"/>
      <c r="I22" s="162"/>
    </row>
    <row r="23" spans="1:9" s="667" customFormat="1" ht="12" customHeight="1" x14ac:dyDescent="0.2">
      <c r="A23" s="993" t="s">
        <v>586</v>
      </c>
      <c r="B23" s="994"/>
      <c r="C23" s="992">
        <v>2300</v>
      </c>
      <c r="D23" s="1820"/>
      <c r="E23" s="1822">
        <f>'Expenditures 15-22'!K53-SUM('Expenditures 15-22'!G53,'Expenditures 15-22'!I53)+'Expenditures 15-22'!D257+'Expenditures 15-22'!K330-SUM('Expenditures 15-22'!G330,'Expenditures 15-22'!I330)</f>
        <v>893008</v>
      </c>
      <c r="F23" s="1820"/>
      <c r="G23" s="1822">
        <f>'Expenditures 15-22'!K53-SUM('Expenditures 15-22'!G53,'Expenditures 15-22'!I53)+'Expenditures 15-22'!D257+'Expenditures 15-22'!K330-SUM('Expenditures 15-22'!G330,'Expenditures 15-22'!I330)</f>
        <v>893008</v>
      </c>
      <c r="H23" s="986"/>
      <c r="I23" s="162"/>
    </row>
    <row r="24" spans="1:9" s="667" customFormat="1" ht="12" customHeight="1" x14ac:dyDescent="0.2">
      <c r="A24" s="993" t="s">
        <v>587</v>
      </c>
      <c r="B24" s="994"/>
      <c r="C24" s="992">
        <v>2400</v>
      </c>
      <c r="D24" s="1820"/>
      <c r="E24" s="1822">
        <f>'Expenditures 15-22'!K57-SUM('Expenditures 15-22'!G57,'Expenditures 15-22'!I57)+'Expenditures 15-22'!D261</f>
        <v>1231811</v>
      </c>
      <c r="F24" s="1820"/>
      <c r="G24" s="1823">
        <f>'Expenditures 15-22'!K57-SUM('Expenditures 15-22'!G57,'Expenditures 15-22'!I57)+'Expenditures 15-22'!D261</f>
        <v>1231811</v>
      </c>
      <c r="H24" s="986"/>
      <c r="I24" s="162"/>
    </row>
    <row r="25" spans="1:9" s="667" customFormat="1" ht="12" customHeight="1" x14ac:dyDescent="0.2">
      <c r="A25" s="989" t="s">
        <v>588</v>
      </c>
      <c r="B25" s="995"/>
      <c r="C25" s="992"/>
      <c r="D25" s="1820"/>
      <c r="E25" s="1822"/>
      <c r="F25" s="1820"/>
      <c r="G25" s="1823"/>
      <c r="H25" s="986"/>
      <c r="I25" s="162"/>
    </row>
    <row r="26" spans="1:9" s="667" customFormat="1" ht="12" customHeight="1" x14ac:dyDescent="0.2">
      <c r="A26" s="993" t="s">
        <v>536</v>
      </c>
      <c r="B26" s="996"/>
      <c r="C26" s="992">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6"/>
      <c r="I26" s="162"/>
    </row>
    <row r="27" spans="1:9" s="667" customFormat="1" ht="12" customHeight="1" x14ac:dyDescent="0.2">
      <c r="A27" s="993" t="s">
        <v>483</v>
      </c>
      <c r="B27" s="996"/>
      <c r="C27" s="992">
        <v>2520</v>
      </c>
      <c r="D27" s="1822">
        <f>'Expenditures 15-22'!K60-SUM('Expenditures 15-22'!G60,'Expenditures 15-22'!I60)+'Expenditures 15-22'!D264-E8</f>
        <v>285316</v>
      </c>
      <c r="E27" s="1822">
        <f>E8</f>
        <v>0</v>
      </c>
      <c r="F27" s="1822">
        <f>'Expenditures 15-22'!K60-SUM('Expenditures 15-22'!G60,'Expenditures 15-22'!I60)+'Expenditures 15-22'!D264-E8</f>
        <v>285316</v>
      </c>
      <c r="G27" s="1823">
        <f>E8</f>
        <v>0</v>
      </c>
      <c r="H27" s="986"/>
      <c r="I27" s="162"/>
    </row>
    <row r="28" spans="1:9" s="667" customFormat="1" ht="12" customHeight="1" x14ac:dyDescent="0.2">
      <c r="A28" s="993" t="s">
        <v>537</v>
      </c>
      <c r="B28" s="996"/>
      <c r="C28" s="992">
        <v>2540</v>
      </c>
      <c r="D28" s="1824"/>
      <c r="E28" s="1822">
        <f>'Expenditures 15-22'!K61-SUM('Expenditures 15-22'!G61,'Expenditures 15-22'!I61)+'Expenditures 15-22'!K124-SUM('Expenditures 15-22'!G124,'Expenditures 15-22'!I124)+'Expenditures 15-22'!D266</f>
        <v>1556423</v>
      </c>
      <c r="F28" s="1824">
        <f>'Expenditures 15-22'!K61-SUM('Expenditures 15-22'!G61,'Expenditures 15-22'!I61)+'Expenditures 15-22'!K124-SUM('Expenditures 15-22'!G124,'Expenditures 15-22'!I124)+'Expenditures 15-22'!D266-E9</f>
        <v>1556423</v>
      </c>
      <c r="G28" s="1823">
        <f>E9</f>
        <v>0</v>
      </c>
      <c r="H28" s="986"/>
      <c r="I28" s="162"/>
    </row>
    <row r="29" spans="1:9" ht="12" customHeight="1" x14ac:dyDescent="0.2">
      <c r="A29" s="993" t="s">
        <v>538</v>
      </c>
      <c r="B29" s="996"/>
      <c r="C29" s="992">
        <v>2550</v>
      </c>
      <c r="D29" s="1820"/>
      <c r="E29" s="1822">
        <f>'Expenditures 15-22'!K62-SUM('Expenditures 15-22'!G62,'Expenditures 15-22'!I62)+'Expenditures 15-22'!K125-SUM('Expenditures 15-22'!G125,'Expenditures 15-22'!I125)+'Expenditures 15-22'!K182-SUM('Expenditures 15-22'!G182,'Expenditures 15-22'!I182)+'Expenditures 15-22'!D267</f>
        <v>880782</v>
      </c>
      <c r="F29" s="1820"/>
      <c r="G29" s="1823">
        <f>'Expenditures 15-22'!K62-SUM('Expenditures 15-22'!G62,'Expenditures 15-22'!I62)+'Expenditures 15-22'!K125-SUM('Expenditures 15-22'!G125,'Expenditures 15-22'!I125)+'Expenditures 15-22'!K182-SUM('Expenditures 15-22'!G182,'Expenditures 15-22'!I182)+'Expenditures 15-22'!D267</f>
        <v>880782</v>
      </c>
      <c r="H29" s="984"/>
    </row>
    <row r="30" spans="1:9" ht="12" customHeight="1" x14ac:dyDescent="0.2">
      <c r="A30" s="993" t="s">
        <v>102</v>
      </c>
      <c r="B30" s="996"/>
      <c r="C30" s="992">
        <v>2560</v>
      </c>
      <c r="D30" s="1820"/>
      <c r="E30" s="1822">
        <f>'Expenditures 15-22'!K63-SUM('Expenditures 15-22'!G63,'Expenditures 15-22'!I63)+'Expenditures 15-22'!D268-E10</f>
        <v>563659</v>
      </c>
      <c r="F30" s="1820"/>
      <c r="G30" s="1822">
        <f>'Expenditures 15-22'!K63-SUM('Expenditures 15-22'!G63,'Expenditures 15-22'!I63)+'Expenditures 15-22'!D268-E10</f>
        <v>563659</v>
      </c>
    </row>
    <row r="31" spans="1:9" ht="12" customHeight="1" x14ac:dyDescent="0.2">
      <c r="A31" s="993" t="s">
        <v>103</v>
      </c>
      <c r="B31" s="996"/>
      <c r="C31" s="992">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89" t="s">
        <v>539</v>
      </c>
      <c r="B32" s="995"/>
      <c r="C32" s="992"/>
      <c r="D32" s="1820"/>
      <c r="E32" s="1820"/>
      <c r="F32" s="1820"/>
      <c r="G32" s="1820"/>
    </row>
    <row r="33" spans="1:7" ht="12" customHeight="1" x14ac:dyDescent="0.2">
      <c r="A33" s="993" t="s">
        <v>540</v>
      </c>
      <c r="B33" s="996"/>
      <c r="C33" s="992">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3" t="s">
        <v>541</v>
      </c>
      <c r="B34" s="996"/>
      <c r="C34" s="992">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3" t="s">
        <v>1121</v>
      </c>
      <c r="B35" s="996"/>
      <c r="C35" s="992">
        <v>2630</v>
      </c>
      <c r="D35" s="1820"/>
      <c r="E35" s="1822">
        <f>'Expenditures 15-22'!K69-SUM('Expenditures 15-22'!G69,'Expenditures 15-22'!I69)+'Expenditures 15-22'!D274</f>
        <v>42803</v>
      </c>
      <c r="F35" s="1820"/>
      <c r="G35" s="1822">
        <f>'Expenditures 15-22'!K69-SUM('Expenditures 15-22'!G69,'Expenditures 15-22'!I69)+'Expenditures 15-22'!D274</f>
        <v>42803</v>
      </c>
    </row>
    <row r="36" spans="1:7" ht="12" customHeight="1" x14ac:dyDescent="0.2">
      <c r="A36" s="993" t="s">
        <v>423</v>
      </c>
      <c r="B36" s="996"/>
      <c r="C36" s="992">
        <v>2640</v>
      </c>
      <c r="D36" s="1822">
        <f>'Expenditures 15-22'!K70-SUM('Expenditures 15-22'!G70,'Expenditures 15-22'!I70)+'Expenditures 15-22'!D275-E13</f>
        <v>348</v>
      </c>
      <c r="E36" s="1822">
        <f>E13</f>
        <v>0</v>
      </c>
      <c r="F36" s="1822">
        <f>'Expenditures 15-22'!K70-SUM('Expenditures 15-22'!G70,'Expenditures 15-22'!I70)+'Expenditures 15-22'!D275-E13</f>
        <v>348</v>
      </c>
      <c r="G36" s="1822">
        <f>E13</f>
        <v>0</v>
      </c>
    </row>
    <row r="37" spans="1:7" ht="12" customHeight="1" x14ac:dyDescent="0.2">
      <c r="A37" s="993" t="s">
        <v>424</v>
      </c>
      <c r="B37" s="996"/>
      <c r="C37" s="992">
        <v>2660</v>
      </c>
      <c r="D37" s="1822">
        <f>'Expenditures 15-22'!K71-SUM('Expenditures 15-22'!G71,'Expenditures 15-22'!I71)+'Expenditures 15-22'!D276-E14</f>
        <v>10576</v>
      </c>
      <c r="E37" s="1822">
        <f>E14</f>
        <v>0</v>
      </c>
      <c r="F37" s="1822">
        <f>'Expenditures 15-22'!K71-SUM('Expenditures 15-22'!G71,'Expenditures 15-22'!I71)+'Expenditures 15-22'!D276-E14</f>
        <v>10576</v>
      </c>
      <c r="G37" s="1822">
        <f>E14</f>
        <v>0</v>
      </c>
    </row>
    <row r="38" spans="1:7" ht="12" customHeight="1" x14ac:dyDescent="0.2">
      <c r="A38" s="989" t="s">
        <v>542</v>
      </c>
      <c r="B38" s="990"/>
      <c r="C38" s="992">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0"/>
      <c r="E39" s="1822">
        <f>'Expenditures 15-22'!K75-SUM('Expenditures 15-22'!G75,'Expenditures 15-22'!I75)+'Expenditures 15-22'!K130-SUM('Expenditures 15-22'!G130,'Expenditures 15-22'!I130)+'Expenditures 15-22'!K185-SUM('Expenditures 15-22'!G185,'Expenditures 15-22'!I185)+'Expenditures 15-22'!D280</f>
        <v>91458</v>
      </c>
      <c r="F39" s="1820"/>
      <c r="G39" s="1822">
        <f>'Expenditures 15-22'!K75-SUM('Expenditures 15-22'!G75,'Expenditures 15-22'!I75)+'Expenditures 15-22'!K130-SUM('Expenditures 15-22'!G130,'Expenditures 15-22'!I130)+'Expenditures 15-22'!K185-SUM('Expenditures 15-22'!G185,'Expenditures 15-22'!I185)+'Expenditures 15-22'!D280</f>
        <v>91458</v>
      </c>
    </row>
    <row r="40" spans="1:7" ht="12" customHeight="1" x14ac:dyDescent="0.2">
      <c r="A40" s="989" t="s">
        <v>1925</v>
      </c>
      <c r="B40" s="990"/>
      <c r="C40" s="992"/>
      <c r="D40" s="1820"/>
      <c r="E40" s="1824">
        <f>-'Contracts Paid in CY 29'!G127</f>
        <v>-1738255</v>
      </c>
      <c r="F40" s="1820"/>
      <c r="G40" s="1824">
        <f>-'Contracts Paid in CY 29'!G127</f>
        <v>-1738255</v>
      </c>
    </row>
    <row r="41" spans="1:7" ht="12" customHeight="1" x14ac:dyDescent="0.2">
      <c r="A41" s="997" t="s">
        <v>158</v>
      </c>
      <c r="B41" s="998"/>
      <c r="C41" s="999"/>
      <c r="D41" s="1824">
        <f>SUM(D19:D39)</f>
        <v>296240</v>
      </c>
      <c r="E41" s="1824">
        <f>SUM(E19:E40)</f>
        <v>13415940</v>
      </c>
      <c r="F41" s="1824">
        <f>SUM(F19:F39)</f>
        <v>1852663</v>
      </c>
      <c r="G41" s="1824">
        <f>SUM(G19:G40)</f>
        <v>11859517</v>
      </c>
    </row>
    <row r="42" spans="1:7" x14ac:dyDescent="0.2">
      <c r="A42" s="986"/>
      <c r="B42" s="162"/>
      <c r="C42" s="1000"/>
      <c r="D42" s="2408" t="s">
        <v>543</v>
      </c>
      <c r="E42" s="2409"/>
      <c r="F42" s="1001" t="s">
        <v>544</v>
      </c>
      <c r="G42" s="1002"/>
    </row>
    <row r="43" spans="1:7" ht="12" customHeight="1" x14ac:dyDescent="0.2">
      <c r="A43" s="986"/>
      <c r="B43" s="162"/>
      <c r="C43" s="1000"/>
      <c r="D43" s="1825" t="s">
        <v>493</v>
      </c>
      <c r="E43" s="1826">
        <f>D41</f>
        <v>296240</v>
      </c>
      <c r="F43" s="1825" t="s">
        <v>495</v>
      </c>
      <c r="G43" s="1826">
        <f>F41</f>
        <v>1852663</v>
      </c>
    </row>
    <row r="44" spans="1:7" ht="12" customHeight="1" x14ac:dyDescent="0.2">
      <c r="A44" s="986"/>
      <c r="B44" s="162"/>
      <c r="C44" s="1000"/>
      <c r="D44" s="1825" t="s">
        <v>494</v>
      </c>
      <c r="E44" s="1826">
        <f>E41</f>
        <v>13415940</v>
      </c>
      <c r="F44" s="1825" t="s">
        <v>494</v>
      </c>
      <c r="G44" s="1826">
        <f>G41</f>
        <v>11859517</v>
      </c>
    </row>
    <row r="45" spans="1:7" ht="12" customHeight="1" x14ac:dyDescent="0.2">
      <c r="A45" s="986"/>
      <c r="B45" s="162"/>
      <c r="C45" s="162"/>
      <c r="D45" s="1827" t="s">
        <v>1063</v>
      </c>
      <c r="E45" s="1828">
        <f>(E43/E44)</f>
        <v>2.2081195950488748E-2</v>
      </c>
      <c r="F45" s="1827" t="s">
        <v>1063</v>
      </c>
      <c r="G45" s="1828">
        <f>(G43/G44)</f>
        <v>0.15621740750487562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0" sqref="L30"/>
      <selection pane="bottomLeft" activeCell="A5" sqref="A5:F5"/>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427" t="s">
        <v>1446</v>
      </c>
      <c r="B1" s="2427"/>
      <c r="C1" s="2427"/>
      <c r="D1" s="2427"/>
      <c r="E1" s="2427"/>
      <c r="F1" s="2427"/>
    </row>
    <row r="2" spans="1:10" x14ac:dyDescent="0.2">
      <c r="A2" s="1905" t="s">
        <v>2043</v>
      </c>
      <c r="B2" s="1866"/>
      <c r="C2" s="1905"/>
      <c r="D2" s="1866"/>
      <c r="E2" s="1866"/>
      <c r="F2" s="1867"/>
    </row>
    <row r="3" spans="1:10" x14ac:dyDescent="0.2">
      <c r="A3" s="1905" t="s">
        <v>1698</v>
      </c>
      <c r="B3" s="1866"/>
      <c r="C3" s="1905"/>
      <c r="D3" s="1866"/>
      <c r="E3" s="1866"/>
      <c r="F3" s="1867"/>
    </row>
    <row r="4" spans="1:10" ht="3.75" customHeight="1" x14ac:dyDescent="0.2">
      <c r="A4" s="1866"/>
      <c r="B4" s="1866"/>
      <c r="C4" s="1866"/>
      <c r="D4" s="1866"/>
      <c r="E4" s="1866"/>
      <c r="F4" s="1867"/>
    </row>
    <row r="5" spans="1:10" ht="15" x14ac:dyDescent="0.25">
      <c r="A5" s="2428" t="s">
        <v>1627</v>
      </c>
      <c r="B5" s="2429"/>
      <c r="C5" s="2430"/>
      <c r="D5" s="2430"/>
      <c r="E5" s="2430"/>
      <c r="F5" s="2430"/>
    </row>
    <row r="6" spans="1:10" ht="12" customHeight="1" x14ac:dyDescent="0.25">
      <c r="A6" s="1868"/>
      <c r="B6" s="1869"/>
      <c r="C6" s="2431" t="str">
        <f>COVER!A17</f>
        <v>Kewanee CUSD 229</v>
      </c>
      <c r="D6" s="2431"/>
      <c r="E6" s="2431"/>
      <c r="F6" s="1870"/>
    </row>
    <row r="7" spans="1:10" ht="11.25" customHeight="1" thickBot="1" x14ac:dyDescent="0.3">
      <c r="A7" s="1868"/>
      <c r="B7" s="1869"/>
      <c r="C7" s="2432">
        <f>COVER!A13</f>
        <v>28037229026</v>
      </c>
      <c r="D7" s="2432"/>
      <c r="E7" s="2432"/>
      <c r="F7" s="1870"/>
    </row>
    <row r="8" spans="1:10" ht="25.5" customHeight="1" thickBot="1" x14ac:dyDescent="0.25">
      <c r="A8" s="1911" t="s">
        <v>2020</v>
      </c>
      <c r="B8" s="1871"/>
      <c r="C8" s="1907" t="s">
        <v>1778</v>
      </c>
      <c r="D8" s="1906" t="s">
        <v>1779</v>
      </c>
      <c r="E8" s="1908" t="s">
        <v>1447</v>
      </c>
      <c r="F8" s="1906" t="s">
        <v>1780</v>
      </c>
      <c r="H8" s="1872" t="b">
        <v>0</v>
      </c>
    </row>
    <row r="9" spans="1:10" ht="15.75" customHeight="1" x14ac:dyDescent="0.2">
      <c r="A9" s="1873" t="s">
        <v>1623</v>
      </c>
      <c r="B9" s="1874"/>
      <c r="C9" s="1875"/>
      <c r="D9" s="1875"/>
      <c r="E9" s="1876"/>
      <c r="F9" s="1877"/>
    </row>
    <row r="10" spans="1:10" ht="27.75" customHeight="1" x14ac:dyDescent="0.2">
      <c r="A10" s="1878" t="s">
        <v>1777</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t="s">
        <v>2097</v>
      </c>
      <c r="D13" s="1883" t="s">
        <v>2097</v>
      </c>
      <c r="E13" s="1886"/>
      <c r="F13" s="1885" t="s">
        <v>2098</v>
      </c>
      <c r="H13" s="1896">
        <f t="shared" si="0"/>
        <v>5</v>
      </c>
      <c r="I13" s="1896">
        <f t="shared" si="1"/>
        <v>5</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883" t="s">
        <v>2097</v>
      </c>
      <c r="D16" s="1883" t="s">
        <v>2097</v>
      </c>
      <c r="E16" s="1886"/>
      <c r="F16" s="1885" t="s">
        <v>2099</v>
      </c>
      <c r="H16" s="1896">
        <f t="shared" si="0"/>
        <v>5</v>
      </c>
      <c r="I16" s="1896">
        <f t="shared" si="1"/>
        <v>5</v>
      </c>
      <c r="J16" s="1896">
        <f t="shared" si="2"/>
        <v>0</v>
      </c>
    </row>
    <row r="17" spans="1:12" ht="12" customHeight="1" x14ac:dyDescent="0.2">
      <c r="A17" s="1881" t="s">
        <v>1456</v>
      </c>
      <c r="B17" s="1882"/>
      <c r="C17" s="1883" t="s">
        <v>2097</v>
      </c>
      <c r="D17" s="1883" t="s">
        <v>2097</v>
      </c>
      <c r="E17" s="1886"/>
      <c r="F17" s="1885" t="s">
        <v>2099</v>
      </c>
      <c r="H17" s="1896">
        <f t="shared" si="0"/>
        <v>5</v>
      </c>
      <c r="I17" s="1896">
        <f t="shared" si="1"/>
        <v>5</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t="s">
        <v>2097</v>
      </c>
      <c r="D19" s="1883" t="s">
        <v>2097</v>
      </c>
      <c r="E19" s="1886"/>
      <c r="F19" s="1885" t="s">
        <v>2100</v>
      </c>
      <c r="H19" s="1896">
        <f t="shared" si="0"/>
        <v>5</v>
      </c>
      <c r="I19" s="1896">
        <f t="shared" si="1"/>
        <v>5</v>
      </c>
      <c r="J19" s="1896">
        <f t="shared" si="2"/>
        <v>0</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t="s">
        <v>2097</v>
      </c>
      <c r="D23" s="1883" t="s">
        <v>2097</v>
      </c>
      <c r="E23" s="1886"/>
      <c r="F23" s="1885" t="s">
        <v>2101</v>
      </c>
      <c r="H23" s="1896">
        <f t="shared" si="0"/>
        <v>5</v>
      </c>
      <c r="I23" s="1896">
        <f t="shared" si="1"/>
        <v>5</v>
      </c>
      <c r="J23" s="1896">
        <f t="shared" si="2"/>
        <v>0</v>
      </c>
    </row>
    <row r="24" spans="1:12" ht="12" customHeight="1" x14ac:dyDescent="0.2">
      <c r="A24" s="1881" t="s">
        <v>1613</v>
      </c>
      <c r="B24" s="1882"/>
      <c r="C24" s="1883" t="s">
        <v>2097</v>
      </c>
      <c r="D24" s="1883" t="s">
        <v>2097</v>
      </c>
      <c r="E24" s="1886"/>
      <c r="F24" s="1885" t="s">
        <v>2102</v>
      </c>
      <c r="H24" s="1896">
        <f t="shared" si="0"/>
        <v>5</v>
      </c>
      <c r="I24" s="1896">
        <f t="shared" si="1"/>
        <v>5</v>
      </c>
      <c r="J24" s="1896">
        <f t="shared" si="2"/>
        <v>0</v>
      </c>
    </row>
    <row r="25" spans="1:12" ht="12" customHeight="1" x14ac:dyDescent="0.2">
      <c r="A25" s="1881" t="s">
        <v>1614</v>
      </c>
      <c r="B25" s="1882"/>
      <c r="C25" s="1883" t="s">
        <v>2097</v>
      </c>
      <c r="D25" s="1883" t="s">
        <v>2097</v>
      </c>
      <c r="E25" s="1886"/>
      <c r="F25" s="1885" t="s">
        <v>2175</v>
      </c>
      <c r="H25" s="1896">
        <f t="shared" si="0"/>
        <v>5</v>
      </c>
      <c r="I25" s="1896">
        <f t="shared" si="1"/>
        <v>5</v>
      </c>
      <c r="J25" s="1896">
        <f t="shared" si="2"/>
        <v>0</v>
      </c>
    </row>
    <row r="26" spans="1:12" ht="12" customHeight="1" x14ac:dyDescent="0.2">
      <c r="A26" s="1881" t="s">
        <v>1615</v>
      </c>
      <c r="B26" s="1882"/>
      <c r="C26" s="1883"/>
      <c r="D26" s="1883"/>
      <c r="E26" s="1886"/>
      <c r="F26" s="1885"/>
      <c r="H26" s="1896">
        <f t="shared" si="0"/>
        <v>0</v>
      </c>
      <c r="I26" s="1896">
        <f t="shared" si="1"/>
        <v>0</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t="s">
        <v>2097</v>
      </c>
      <c r="D28" s="1883" t="s">
        <v>2097</v>
      </c>
      <c r="E28" s="1886"/>
      <c r="F28" s="1885" t="s">
        <v>2103</v>
      </c>
      <c r="H28" s="1896">
        <f t="shared" si="0"/>
        <v>5</v>
      </c>
      <c r="I28" s="1896">
        <f t="shared" si="1"/>
        <v>5</v>
      </c>
      <c r="J28" s="1896">
        <f t="shared" si="2"/>
        <v>0</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t="s">
        <v>2097</v>
      </c>
      <c r="D30" s="1883" t="s">
        <v>2097</v>
      </c>
      <c r="E30" s="1886"/>
      <c r="F30" s="1885" t="s">
        <v>2104</v>
      </c>
      <c r="H30" s="1896">
        <f t="shared" si="0"/>
        <v>5</v>
      </c>
      <c r="I30" s="1896">
        <f t="shared" si="1"/>
        <v>5</v>
      </c>
      <c r="J30" s="1896">
        <f t="shared" si="2"/>
        <v>0</v>
      </c>
    </row>
    <row r="31" spans="1:12" ht="12" customHeight="1" x14ac:dyDescent="0.2">
      <c r="A31" s="1881" t="s">
        <v>1620</v>
      </c>
      <c r="B31" s="1882"/>
      <c r="C31" s="1883" t="s">
        <v>2097</v>
      </c>
      <c r="D31" s="1883" t="s">
        <v>2097</v>
      </c>
      <c r="E31" s="1886"/>
      <c r="F31" s="1885" t="s">
        <v>2105</v>
      </c>
      <c r="H31" s="1896">
        <f t="shared" si="0"/>
        <v>5</v>
      </c>
      <c r="I31" s="1896">
        <f t="shared" si="1"/>
        <v>5</v>
      </c>
      <c r="J31" s="1896">
        <f t="shared" si="2"/>
        <v>0</v>
      </c>
      <c r="L31" s="1887"/>
    </row>
    <row r="32" spans="1:12" ht="12" customHeight="1" x14ac:dyDescent="0.2">
      <c r="A32" s="1881" t="s">
        <v>1621</v>
      </c>
      <c r="B32" s="1882"/>
      <c r="C32" s="1883" t="s">
        <v>2097</v>
      </c>
      <c r="D32" s="1883" t="s">
        <v>2097</v>
      </c>
      <c r="E32" s="1886"/>
      <c r="F32" s="1885" t="s">
        <v>2106</v>
      </c>
      <c r="H32" s="1896">
        <f t="shared" si="0"/>
        <v>5</v>
      </c>
      <c r="I32" s="1896">
        <f t="shared" si="1"/>
        <v>5</v>
      </c>
      <c r="J32" s="1896">
        <f t="shared" si="2"/>
        <v>0</v>
      </c>
    </row>
    <row r="33" spans="1:11" ht="12" customHeight="1" x14ac:dyDescent="0.2">
      <c r="A33" s="1881" t="s">
        <v>1622</v>
      </c>
      <c r="B33" s="1882"/>
      <c r="C33" s="1883" t="s">
        <v>2097</v>
      </c>
      <c r="D33" s="1883" t="s">
        <v>2097</v>
      </c>
      <c r="E33" s="1886"/>
      <c r="F33" s="1885" t="s">
        <v>2107</v>
      </c>
      <c r="H33" s="1896">
        <f t="shared" si="0"/>
        <v>5</v>
      </c>
      <c r="I33" s="1896">
        <f t="shared" si="1"/>
        <v>5</v>
      </c>
      <c r="J33" s="1896">
        <f t="shared" si="2"/>
        <v>0</v>
      </c>
    </row>
    <row r="34" spans="1:11" ht="12" customHeight="1" x14ac:dyDescent="0.25">
      <c r="A34" s="1888"/>
      <c r="B34" s="1888"/>
      <c r="C34" s="1888"/>
      <c r="D34" s="1888"/>
      <c r="E34" s="1888"/>
      <c r="F34" s="1888"/>
      <c r="H34" s="1896">
        <f>SUM(H11:H32)</f>
        <v>55</v>
      </c>
      <c r="I34" s="1896">
        <f>SUM(I11:I32)</f>
        <v>55</v>
      </c>
      <c r="J34" s="1896">
        <f>SUM(J11:J32)</f>
        <v>0</v>
      </c>
      <c r="K34" s="1896">
        <f>SUM(H34:J34)</f>
        <v>110</v>
      </c>
    </row>
    <row r="35" spans="1:11" ht="12" customHeight="1" x14ac:dyDescent="0.2">
      <c r="A35" s="1889" t="s">
        <v>1459</v>
      </c>
      <c r="B35" s="1890"/>
      <c r="C35" s="2433"/>
      <c r="D35" s="2433"/>
      <c r="E35" s="2433"/>
      <c r="F35" s="2434"/>
    </row>
    <row r="36" spans="1:11" ht="12" customHeight="1" x14ac:dyDescent="0.2">
      <c r="A36" s="2416"/>
      <c r="B36" s="2417"/>
      <c r="C36" s="2417"/>
      <c r="D36" s="2417"/>
      <c r="E36" s="2417"/>
      <c r="F36" s="2418"/>
    </row>
    <row r="37" spans="1:11" ht="12" customHeight="1" x14ac:dyDescent="0.2">
      <c r="A37" s="2416"/>
      <c r="B37" s="2417"/>
      <c r="C37" s="2417"/>
      <c r="D37" s="2417"/>
      <c r="E37" s="2417"/>
      <c r="F37" s="2418"/>
    </row>
    <row r="38" spans="1:11" ht="12" customHeight="1" x14ac:dyDescent="0.2">
      <c r="A38" s="2419"/>
      <c r="B38" s="2420"/>
      <c r="C38" s="2420"/>
      <c r="D38" s="2420"/>
      <c r="E38" s="2420"/>
      <c r="F38" s="2421"/>
    </row>
    <row r="39" spans="1:11" ht="4.5" hidden="1" customHeight="1" x14ac:dyDescent="0.2">
      <c r="A39" s="1891"/>
      <c r="B39" s="1891"/>
      <c r="C39" s="1891"/>
      <c r="D39" s="1891"/>
      <c r="E39" s="1891"/>
      <c r="F39" s="1891"/>
    </row>
    <row r="40" spans="1:11" s="1888" customFormat="1" ht="12" customHeight="1" x14ac:dyDescent="0.25">
      <c r="A40" s="1892" t="s">
        <v>1458</v>
      </c>
      <c r="B40" s="1893"/>
      <c r="C40" s="2422"/>
      <c r="D40" s="2422"/>
      <c r="E40" s="2422"/>
      <c r="F40" s="2423"/>
      <c r="H40" s="1897"/>
      <c r="I40" s="1897"/>
      <c r="J40" s="1897"/>
      <c r="K40" s="1897"/>
    </row>
    <row r="41" spans="1:11" s="1888" customFormat="1" ht="12" customHeight="1" x14ac:dyDescent="0.25">
      <c r="A41" s="2424"/>
      <c r="B41" s="2425"/>
      <c r="C41" s="2425"/>
      <c r="D41" s="2425"/>
      <c r="E41" s="2425"/>
      <c r="F41" s="2426"/>
      <c r="H41" s="1897"/>
      <c r="I41" s="1897"/>
      <c r="J41" s="1897"/>
      <c r="K41" s="1897"/>
    </row>
    <row r="42" spans="1:11" s="1888" customFormat="1" ht="12" customHeight="1" x14ac:dyDescent="0.25">
      <c r="A42" s="2424"/>
      <c r="B42" s="2425"/>
      <c r="C42" s="2425"/>
      <c r="D42" s="2425"/>
      <c r="E42" s="2425"/>
      <c r="F42" s="2426"/>
      <c r="H42" s="1897"/>
      <c r="I42" s="1897"/>
      <c r="J42" s="1897"/>
      <c r="K42" s="1897"/>
    </row>
    <row r="43" spans="1:11" s="1888" customFormat="1" ht="15" x14ac:dyDescent="0.25">
      <c r="A43" s="2413"/>
      <c r="B43" s="2414"/>
      <c r="C43" s="2414"/>
      <c r="D43" s="2414"/>
      <c r="E43" s="2414"/>
      <c r="F43" s="2415"/>
      <c r="H43" s="1897"/>
      <c r="I43" s="1897"/>
      <c r="J43" s="1897"/>
      <c r="K43" s="1897"/>
    </row>
    <row r="44" spans="1:11" s="1888" customFormat="1" ht="12" hidden="1" customHeight="1" x14ac:dyDescent="0.25">
      <c r="A44" s="2413"/>
      <c r="B44" s="2414"/>
      <c r="C44" s="2414"/>
      <c r="D44" s="2414"/>
      <c r="E44" s="2414"/>
      <c r="F44" s="2415"/>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2" t="s">
        <v>693</v>
      </c>
      <c r="B6" s="1659"/>
      <c r="C6" s="1659"/>
      <c r="D6" s="1659"/>
      <c r="E6" s="1660"/>
      <c r="F6" s="1014"/>
      <c r="G6" s="1008"/>
      <c r="H6" s="1015" t="s">
        <v>1086</v>
      </c>
      <c r="I6" s="2440" t="str">
        <f>COVER!A17</f>
        <v>Kewanee CUSD 229</v>
      </c>
      <c r="J6" s="2441"/>
      <c r="Q6" s="1681"/>
    </row>
    <row r="7" spans="1:17" x14ac:dyDescent="0.2">
      <c r="A7" s="2442" t="s">
        <v>924</v>
      </c>
      <c r="B7" s="2443"/>
      <c r="C7" s="2443"/>
      <c r="D7" s="2443"/>
      <c r="E7" s="2444"/>
      <c r="F7" s="1016"/>
      <c r="G7" s="1008"/>
      <c r="H7" s="1015" t="s">
        <v>390</v>
      </c>
      <c r="I7" s="2445">
        <f>COVER!A13</f>
        <v>28037229026</v>
      </c>
      <c r="J7" s="2445"/>
    </row>
    <row r="8" spans="1:17" ht="8.25" customHeight="1" x14ac:dyDescent="0.2">
      <c r="A8" s="1661"/>
      <c r="B8" s="1662"/>
      <c r="C8" s="1662"/>
      <c r="D8" s="1662"/>
      <c r="E8" s="1663"/>
      <c r="F8" s="1017"/>
      <c r="G8" s="1018"/>
      <c r="H8" s="1018"/>
      <c r="I8" s="1018"/>
      <c r="J8" s="1018"/>
    </row>
    <row r="9" spans="1:17" ht="13.5" customHeight="1" x14ac:dyDescent="0.2">
      <c r="A9" s="1019"/>
      <c r="B9" s="1020"/>
      <c r="C9" s="1020"/>
      <c r="D9" s="1021"/>
      <c r="E9" s="1913" t="s">
        <v>1699</v>
      </c>
      <c r="F9" s="1022"/>
      <c r="G9" s="1022"/>
      <c r="H9" s="1914" t="s">
        <v>1700</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46" t="s">
        <v>502</v>
      </c>
      <c r="B11" s="2447"/>
      <c r="C11" s="244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29">
        <f>'Expenditures 15-22'!K50</f>
        <v>214733</v>
      </c>
      <c r="F12" s="1038"/>
      <c r="G12" s="1829">
        <f t="shared" ref="G12:G18" si="0">SUM(E12:F12)</f>
        <v>214733</v>
      </c>
      <c r="H12" s="1039">
        <v>233936</v>
      </c>
      <c r="I12" s="1038"/>
      <c r="J12" s="1829">
        <f t="shared" ref="J12:J18" si="1">SUM(H12:I12)</f>
        <v>233936</v>
      </c>
    </row>
    <row r="13" spans="1:17" ht="15" customHeight="1" x14ac:dyDescent="0.2">
      <c r="A13" s="1034">
        <v>2</v>
      </c>
      <c r="B13" s="1035" t="s">
        <v>44</v>
      </c>
      <c r="C13" s="1036"/>
      <c r="D13" s="1037">
        <v>2330</v>
      </c>
      <c r="E13" s="1829">
        <f>'Expenditures 15-22'!K51</f>
        <v>17635</v>
      </c>
      <c r="F13" s="1038"/>
      <c r="G13" s="1829">
        <f t="shared" si="0"/>
        <v>17635</v>
      </c>
      <c r="H13" s="1039">
        <v>19058</v>
      </c>
      <c r="I13" s="1038"/>
      <c r="J13" s="1829">
        <f t="shared" si="1"/>
        <v>19058</v>
      </c>
    </row>
    <row r="14" spans="1:17" ht="15" customHeight="1" x14ac:dyDescent="0.2">
      <c r="A14" s="1034">
        <v>3</v>
      </c>
      <c r="B14" s="1035" t="s">
        <v>45</v>
      </c>
      <c r="C14" s="1036"/>
      <c r="D14" s="1040">
        <v>2490</v>
      </c>
      <c r="E14" s="1829">
        <f>'Expenditures 15-22'!K56</f>
        <v>0</v>
      </c>
      <c r="F14" s="1038"/>
      <c r="G14" s="1829">
        <f t="shared" si="0"/>
        <v>0</v>
      </c>
      <c r="H14" s="1039"/>
      <c r="I14" s="1038"/>
      <c r="J14" s="1829">
        <f t="shared" si="1"/>
        <v>0</v>
      </c>
    </row>
    <row r="15" spans="1:17" ht="15" customHeight="1" x14ac:dyDescent="0.2">
      <c r="A15" s="1034">
        <v>4</v>
      </c>
      <c r="B15" s="1035" t="s">
        <v>1128</v>
      </c>
      <c r="C15" s="1036"/>
      <c r="D15" s="1037">
        <v>2510</v>
      </c>
      <c r="E15" s="1829">
        <f>'Expenditures 15-22'!K59</f>
        <v>0</v>
      </c>
      <c r="F15" s="1829">
        <f>'Expenditures 15-22'!K122</f>
        <v>0</v>
      </c>
      <c r="G15" s="1829">
        <f t="shared" si="0"/>
        <v>0</v>
      </c>
      <c r="H15" s="1039"/>
      <c r="I15" s="1039"/>
      <c r="J15" s="1829">
        <f t="shared" si="1"/>
        <v>0</v>
      </c>
    </row>
    <row r="16" spans="1:17" ht="15" customHeight="1" x14ac:dyDescent="0.2">
      <c r="A16" s="1034">
        <v>5</v>
      </c>
      <c r="B16" s="1035" t="s">
        <v>103</v>
      </c>
      <c r="C16" s="1036"/>
      <c r="D16" s="1037">
        <v>2570</v>
      </c>
      <c r="E16" s="1829">
        <f>'Expenditures 15-22'!K64</f>
        <v>0</v>
      </c>
      <c r="F16" s="1038"/>
      <c r="G16" s="1829">
        <f t="shared" si="0"/>
        <v>0</v>
      </c>
      <c r="H16" s="1039"/>
      <c r="I16" s="1038"/>
      <c r="J16" s="1829">
        <f t="shared" si="1"/>
        <v>0</v>
      </c>
    </row>
    <row r="17" spans="1:10" ht="15" customHeight="1" x14ac:dyDescent="0.2">
      <c r="A17" s="1034">
        <v>6</v>
      </c>
      <c r="B17" s="1035" t="s">
        <v>1120</v>
      </c>
      <c r="C17" s="1036"/>
      <c r="D17" s="1037">
        <v>2610</v>
      </c>
      <c r="E17" s="1829">
        <f>'Expenditures 15-22'!K67</f>
        <v>0</v>
      </c>
      <c r="F17" s="1038"/>
      <c r="G17" s="1829">
        <f t="shared" si="0"/>
        <v>0</v>
      </c>
      <c r="H17" s="1039"/>
      <c r="I17" s="1038"/>
      <c r="J17" s="1829">
        <f t="shared" si="1"/>
        <v>0</v>
      </c>
    </row>
    <row r="18" spans="1:10" ht="22.5" customHeight="1" x14ac:dyDescent="0.2">
      <c r="A18" s="1041">
        <v>7</v>
      </c>
      <c r="B18" s="2449" t="s">
        <v>7</v>
      </c>
      <c r="C18" s="2450"/>
      <c r="D18" s="2451"/>
      <c r="E18" s="1042"/>
      <c r="F18" s="1042"/>
      <c r="G18" s="1830">
        <f t="shared" si="0"/>
        <v>0</v>
      </c>
      <c r="H18" s="1039"/>
      <c r="I18" s="1039"/>
      <c r="J18" s="1829">
        <f t="shared" si="1"/>
        <v>0</v>
      </c>
    </row>
    <row r="19" spans="1:10" ht="12.75" customHeight="1" thickBot="1" x14ac:dyDescent="0.25">
      <c r="A19" s="1034">
        <v>8</v>
      </c>
      <c r="B19" s="1043" t="s">
        <v>1223</v>
      </c>
      <c r="D19" s="1044"/>
      <c r="E19" s="1831">
        <f t="shared" ref="E19:J19" si="2">SUM(E12:E17)-E18</f>
        <v>232368</v>
      </c>
      <c r="F19" s="1831">
        <f t="shared" si="2"/>
        <v>0</v>
      </c>
      <c r="G19" s="1831">
        <f t="shared" si="2"/>
        <v>232368</v>
      </c>
      <c r="H19" s="1831">
        <f t="shared" si="2"/>
        <v>252994</v>
      </c>
      <c r="I19" s="1831">
        <f t="shared" si="2"/>
        <v>0</v>
      </c>
      <c r="J19" s="1831">
        <f t="shared" si="2"/>
        <v>252994</v>
      </c>
    </row>
    <row r="20" spans="1:10" ht="13.5" thickTop="1" x14ac:dyDescent="0.2">
      <c r="A20" s="1034">
        <v>9</v>
      </c>
      <c r="B20" s="2452" t="s">
        <v>1701</v>
      </c>
      <c r="C20" s="2452"/>
      <c r="D20" s="2453"/>
      <c r="E20" s="1045"/>
      <c r="F20" s="1045"/>
      <c r="G20" s="1045"/>
      <c r="H20" s="1045"/>
      <c r="I20" s="1045"/>
      <c r="J20" s="1832">
        <f>IF(AND(G19&gt;0,J19&gt;0),(((J19-G19)/G19)),"Enter Budget Data")</f>
        <v>8.8764373751979625E-2</v>
      </c>
    </row>
    <row r="21" spans="1:10" ht="9" customHeight="1" x14ac:dyDescent="0.2">
      <c r="B21" s="1046"/>
    </row>
    <row r="22" spans="1:10" x14ac:dyDescent="0.2">
      <c r="A22" s="1047" t="s">
        <v>135</v>
      </c>
      <c r="B22" s="1046"/>
    </row>
    <row r="23" spans="1:10" x14ac:dyDescent="0.2">
      <c r="A23" s="1010" t="s">
        <v>1702</v>
      </c>
      <c r="B23" s="1046"/>
    </row>
    <row r="24" spans="1:10" x14ac:dyDescent="0.2">
      <c r="A24" s="1010" t="s">
        <v>1703</v>
      </c>
      <c r="B24" s="1046"/>
    </row>
    <row r="25" spans="1:10" x14ac:dyDescent="0.2">
      <c r="A25" s="1048"/>
      <c r="B25" s="1046"/>
    </row>
    <row r="26" spans="1:10" ht="20.100000000000001" customHeight="1" x14ac:dyDescent="0.2">
      <c r="B26" s="1046"/>
      <c r="C26" s="2458"/>
      <c r="D26" s="2458"/>
      <c r="E26" s="1049"/>
      <c r="F26" s="2457"/>
      <c r="G26" s="2457"/>
    </row>
    <row r="27" spans="1:10" x14ac:dyDescent="0.2">
      <c r="B27" s="1046"/>
      <c r="C27" s="1050" t="s">
        <v>1093</v>
      </c>
      <c r="D27" s="1051"/>
      <c r="E27" s="1052"/>
      <c r="F27" s="2454" t="s">
        <v>1589</v>
      </c>
      <c r="G27" s="2454"/>
    </row>
    <row r="28" spans="1:10" ht="28.5" customHeight="1" x14ac:dyDescent="0.2">
      <c r="B28" s="1046"/>
      <c r="C28" s="2456"/>
      <c r="D28" s="2456"/>
      <c r="E28" s="1053"/>
      <c r="F28" s="2456"/>
      <c r="G28" s="2456"/>
    </row>
    <row r="29" spans="1:10" x14ac:dyDescent="0.2">
      <c r="B29" s="1046"/>
      <c r="C29" s="1054" t="s">
        <v>1640</v>
      </c>
      <c r="E29" s="1055"/>
      <c r="F29" s="2455" t="s">
        <v>1590</v>
      </c>
      <c r="G29" s="2455"/>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t="s">
        <v>2072</v>
      </c>
      <c r="C33" s="2437" t="s">
        <v>134</v>
      </c>
      <c r="D33" s="2438"/>
      <c r="E33" s="2438"/>
      <c r="F33" s="2438"/>
      <c r="G33" s="2438"/>
      <c r="H33" s="2438"/>
      <c r="I33" s="2438"/>
    </row>
    <row r="34" spans="1:10" ht="10.35" customHeight="1" x14ac:dyDescent="0.2">
      <c r="C34" s="2438"/>
      <c r="D34" s="2438"/>
      <c r="E34" s="2438"/>
      <c r="F34" s="2438"/>
      <c r="G34" s="2438"/>
      <c r="H34" s="2438"/>
      <c r="I34" s="2438"/>
    </row>
    <row r="35" spans="1:10" ht="7.5" customHeight="1" x14ac:dyDescent="0.2">
      <c r="C35" s="1061"/>
    </row>
    <row r="36" spans="1:10" ht="13.5" customHeight="1" x14ac:dyDescent="0.2">
      <c r="B36" s="1060"/>
      <c r="C36" s="2439" t="s">
        <v>1939</v>
      </c>
      <c r="D36" s="2438"/>
      <c r="E36" s="2438"/>
      <c r="F36" s="2438"/>
      <c r="G36" s="2438"/>
      <c r="H36" s="2438"/>
      <c r="I36" s="2438"/>
      <c r="J36" s="1062"/>
    </row>
    <row r="37" spans="1:10" ht="22.5" customHeight="1" x14ac:dyDescent="0.2">
      <c r="C37" s="2438"/>
      <c r="D37" s="2438"/>
      <c r="E37" s="2438"/>
      <c r="F37" s="2438"/>
      <c r="G37" s="2438"/>
      <c r="H37" s="2438"/>
      <c r="I37" s="2438"/>
      <c r="J37" s="1062"/>
    </row>
    <row r="38" spans="1:10" ht="7.5" customHeight="1" x14ac:dyDescent="0.2">
      <c r="C38" s="1061"/>
      <c r="D38" s="1063"/>
      <c r="E38" s="1064"/>
      <c r="F38" s="1065"/>
      <c r="G38" s="1064"/>
    </row>
    <row r="39" spans="1:10" ht="13.5" customHeight="1" x14ac:dyDescent="0.2">
      <c r="B39" s="1060"/>
      <c r="C39" s="2435" t="s">
        <v>937</v>
      </c>
      <c r="D39" s="2436"/>
      <c r="E39" s="2436"/>
      <c r="F39" s="2436"/>
      <c r="G39" s="2436"/>
      <c r="H39" s="2436"/>
      <c r="I39" s="243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2176</v>
      </c>
    </row>
    <row r="6" spans="1:2" x14ac:dyDescent="0.2">
      <c r="A6" s="1067">
        <v>2</v>
      </c>
      <c r="B6" s="329" t="s">
        <v>2172</v>
      </c>
    </row>
    <row r="7" spans="1:2" x14ac:dyDescent="0.2">
      <c r="A7" s="1067">
        <v>3</v>
      </c>
      <c r="B7" s="329" t="s">
        <v>2171</v>
      </c>
    </row>
    <row r="8" spans="1:2" x14ac:dyDescent="0.2">
      <c r="A8" s="1067">
        <v>4</v>
      </c>
      <c r="B8" s="329" t="s">
        <v>2173</v>
      </c>
    </row>
    <row r="9" spans="1:2" x14ac:dyDescent="0.2">
      <c r="A9" s="1067">
        <v>5</v>
      </c>
      <c r="B9" s="329" t="s">
        <v>2174</v>
      </c>
    </row>
    <row r="10" spans="1:2" x14ac:dyDescent="0.2">
      <c r="A10" s="1067"/>
    </row>
    <row r="11" spans="1:2" x14ac:dyDescent="0.2">
      <c r="A11" s="1067"/>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Kewanee CUSD 229</v>
      </c>
    </row>
    <row r="65" spans="2:2" x14ac:dyDescent="0.2">
      <c r="B65" s="1069">
        <f>COVER!A13</f>
        <v>28037229026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1781</v>
      </c>
    </row>
    <row r="17" spans="1:2" ht="6" customHeight="1" x14ac:dyDescent="0.2"/>
    <row r="18" spans="1:2" ht="24.75" customHeight="1" x14ac:dyDescent="0.2">
      <c r="A18" s="2459" t="s">
        <v>1782</v>
      </c>
      <c r="B18" s="245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60" t="s">
        <v>1788</v>
      </c>
      <c r="B1" s="2461"/>
      <c r="C1" s="2461"/>
      <c r="D1" s="2461"/>
      <c r="E1" s="2461"/>
      <c r="F1" s="2462"/>
    </row>
    <row r="2" spans="1:8" ht="45" customHeight="1" x14ac:dyDescent="0.2">
      <c r="A2" s="2470" t="s">
        <v>1789</v>
      </c>
      <c r="B2" s="2471"/>
      <c r="C2" s="2471"/>
      <c r="D2" s="2471"/>
      <c r="E2" s="2471"/>
      <c r="F2" s="2472"/>
      <c r="G2" s="1073"/>
      <c r="H2" s="1073"/>
    </row>
    <row r="3" spans="1:8" ht="57" customHeight="1" x14ac:dyDescent="0.2">
      <c r="A3" s="2473" t="s">
        <v>1784</v>
      </c>
      <c r="B3" s="2474"/>
      <c r="C3" s="2474"/>
      <c r="D3" s="2474"/>
      <c r="E3" s="2474"/>
      <c r="F3" s="2475"/>
      <c r="G3" s="1073"/>
      <c r="H3" s="1073"/>
    </row>
    <row r="4" spans="1:8" ht="14.25" customHeight="1" x14ac:dyDescent="0.2">
      <c r="A4" s="2479" t="s">
        <v>2051</v>
      </c>
      <c r="B4" s="2480"/>
      <c r="C4" s="2480"/>
      <c r="D4" s="2480"/>
      <c r="E4" s="2480"/>
      <c r="F4" s="2481"/>
      <c r="G4" s="1073"/>
      <c r="H4" s="1073"/>
    </row>
    <row r="5" spans="1:8" ht="14.25" customHeight="1" x14ac:dyDescent="0.2">
      <c r="A5" s="2482" t="s">
        <v>2052</v>
      </c>
      <c r="B5" s="2483"/>
      <c r="C5" s="2483"/>
      <c r="D5" s="2483"/>
      <c r="E5" s="2483"/>
      <c r="F5" s="2484"/>
      <c r="G5" s="1073"/>
      <c r="H5" s="1073"/>
    </row>
    <row r="6" spans="1:8" s="1074" customFormat="1" ht="41.25" customHeight="1" x14ac:dyDescent="0.2">
      <c r="A6" s="2476" t="s">
        <v>1790</v>
      </c>
      <c r="B6" s="2477"/>
      <c r="C6" s="2477"/>
      <c r="D6" s="2477"/>
      <c r="E6" s="2477"/>
      <c r="F6" s="247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3">
        <f>'Acct Summary 7-8'!C8</f>
        <v>15313544</v>
      </c>
      <c r="C8" s="1833">
        <f>'Acct Summary 7-8'!D8</f>
        <v>2141331</v>
      </c>
      <c r="D8" s="1833">
        <f>'Acct Summary 7-8'!F8</f>
        <v>1006884</v>
      </c>
      <c r="E8" s="1833">
        <f>'Acct Summary 7-8'!I8</f>
        <v>44993</v>
      </c>
      <c r="F8" s="1833">
        <f>SUM(B8:E8)</f>
        <v>18506752</v>
      </c>
    </row>
    <row r="9" spans="1:8" s="1078" customFormat="1" ht="14.25" customHeight="1" thickBot="1" x14ac:dyDescent="0.25">
      <c r="A9" s="1077" t="s">
        <v>1436</v>
      </c>
      <c r="B9" s="1834">
        <f>'Acct Summary 7-8'!C17</f>
        <v>14821795</v>
      </c>
      <c r="C9" s="1834">
        <f>'Acct Summary 7-8'!D17</f>
        <v>1861291</v>
      </c>
      <c r="D9" s="1834">
        <f>'Acct Summary 7-8'!F17</f>
        <v>759888</v>
      </c>
      <c r="E9" s="1833"/>
      <c r="F9" s="1833">
        <f>SUM(B9:E9)</f>
        <v>17442974</v>
      </c>
    </row>
    <row r="10" spans="1:8" s="1078" customFormat="1" ht="14.25" thickTop="1" thickBot="1" x14ac:dyDescent="0.25">
      <c r="A10" s="1079" t="s">
        <v>1437</v>
      </c>
      <c r="B10" s="1835">
        <f>(B8-B9)</f>
        <v>491749</v>
      </c>
      <c r="C10" s="1835">
        <f>(C8-C9)</f>
        <v>280040</v>
      </c>
      <c r="D10" s="1835">
        <f>(D8-D9)</f>
        <v>246996</v>
      </c>
      <c r="E10" s="1834">
        <f>(E8-E9)</f>
        <v>44993</v>
      </c>
      <c r="F10" s="1836">
        <f>SUM(F8-F9)</f>
        <v>1063778</v>
      </c>
    </row>
    <row r="11" spans="1:8" s="1078" customFormat="1" ht="14.25" thickTop="1" thickBot="1" x14ac:dyDescent="0.25">
      <c r="A11" s="1080" t="s">
        <v>1783</v>
      </c>
      <c r="B11" s="1837">
        <f>'Acct Summary 7-8'!C81</f>
        <v>8270681</v>
      </c>
      <c r="C11" s="1837">
        <f>'Acct Summary 7-8'!D81</f>
        <v>1676579</v>
      </c>
      <c r="D11" s="1837">
        <f>'Acct Summary 7-8'!F81</f>
        <v>812945</v>
      </c>
      <c r="E11" s="1837">
        <f>'Acct Summary 7-8'!I81</f>
        <v>486482</v>
      </c>
      <c r="F11" s="1838">
        <f>SUM(B11:E11)</f>
        <v>11246687</v>
      </c>
    </row>
    <row r="12" spans="1:8" ht="16.5" customHeight="1" thickTop="1" x14ac:dyDescent="0.2">
      <c r="A12" s="1081"/>
      <c r="B12" s="1082"/>
      <c r="C12" s="2464" t="str">
        <f>IF(AND(F10&lt;0,F11&gt;=0,ABS(F10*3)&gt;ABS(F11)),A16,IF(AND(F10&lt;0,F11&gt;0,ABS(F10*3)&lt;=ABS(F11)),A17,IF(AND(F10&lt;0,F11&lt;0),A16,IF(F11=0,A19,A18))))</f>
        <v>Balanced - no deficit reduction plan is required.</v>
      </c>
      <c r="D12" s="2465"/>
      <c r="E12" s="2465"/>
      <c r="F12" s="2466"/>
    </row>
    <row r="13" spans="1:8" ht="19.5" customHeight="1" x14ac:dyDescent="0.2">
      <c r="A13" s="1083"/>
      <c r="B13" s="1084"/>
      <c r="C13" s="2464"/>
      <c r="D13" s="2465"/>
      <c r="E13" s="2465"/>
      <c r="F13" s="2466"/>
      <c r="H13" s="1073"/>
    </row>
    <row r="14" spans="1:8" ht="19.5" customHeight="1" x14ac:dyDescent="0.2">
      <c r="A14" s="1083"/>
      <c r="B14" s="1084"/>
      <c r="C14" s="2464"/>
      <c r="D14" s="2465"/>
      <c r="E14" s="2465"/>
      <c r="F14" s="2466"/>
      <c r="H14" s="1073"/>
    </row>
    <row r="15" spans="1:8" ht="17.25" customHeight="1" x14ac:dyDescent="0.2">
      <c r="A15" s="1083"/>
      <c r="B15" s="1084"/>
      <c r="C15" s="2467"/>
      <c r="D15" s="2468"/>
      <c r="E15" s="2468"/>
      <c r="F15" s="2469"/>
      <c r="H15" s="1073"/>
    </row>
    <row r="16" spans="1:8" s="310" customFormat="1" ht="51.75" hidden="1" customHeight="1" x14ac:dyDescent="0.2">
      <c r="A16" s="2463" t="s">
        <v>1785</v>
      </c>
      <c r="B16" s="2463"/>
      <c r="C16" s="2463"/>
      <c r="D16" s="2463"/>
      <c r="E16" s="2463"/>
      <c r="F16" s="310" t="s">
        <v>1438</v>
      </c>
    </row>
    <row r="17" spans="1:6" hidden="1" x14ac:dyDescent="0.2">
      <c r="A17" s="316" t="s">
        <v>1786</v>
      </c>
      <c r="F17" s="1085" t="s">
        <v>1439</v>
      </c>
    </row>
    <row r="18" spans="1:6" hidden="1" x14ac:dyDescent="0.2">
      <c r="A18" s="316" t="s">
        <v>1787</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485" t="s">
        <v>686</v>
      </c>
      <c r="B3" s="2486"/>
      <c r="C3" s="2486"/>
      <c r="D3" s="2487"/>
    </row>
    <row r="4" spans="1:4" x14ac:dyDescent="0.2">
      <c r="A4" s="1151" t="s">
        <v>1791</v>
      </c>
      <c r="B4" s="1152"/>
      <c r="C4" s="1153"/>
      <c r="D4" s="1154"/>
    </row>
    <row r="5" spans="1:4" ht="21" customHeight="1" x14ac:dyDescent="0.2">
      <c r="A5" s="1147"/>
      <c r="B5" s="1148">
        <v>1</v>
      </c>
      <c r="C5" s="1149" t="s">
        <v>1941</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496" t="s">
        <v>1584</v>
      </c>
      <c r="D7" s="2497"/>
    </row>
    <row r="8" spans="1:4" s="667" customFormat="1" ht="12.75" x14ac:dyDescent="0.2">
      <c r="A8" s="1137"/>
      <c r="B8" s="1092"/>
      <c r="C8" s="1095" t="s">
        <v>1583</v>
      </c>
      <c r="D8" s="1096"/>
    </row>
    <row r="9" spans="1:4" s="667" customFormat="1" ht="14.25" customHeight="1" x14ac:dyDescent="0.2">
      <c r="A9" s="1137"/>
      <c r="B9" s="1092">
        <f>B7+1</f>
        <v>4</v>
      </c>
      <c r="C9" s="1093" t="s">
        <v>2044</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488" t="s">
        <v>1065</v>
      </c>
      <c r="B15" s="2489"/>
      <c r="C15" s="2489"/>
      <c r="D15" s="2490"/>
    </row>
    <row r="16" spans="1:4" s="667" customFormat="1" ht="24" customHeight="1" x14ac:dyDescent="0.2">
      <c r="A16" s="2491" t="s">
        <v>684</v>
      </c>
      <c r="B16" s="2492"/>
      <c r="C16" s="2492"/>
      <c r="D16" s="2493"/>
    </row>
    <row r="17" spans="1:10" s="667" customFormat="1" ht="12.75" customHeight="1" x14ac:dyDescent="0.2">
      <c r="A17" s="1155" t="s">
        <v>1792</v>
      </c>
      <c r="B17" s="1156"/>
      <c r="C17" s="1157"/>
      <c r="D17" s="1158"/>
    </row>
    <row r="18" spans="1:10" s="667" customFormat="1" ht="12.75" customHeight="1" x14ac:dyDescent="0.2">
      <c r="A18" s="1159" t="s">
        <v>1793</v>
      </c>
      <c r="B18" s="1160"/>
      <c r="C18" s="1161"/>
      <c r="D18" s="1162"/>
    </row>
    <row r="19" spans="1:10" ht="6.75" customHeight="1" thickBot="1" x14ac:dyDescent="0.25">
      <c r="A19" s="1163"/>
      <c r="B19" s="1164"/>
      <c r="C19" s="1165"/>
      <c r="D19" s="1166"/>
    </row>
    <row r="20" spans="1:10" s="1170" customFormat="1" ht="12.75" thickTop="1" x14ac:dyDescent="0.2">
      <c r="A20" s="1167"/>
      <c r="B20" s="1168" t="s">
        <v>1794</v>
      </c>
      <c r="C20" s="1169"/>
      <c r="D20" s="1172" t="s">
        <v>734</v>
      </c>
    </row>
    <row r="21" spans="1:10" x14ac:dyDescent="0.2">
      <c r="A21" s="1097"/>
      <c r="B21" s="1098">
        <v>1</v>
      </c>
      <c r="C21" s="2500" t="s">
        <v>332</v>
      </c>
      <c r="D21" s="2501"/>
    </row>
    <row r="22" spans="1:10" ht="12.75" x14ac:dyDescent="0.2">
      <c r="A22" s="1138"/>
      <c r="B22" s="1139">
        <v>2</v>
      </c>
      <c r="C22" s="2498" t="s">
        <v>1605</v>
      </c>
      <c r="D22" s="249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502" t="s">
        <v>557</v>
      </c>
      <c r="D43" s="250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494" t="s">
        <v>817</v>
      </c>
      <c r="D56" s="249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2045</v>
      </c>
      <c r="D66" s="1124"/>
    </row>
    <row r="67" spans="1:4" x14ac:dyDescent="0.2">
      <c r="A67" s="1118"/>
      <c r="B67" s="1139"/>
      <c r="C67" s="1146" t="s">
        <v>1079</v>
      </c>
      <c r="D67" s="1124"/>
    </row>
    <row r="68" spans="1:4" x14ac:dyDescent="0.2">
      <c r="A68" s="1099"/>
      <c r="B68" s="1109"/>
      <c r="C68" s="1101" t="s">
        <v>2046</v>
      </c>
      <c r="D68" s="1123" t="str">
        <f>IF('Short-Term Long-Term Debt 24'!F49=SUM(,'Acct Summary 7-8'!C33:K33),"OK","ERROR!")</f>
        <v>OK</v>
      </c>
    </row>
    <row r="69" spans="1:4" x14ac:dyDescent="0.2">
      <c r="A69" s="1099"/>
      <c r="B69" s="1109"/>
      <c r="C69" s="1101" t="s">
        <v>2047</v>
      </c>
      <c r="D69" s="1123" t="str">
        <f>IF('Expenditures 15-22'!H170&lt;&gt;'Short-Term Long-Term Debt 24'!H49,"ERROR!","OK")</f>
        <v>OK</v>
      </c>
    </row>
    <row r="70" spans="1:4" x14ac:dyDescent="0.2">
      <c r="A70" s="1097"/>
      <c r="B70" s="1119">
        <f>B66+1</f>
        <v>9</v>
      </c>
      <c r="C70" s="2494" t="s">
        <v>1795</v>
      </c>
      <c r="D70" s="249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1796</v>
      </c>
      <c r="D73" s="1125" t="str">
        <f>IF(SUM('Acct Summary 7-8'!C42:K42)&gt;=SUM( 'Acct Summary 7-8'!C74:K74),"OK", "ERROR")</f>
        <v>OK</v>
      </c>
    </row>
    <row r="74" spans="1:4" x14ac:dyDescent="0.2">
      <c r="A74" s="1097"/>
      <c r="B74" s="1119">
        <f>B70+1</f>
        <v>10</v>
      </c>
      <c r="C74" s="1113" t="s">
        <v>2048</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2049</v>
      </c>
      <c r="D78" s="1123" t="str">
        <f>IF(ISNUMBER('Acct Summary 7-8'!C9),"OK","ENTRY IS REQUIRED!")</f>
        <v>OK</v>
      </c>
    </row>
    <row r="79" spans="1:4" x14ac:dyDescent="0.2">
      <c r="A79" s="1118"/>
      <c r="B79" s="1119">
        <f>B74+1+1</f>
        <v>12</v>
      </c>
      <c r="C79" s="1129" t="s">
        <v>2014</v>
      </c>
      <c r="D79" s="1130" t="str">
        <f>IF(OR(COVER!$B$6="X",'PCTC-OEPP 27-28'!F78&gt;0),"OK","PLEASE ENTER 9 MO ADA.")</f>
        <v>OK</v>
      </c>
    </row>
    <row r="80" spans="1:4" x14ac:dyDescent="0.2">
      <c r="A80" s="1097"/>
      <c r="B80" s="1119">
        <v>13</v>
      </c>
      <c r="C80" s="1129" t="s">
        <v>2050</v>
      </c>
      <c r="D80" s="1130" t="str">
        <f>IF('Contracts Paid in CY 29'!D127&gt;0,"OK","PLEASE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28037229026</v>
      </c>
    </row>
    <row r="3" spans="1:2" x14ac:dyDescent="0.2">
      <c r="A3" t="s">
        <v>1013</v>
      </c>
      <c r="B3" s="138" t="str">
        <f>COVER!A15</f>
        <v>Henry</v>
      </c>
    </row>
    <row r="4" spans="1:2" x14ac:dyDescent="0.2">
      <c r="A4" t="s">
        <v>1064</v>
      </c>
      <c r="B4" s="138" t="str">
        <f>COVER!A17</f>
        <v>Kewanee CUSD 229</v>
      </c>
    </row>
    <row r="5" spans="1:2" x14ac:dyDescent="0.2">
      <c r="A5" t="s">
        <v>728</v>
      </c>
      <c r="B5" s="138" t="str">
        <f>COVER!A38</f>
        <v xml:space="preserve">Dr. Chris Sullens </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rrumbold@gornezcpa.com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1764591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8277669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6988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6988</v>
      </c>
      <c r="C91" s="2" t="s">
        <v>594</v>
      </c>
      <c r="D91" s="2" t="str">
        <f t="shared" si="0"/>
        <v>Error?</v>
      </c>
    </row>
    <row r="92" spans="1:4" x14ac:dyDescent="0.2">
      <c r="A92" s="5">
        <v>31</v>
      </c>
      <c r="B92" s="138">
        <f>'Assets-Liab 5-6'!C39</f>
        <v>8270681</v>
      </c>
      <c r="D92" s="2" t="str">
        <f t="shared" si="0"/>
        <v>Error?</v>
      </c>
    </row>
    <row r="93" spans="1:4" x14ac:dyDescent="0.2">
      <c r="A93" s="5">
        <v>32</v>
      </c>
      <c r="B93" s="138">
        <f>'Assets-Liab 5-6'!C41</f>
        <v>8277669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130257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1676579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1591847</v>
      </c>
      <c r="D123" s="2" t="str">
        <f t="shared" si="0"/>
        <v>Error?</v>
      </c>
    </row>
    <row r="124" spans="1:4" x14ac:dyDescent="0.2">
      <c r="A124" s="5">
        <v>63</v>
      </c>
      <c r="B124" s="138">
        <f>'Assets-Liab 5-6'!D41</f>
        <v>1676579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975085</v>
      </c>
      <c r="D129" s="2" t="str">
        <f t="shared" si="1"/>
        <v>Error?</v>
      </c>
    </row>
    <row r="130" spans="1:4" x14ac:dyDescent="0.2">
      <c r="A130" s="5">
        <v>69</v>
      </c>
      <c r="B130" s="138">
        <f>'Assets-Liab 5-6'!E12</f>
        <v>0</v>
      </c>
      <c r="D130" s="2" t="str">
        <f t="shared" si="1"/>
        <v>Error?</v>
      </c>
    </row>
    <row r="131" spans="1:4" x14ac:dyDescent="0.2">
      <c r="A131" s="5">
        <v>70</v>
      </c>
      <c r="B131" s="138">
        <f>'Assets-Liab 5-6'!E13</f>
        <v>1669237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110531</v>
      </c>
      <c r="D140" s="2" t="str">
        <f t="shared" si="1"/>
        <v>Error?</v>
      </c>
    </row>
    <row r="141" spans="1:4" x14ac:dyDescent="0.2">
      <c r="A141" s="5">
        <v>80</v>
      </c>
      <c r="B141" s="138">
        <f>'Assets-Liab 5-6'!E41</f>
        <v>1669237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7626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812945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812945</v>
      </c>
      <c r="D170" s="2" t="str">
        <f t="shared" si="1"/>
        <v>Error?</v>
      </c>
    </row>
    <row r="171" spans="1:4" x14ac:dyDescent="0.2">
      <c r="A171" s="5">
        <v>110</v>
      </c>
      <c r="B171" s="138">
        <f>'Assets-Liab 5-6'!F41</f>
        <v>812945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952507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380278</v>
      </c>
      <c r="D189" s="2" t="str">
        <f t="shared" si="1"/>
        <v>Error?</v>
      </c>
    </row>
    <row r="190" spans="1:4" x14ac:dyDescent="0.2">
      <c r="A190" s="5">
        <v>129</v>
      </c>
      <c r="B190" s="138">
        <f>'Assets-Liab 5-6'!G41</f>
        <v>952507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3322178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3322178</v>
      </c>
      <c r="D212" s="2" t="str">
        <f t="shared" si="2"/>
        <v>Error?</v>
      </c>
    </row>
    <row r="213" spans="1:4" x14ac:dyDescent="0.2">
      <c r="A213" s="12">
        <v>152</v>
      </c>
      <c r="B213" s="138">
        <f>'Assets-Liab 5-6'!H41</f>
        <v>3322178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396790</v>
      </c>
      <c r="D273" s="2" t="str">
        <f t="shared" si="3"/>
        <v>Error?</v>
      </c>
    </row>
    <row r="274" spans="1:4" x14ac:dyDescent="0.2">
      <c r="A274" s="5">
        <v>213</v>
      </c>
      <c r="B274" s="138">
        <f>'Assets-Liab 5-6'!M17</f>
        <v>22988062</v>
      </c>
      <c r="D274" s="2" t="str">
        <f t="shared" si="3"/>
        <v>Error?</v>
      </c>
    </row>
    <row r="275" spans="1:4" x14ac:dyDescent="0.2">
      <c r="A275" s="5">
        <v>214</v>
      </c>
      <c r="B275" s="138">
        <f>'Assets-Liab 5-6'!M18</f>
        <v>2985451</v>
      </c>
      <c r="D275" s="2" t="str">
        <f t="shared" si="3"/>
        <v>Error?</v>
      </c>
    </row>
    <row r="276" spans="1:4" x14ac:dyDescent="0.2">
      <c r="A276" s="5">
        <v>215</v>
      </c>
      <c r="B276" s="138">
        <f>'Assets-Liab 5-6'!M19</f>
        <v>5560351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31930654</v>
      </c>
      <c r="C279" s="2" t="s">
        <v>594</v>
      </c>
      <c r="D279" s="2" t="str">
        <f t="shared" si="3"/>
        <v>Error?</v>
      </c>
    </row>
    <row r="280" spans="1:4" x14ac:dyDescent="0.2">
      <c r="A280" s="5">
        <v>219</v>
      </c>
      <c r="B280" s="138">
        <f>'Assets-Liab 5-6'!M40</f>
        <v>31930654</v>
      </c>
      <c r="D280" s="2" t="str">
        <f t="shared" si="3"/>
        <v>Error?</v>
      </c>
    </row>
    <row r="281" spans="1:4" x14ac:dyDescent="0.2">
      <c r="A281" s="5">
        <v>220</v>
      </c>
      <c r="B281" s="138">
        <f>'Assets-Liab 5-6'!M41</f>
        <v>31930654</v>
      </c>
      <c r="C281" s="2" t="s">
        <v>594</v>
      </c>
      <c r="D281" s="2" t="str">
        <f t="shared" si="3"/>
        <v>Error?</v>
      </c>
    </row>
    <row r="282" spans="1:4" x14ac:dyDescent="0.2">
      <c r="A282" s="5">
        <v>221</v>
      </c>
      <c r="B282" s="138">
        <f>'Assets-Liab 5-6'!N21</f>
        <v>1669237</v>
      </c>
      <c r="D282" s="2" t="str">
        <f t="shared" si="3"/>
        <v>Error?</v>
      </c>
    </row>
    <row r="283" spans="1:4" x14ac:dyDescent="0.2">
      <c r="A283" s="5">
        <v>222</v>
      </c>
      <c r="B283" s="138">
        <f>'Assets-Liab 5-6'!N22</f>
        <v>4773763</v>
      </c>
      <c r="D283" s="2" t="str">
        <f t="shared" si="3"/>
        <v>Error?</v>
      </c>
    </row>
    <row r="284" spans="1:4" x14ac:dyDescent="0.2">
      <c r="A284" s="5">
        <v>223</v>
      </c>
      <c r="B284" s="138">
        <f>'Assets-Liab 5-6'!N23</f>
        <v>6443000</v>
      </c>
      <c r="C284" s="2" t="s">
        <v>594</v>
      </c>
      <c r="D284" s="2" t="str">
        <f t="shared" si="3"/>
        <v>Error?</v>
      </c>
    </row>
    <row r="285" spans="1:4" x14ac:dyDescent="0.2">
      <c r="A285" s="5">
        <v>224</v>
      </c>
      <c r="B285" s="138">
        <f>'Assets-Liab 5-6'!N36</f>
        <v>6443000</v>
      </c>
      <c r="D285" s="2" t="str">
        <f t="shared" si="3"/>
        <v>Error?</v>
      </c>
    </row>
    <row r="286" spans="1:4" x14ac:dyDescent="0.2">
      <c r="A286" s="10">
        <v>225</v>
      </c>
      <c r="D286" s="2" t="str">
        <f t="shared" si="3"/>
        <v>OK</v>
      </c>
    </row>
    <row r="287" spans="1:4" x14ac:dyDescent="0.2">
      <c r="A287" s="5">
        <v>226</v>
      </c>
      <c r="B287" s="138">
        <f>'Assets-Liab 5-6'!N37</f>
        <v>6443000</v>
      </c>
      <c r="C287" s="2" t="s">
        <v>594</v>
      </c>
      <c r="D287" s="2" t="str">
        <f t="shared" si="3"/>
        <v>Error?</v>
      </c>
    </row>
    <row r="288" spans="1:4" x14ac:dyDescent="0.2">
      <c r="A288" s="5">
        <v>227</v>
      </c>
      <c r="B288" s="138">
        <f>'Assets-Liab 5-6'!N41</f>
        <v>6443000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2465000</v>
      </c>
      <c r="D618" s="2" t="str">
        <f t="shared" si="8"/>
        <v>Error?</v>
      </c>
    </row>
    <row r="619" spans="1:4" x14ac:dyDescent="0.2">
      <c r="A619" s="5">
        <v>558</v>
      </c>
      <c r="B619" s="138">
        <f>'Acct Summary 7-8'!H34</f>
        <v>88171</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5075437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76236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274061</v>
      </c>
      <c r="D717" s="2" t="str">
        <f t="shared" si="10"/>
        <v>Error?</v>
      </c>
    </row>
    <row r="718" spans="1:4" x14ac:dyDescent="0.2">
      <c r="A718" s="5">
        <v>657</v>
      </c>
      <c r="B718" s="138">
        <f>'Expenditures 15-22'!C14</f>
        <v>361710</v>
      </c>
      <c r="D718" s="2" t="str">
        <f t="shared" si="10"/>
        <v>Error?</v>
      </c>
    </row>
    <row r="719" spans="1:4" x14ac:dyDescent="0.2">
      <c r="A719" s="5">
        <v>658</v>
      </c>
      <c r="B719" s="138">
        <f>'Expenditures 15-22'!C15</f>
        <v>12837</v>
      </c>
      <c r="D719" s="2" t="str">
        <f t="shared" si="10"/>
        <v>Error?</v>
      </c>
    </row>
    <row r="720" spans="1:4" x14ac:dyDescent="0.2">
      <c r="A720" s="5">
        <v>659</v>
      </c>
      <c r="B720" s="138">
        <f>'Expenditures 15-22'!C33</f>
        <v>6651632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168897</v>
      </c>
      <c r="D722" s="2" t="str">
        <f t="shared" si="10"/>
        <v>Error?</v>
      </c>
    </row>
    <row r="723" spans="1:4" x14ac:dyDescent="0.2">
      <c r="A723" s="5">
        <v>662</v>
      </c>
      <c r="B723" s="138">
        <f>'Expenditures 15-22'!C38</f>
        <v>109077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277974</v>
      </c>
      <c r="C727" s="2" t="s">
        <v>594</v>
      </c>
      <c r="D727" s="2" t="str">
        <f t="shared" si="10"/>
        <v>Error?</v>
      </c>
    </row>
    <row r="728" spans="1:4" x14ac:dyDescent="0.2">
      <c r="A728" s="5">
        <v>667</v>
      </c>
      <c r="B728" s="138">
        <f>'Expenditures 15-22'!C44</f>
        <v>54469</v>
      </c>
      <c r="D728" s="2" t="str">
        <f t="shared" si="10"/>
        <v>Error?</v>
      </c>
    </row>
    <row r="729" spans="1:4" x14ac:dyDescent="0.2">
      <c r="A729" s="5">
        <v>668</v>
      </c>
      <c r="B729" s="138">
        <f>'Expenditures 15-22'!C45</f>
        <v>87445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141914</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183735</v>
      </c>
      <c r="D733" s="2" t="str">
        <f t="shared" si="10"/>
        <v>Error?</v>
      </c>
    </row>
    <row r="734" spans="1:4" x14ac:dyDescent="0.2">
      <c r="A734" s="5">
        <v>673</v>
      </c>
      <c r="B734" s="138">
        <f>'Expenditures 15-22'!C53</f>
        <v>198010</v>
      </c>
      <c r="C734" s="2" t="s">
        <v>594</v>
      </c>
      <c r="D734" s="2" t="str">
        <f t="shared" si="10"/>
        <v>Error?</v>
      </c>
    </row>
    <row r="735" spans="1:4" x14ac:dyDescent="0.2">
      <c r="A735" s="5">
        <v>674</v>
      </c>
      <c r="B735" s="138">
        <f>'Expenditures 15-22'!C55</f>
        <v>925149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925149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200538</v>
      </c>
      <c r="D739" s="2" t="str">
        <f t="shared" si="10"/>
        <v>Error?</v>
      </c>
    </row>
    <row r="740" spans="1:4" x14ac:dyDescent="0.2">
      <c r="A740" s="5">
        <v>679</v>
      </c>
      <c r="B740" s="138">
        <f>'Expenditures 15-22'!C61</f>
        <v>20664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320337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541539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28931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28931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2113517</v>
      </c>
      <c r="C755" s="2" t="s">
        <v>594</v>
      </c>
      <c r="D755" s="2" t="str">
        <f t="shared" si="10"/>
        <v>Error?</v>
      </c>
    </row>
    <row r="756" spans="1:4" x14ac:dyDescent="0.2">
      <c r="A756" s="5">
        <v>695</v>
      </c>
      <c r="B756" s="138">
        <f>'Expenditures 15-22'!C75</f>
        <v>47872</v>
      </c>
      <c r="D756" s="2" t="str">
        <f t="shared" si="10"/>
        <v>Error?</v>
      </c>
    </row>
    <row r="757" spans="1:4" x14ac:dyDescent="0.2">
      <c r="A757" s="5">
        <v>696</v>
      </c>
      <c r="B757" s="138">
        <f>'Expenditures 15-22'!C114</f>
        <v>8813021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581519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4462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32376</v>
      </c>
      <c r="D775" s="2" t="str">
        <f t="shared" si="11"/>
        <v>Error?</v>
      </c>
    </row>
    <row r="776" spans="1:4" x14ac:dyDescent="0.2">
      <c r="A776" s="5">
        <v>715</v>
      </c>
      <c r="B776" s="138">
        <f>'Expenditures 15-22'!D14</f>
        <v>10002</v>
      </c>
      <c r="D776" s="2" t="str">
        <f t="shared" si="11"/>
        <v>Error?</v>
      </c>
    </row>
    <row r="777" spans="1:4" x14ac:dyDescent="0.2">
      <c r="A777" s="5">
        <v>716</v>
      </c>
      <c r="B777" s="138">
        <f>'Expenditures 15-22'!D15</f>
        <v>217</v>
      </c>
      <c r="D777" s="2" t="str">
        <f t="shared" si="11"/>
        <v>Error?</v>
      </c>
    </row>
    <row r="778" spans="1:4" x14ac:dyDescent="0.2">
      <c r="A778" s="5">
        <v>717</v>
      </c>
      <c r="B778" s="138">
        <f>'Expenditures 15-22'!D33</f>
        <v>782366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25910</v>
      </c>
      <c r="D780" s="2" t="str">
        <f t="shared" si="11"/>
        <v>Error?</v>
      </c>
    </row>
    <row r="781" spans="1:4" x14ac:dyDescent="0.2">
      <c r="A781" s="5">
        <v>720</v>
      </c>
      <c r="B781" s="138">
        <f>'Expenditures 15-22'!D38</f>
        <v>13741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39651</v>
      </c>
      <c r="C785" s="2" t="s">
        <v>594</v>
      </c>
      <c r="D785" s="2" t="str">
        <f t="shared" si="11"/>
        <v>Error?</v>
      </c>
    </row>
    <row r="786" spans="1:4" x14ac:dyDescent="0.2">
      <c r="A786" s="5">
        <v>725</v>
      </c>
      <c r="B786" s="138">
        <f>'Expenditures 15-22'!D44</f>
        <v>11116</v>
      </c>
      <c r="D786" s="2" t="str">
        <f t="shared" si="11"/>
        <v>Error?</v>
      </c>
    </row>
    <row r="787" spans="1:4" x14ac:dyDescent="0.2">
      <c r="A787" s="5">
        <v>726</v>
      </c>
      <c r="B787" s="138">
        <f>'Expenditures 15-22'!D45</f>
        <v>16417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27533</v>
      </c>
      <c r="C789" s="2" t="s">
        <v>594</v>
      </c>
      <c r="D789" s="2" t="str">
        <f t="shared" si="11"/>
        <v>Error?</v>
      </c>
    </row>
    <row r="790" spans="1:4" x14ac:dyDescent="0.2">
      <c r="A790" s="5">
        <v>729</v>
      </c>
      <c r="B790" s="138">
        <f>'Expenditures 15-22'!D49</f>
        <v>2696</v>
      </c>
      <c r="D790" s="2" t="str">
        <f t="shared" si="11"/>
        <v>Error?</v>
      </c>
    </row>
    <row r="791" spans="1:4" x14ac:dyDescent="0.2">
      <c r="A791" s="5">
        <v>730</v>
      </c>
      <c r="B791" s="138">
        <f>'Expenditures 15-22'!D50</f>
        <v>23753</v>
      </c>
      <c r="D791" s="2" t="str">
        <f t="shared" si="11"/>
        <v>Error?</v>
      </c>
    </row>
    <row r="792" spans="1:4" x14ac:dyDescent="0.2">
      <c r="A792" s="5">
        <v>731</v>
      </c>
      <c r="B792" s="138">
        <f>'Expenditures 15-22'!D53</f>
        <v>29809</v>
      </c>
      <c r="C792" s="2" t="s">
        <v>594</v>
      </c>
      <c r="D792" s="2" t="str">
        <f t="shared" si="11"/>
        <v>Error?</v>
      </c>
    </row>
    <row r="793" spans="1:4" x14ac:dyDescent="0.2">
      <c r="A793" s="5">
        <v>732</v>
      </c>
      <c r="B793" s="138">
        <f>'Expenditures 15-22'!D55</f>
        <v>108265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108265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20227</v>
      </c>
      <c r="D797" s="2" t="str">
        <f t="shared" si="11"/>
        <v>Error?</v>
      </c>
    </row>
    <row r="798" spans="1:4" x14ac:dyDescent="0.2">
      <c r="A798" s="5">
        <v>737</v>
      </c>
      <c r="B798" s="138">
        <f>'Expenditures 15-22'!D61</f>
        <v>2517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108722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131466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6659</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6659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343383</v>
      </c>
      <c r="C813" s="2" t="s">
        <v>594</v>
      </c>
      <c r="D813" s="2" t="str">
        <f t="shared" si="11"/>
        <v>Error?</v>
      </c>
    </row>
    <row r="814" spans="1:4" x14ac:dyDescent="0.2">
      <c r="A814" s="5">
        <v>753</v>
      </c>
      <c r="B814" s="138">
        <f>'Expenditures 15-22'!D75</f>
        <v>9211</v>
      </c>
      <c r="D814" s="2" t="str">
        <f t="shared" si="11"/>
        <v>Error?</v>
      </c>
    </row>
    <row r="815" spans="1:4" x14ac:dyDescent="0.2">
      <c r="A815" s="5">
        <v>754</v>
      </c>
      <c r="B815" s="138">
        <f>'Expenditures 15-22'!D114</f>
        <v>1134960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96263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3079</v>
      </c>
      <c r="D833" s="2" t="str">
        <f t="shared" si="12"/>
        <v>Error?</v>
      </c>
    </row>
    <row r="834" spans="1:4" x14ac:dyDescent="0.2">
      <c r="A834" s="5">
        <v>773</v>
      </c>
      <c r="B834" s="138">
        <f>'Expenditures 15-22'!E14</f>
        <v>155187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804621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4187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4187</v>
      </c>
      <c r="C843" s="2" t="s">
        <v>594</v>
      </c>
      <c r="D843" s="2" t="str">
        <f t="shared" si="12"/>
        <v>Error?</v>
      </c>
    </row>
    <row r="844" spans="1:4" x14ac:dyDescent="0.2">
      <c r="A844" s="5">
        <v>783</v>
      </c>
      <c r="B844" s="138">
        <f>'Expenditures 15-22'!E44</f>
        <v>25163</v>
      </c>
      <c r="D844" s="2" t="str">
        <f t="shared" si="12"/>
        <v>Error?</v>
      </c>
    </row>
    <row r="845" spans="1:4" x14ac:dyDescent="0.2">
      <c r="A845" s="5">
        <v>784</v>
      </c>
      <c r="B845" s="138">
        <f>'Expenditures 15-22'!E45</f>
        <v>4085</v>
      </c>
      <c r="D845" s="2" t="str">
        <f t="shared" si="12"/>
        <v>Error?</v>
      </c>
    </row>
    <row r="846" spans="1:4" x14ac:dyDescent="0.2">
      <c r="A846" s="5">
        <v>785</v>
      </c>
      <c r="B846" s="138">
        <f>'Expenditures 15-22'!E46</f>
        <v>25670</v>
      </c>
      <c r="D846" s="2" t="str">
        <f t="shared" si="12"/>
        <v>Error?</v>
      </c>
    </row>
    <row r="847" spans="1:4" x14ac:dyDescent="0.2">
      <c r="A847" s="5">
        <v>786</v>
      </c>
      <c r="B847" s="138">
        <f>'Expenditures 15-22'!E47</f>
        <v>54918</v>
      </c>
      <c r="C847" s="2" t="s">
        <v>594</v>
      </c>
      <c r="D847" s="2" t="str">
        <f t="shared" si="12"/>
        <v>Error?</v>
      </c>
    </row>
    <row r="848" spans="1:4" x14ac:dyDescent="0.2">
      <c r="A848" s="5">
        <v>787</v>
      </c>
      <c r="B848" s="138">
        <f>'Expenditures 15-22'!E49</f>
        <v>104420</v>
      </c>
      <c r="D848" s="2" t="str">
        <f t="shared" si="12"/>
        <v>Error?</v>
      </c>
    </row>
    <row r="849" spans="1:4" x14ac:dyDescent="0.2">
      <c r="A849" s="5">
        <v>788</v>
      </c>
      <c r="B849" s="138">
        <f>'Expenditures 15-22'!E50</f>
        <v>4159</v>
      </c>
      <c r="D849" s="2" t="str">
        <f t="shared" si="12"/>
        <v>Error?</v>
      </c>
    </row>
    <row r="850" spans="1:4" x14ac:dyDescent="0.2">
      <c r="A850" s="5">
        <v>789</v>
      </c>
      <c r="B850" s="138">
        <f>'Expenditures 15-22'!E53</f>
        <v>111579</v>
      </c>
      <c r="C850" s="2" t="s">
        <v>594</v>
      </c>
      <c r="D850" s="2" t="str">
        <f t="shared" si="12"/>
        <v>Error?</v>
      </c>
    </row>
    <row r="851" spans="1:4" x14ac:dyDescent="0.2">
      <c r="A851" s="5">
        <v>790</v>
      </c>
      <c r="B851" s="138">
        <f>'Expenditures 15-22'!E55</f>
        <v>121643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121643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16035</v>
      </c>
      <c r="D855" s="2" t="str">
        <f t="shared" si="12"/>
        <v>Error?</v>
      </c>
    </row>
    <row r="856" spans="1:4" x14ac:dyDescent="0.2">
      <c r="A856" s="5">
        <v>795</v>
      </c>
      <c r="B856" s="138">
        <f>'Expenditures 15-22'!E61</f>
        <v>33902</v>
      </c>
      <c r="D856" s="2" t="str">
        <f t="shared" si="12"/>
        <v>Error?</v>
      </c>
    </row>
    <row r="857" spans="1:4" x14ac:dyDescent="0.2">
      <c r="A857" s="5">
        <v>796</v>
      </c>
      <c r="B857" s="138">
        <f>'Expenditures 15-22'!E62</f>
        <v>140512</v>
      </c>
      <c r="D857" s="2" t="str">
        <f t="shared" si="12"/>
        <v>Error?</v>
      </c>
    </row>
    <row r="858" spans="1:4" x14ac:dyDescent="0.2">
      <c r="A858" s="5">
        <v>797</v>
      </c>
      <c r="B858" s="138">
        <f>'Expenditures 15-22'!E63</f>
        <v>20280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210729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348</v>
      </c>
      <c r="D865" s="2" t="str">
        <f t="shared" si="12"/>
        <v>Error?</v>
      </c>
    </row>
    <row r="866" spans="1:4" x14ac:dyDescent="0.2">
      <c r="A866" s="10">
        <v>805</v>
      </c>
      <c r="D866" s="2" t="str">
        <f t="shared" si="12"/>
        <v>OK</v>
      </c>
    </row>
    <row r="867" spans="1:4" x14ac:dyDescent="0.2">
      <c r="A867" s="5">
        <v>806</v>
      </c>
      <c r="B867" s="138">
        <f>'Expenditures 15-22'!E71</f>
        <v>10576</v>
      </c>
      <c r="D867" s="2" t="str">
        <f t="shared" si="12"/>
        <v>Error?</v>
      </c>
    </row>
    <row r="868" spans="1:4" x14ac:dyDescent="0.2">
      <c r="A868" s="10">
        <v>807</v>
      </c>
      <c r="D868" s="2" t="str">
        <f t="shared" si="12"/>
        <v>OK</v>
      </c>
    </row>
    <row r="869" spans="1:4" x14ac:dyDescent="0.2">
      <c r="A869" s="5">
        <v>808</v>
      </c>
      <c r="B869" s="138">
        <f>'Expenditures 15-22'!E72</f>
        <v>10924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513980</v>
      </c>
      <c r="C871" s="2" t="s">
        <v>594</v>
      </c>
      <c r="D871" s="2" t="str">
        <f t="shared" si="12"/>
        <v>Error?</v>
      </c>
    </row>
    <row r="872" spans="1:4" x14ac:dyDescent="0.2">
      <c r="A872" s="5">
        <v>811</v>
      </c>
      <c r="B872" s="138">
        <f>'Expenditures 15-22'!E75</f>
        <v>16159</v>
      </c>
      <c r="D872" s="2" t="str">
        <f t="shared" si="12"/>
        <v>Error?</v>
      </c>
    </row>
    <row r="873" spans="1:4" x14ac:dyDescent="0.2">
      <c r="A873" s="5">
        <v>812</v>
      </c>
      <c r="B873" s="138">
        <f>'Expenditures 15-22'!E114</f>
        <v>1345673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287374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35218</v>
      </c>
      <c r="D891" s="2" t="str">
        <f t="shared" si="12"/>
        <v>Error?</v>
      </c>
    </row>
    <row r="892" spans="1:4" x14ac:dyDescent="0.2">
      <c r="A892" s="5">
        <v>831</v>
      </c>
      <c r="B892" s="138">
        <f>'Expenditures 15-22'!F14</f>
        <v>119567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477319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11635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11635</v>
      </c>
      <c r="C901" s="2" t="s">
        <v>594</v>
      </c>
      <c r="D901" s="2" t="str">
        <f t="shared" si="13"/>
        <v>Error?</v>
      </c>
    </row>
    <row r="902" spans="1:4" x14ac:dyDescent="0.2">
      <c r="A902" s="5">
        <v>841</v>
      </c>
      <c r="B902" s="138">
        <f>'Expenditures 15-22'!F44</f>
        <v>71075</v>
      </c>
      <c r="D902" s="2" t="str">
        <f t="shared" si="13"/>
        <v>Error?</v>
      </c>
    </row>
    <row r="903" spans="1:4" x14ac:dyDescent="0.2">
      <c r="A903" s="5">
        <v>842</v>
      </c>
      <c r="B903" s="138">
        <f>'Expenditures 15-22'!F45</f>
        <v>27818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98893</v>
      </c>
      <c r="C905" s="2" t="s">
        <v>594</v>
      </c>
      <c r="D905" s="2" t="str">
        <f t="shared" si="13"/>
        <v>Error?</v>
      </c>
    </row>
    <row r="906" spans="1:4" x14ac:dyDescent="0.2">
      <c r="A906" s="5">
        <v>845</v>
      </c>
      <c r="B906" s="138">
        <f>'Expenditures 15-22'!F49</f>
        <v>7695</v>
      </c>
      <c r="D906" s="2" t="str">
        <f t="shared" si="13"/>
        <v>Error?</v>
      </c>
    </row>
    <row r="907" spans="1:4" x14ac:dyDescent="0.2">
      <c r="A907" s="5">
        <v>846</v>
      </c>
      <c r="B907" s="138">
        <f>'Expenditures 15-22'!F50</f>
        <v>812</v>
      </c>
      <c r="D907" s="2" t="str">
        <f t="shared" si="13"/>
        <v>Error?</v>
      </c>
    </row>
    <row r="908" spans="1:4" x14ac:dyDescent="0.2">
      <c r="A908" s="5">
        <v>847</v>
      </c>
      <c r="B908" s="138">
        <f>'Expenditures 15-22'!F53</f>
        <v>8507</v>
      </c>
      <c r="C908" s="2" t="s">
        <v>594</v>
      </c>
      <c r="D908" s="2" t="str">
        <f t="shared" si="13"/>
        <v>Error?</v>
      </c>
    </row>
    <row r="909" spans="1:4" x14ac:dyDescent="0.2">
      <c r="A909" s="5">
        <v>848</v>
      </c>
      <c r="B909" s="138">
        <f>'Expenditures 15-22'!F55</f>
        <v>19169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19169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9606</v>
      </c>
      <c r="D913" s="2" t="str">
        <f t="shared" si="13"/>
        <v>Error?</v>
      </c>
    </row>
    <row r="914" spans="1:4" x14ac:dyDescent="0.2">
      <c r="A914" s="5">
        <v>853</v>
      </c>
      <c r="B914" s="138">
        <f>'Expenditures 15-22'!F61</f>
        <v>24100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497575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531281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1667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1667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671152</v>
      </c>
      <c r="C929" s="2" t="s">
        <v>594</v>
      </c>
      <c r="D929" s="2" t="str">
        <f t="shared" si="13"/>
        <v>Error?</v>
      </c>
    </row>
    <row r="930" spans="1:4" x14ac:dyDescent="0.2">
      <c r="A930" s="5">
        <v>869</v>
      </c>
      <c r="B930" s="138">
        <f>'Expenditures 15-22'!F75</f>
        <v>11911</v>
      </c>
      <c r="D930" s="2" t="str">
        <f t="shared" si="13"/>
        <v>Error?</v>
      </c>
    </row>
    <row r="931" spans="1:4" x14ac:dyDescent="0.2">
      <c r="A931" s="5">
        <v>870</v>
      </c>
      <c r="B931" s="138">
        <f>'Expenditures 15-22'!F114</f>
        <v>1160382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110674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80480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224047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4525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4525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6056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6056</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15257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43964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59221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69802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293849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288096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2274</v>
      </c>
      <c r="D1023" s="2" t="str">
        <f t="shared" ref="D1023:D1086" si="15">IF(ISBLANK(B1023),"OK",IF(A1023-B1023=0,"OK","Error?"))</f>
        <v>Error?</v>
      </c>
    </row>
    <row r="1024" spans="1:4" x14ac:dyDescent="0.2">
      <c r="A1024" s="5">
        <v>963</v>
      </c>
      <c r="B1024" s="138">
        <f>'Expenditures 15-22'!H53</f>
        <v>2274</v>
      </c>
      <c r="C1024" s="2" t="s">
        <v>594</v>
      </c>
      <c r="D1024" s="2" t="str">
        <f t="shared" si="15"/>
        <v>Error?</v>
      </c>
    </row>
    <row r="1025" spans="1:4" x14ac:dyDescent="0.2">
      <c r="A1025" s="5">
        <v>964</v>
      </c>
      <c r="B1025" s="138">
        <f>'Expenditures 15-22'!H55</f>
        <v>2182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2182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4456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1781358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2073910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6151564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80698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344734</v>
      </c>
      <c r="C1105" s="2" t="s">
        <v>594</v>
      </c>
      <c r="D1105" s="2" t="str">
        <f t="shared" si="16"/>
        <v>Error?</v>
      </c>
    </row>
    <row r="1106" spans="1:4" x14ac:dyDescent="0.2">
      <c r="A1106" s="5">
        <v>1045</v>
      </c>
      <c r="B1106" s="138">
        <f>'Expenditures 15-22'!K14</f>
        <v>726946</v>
      </c>
      <c r="C1106" s="2" t="s">
        <v>594</v>
      </c>
      <c r="D1106" s="2" t="str">
        <f t="shared" si="16"/>
        <v>Error?</v>
      </c>
    </row>
    <row r="1107" spans="1:4" x14ac:dyDescent="0.2">
      <c r="A1107" s="5">
        <v>1046</v>
      </c>
      <c r="B1107" s="138">
        <f>'Expenditures 15-22'!K15</f>
        <v>13054</v>
      </c>
      <c r="C1107" s="2" t="s">
        <v>594</v>
      </c>
      <c r="D1107" s="2" t="str">
        <f t="shared" si="16"/>
        <v>Error?</v>
      </c>
    </row>
    <row r="1108" spans="1:4" x14ac:dyDescent="0.2">
      <c r="A1108" s="5">
        <v>1047</v>
      </c>
      <c r="B1108" s="138">
        <f>'Expenditures 15-22'!K33</f>
        <v>9228081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194807</v>
      </c>
      <c r="C1110" s="2" t="s">
        <v>594</v>
      </c>
      <c r="D1110" s="2" t="str">
        <f t="shared" si="16"/>
        <v>Error?</v>
      </c>
    </row>
    <row r="1111" spans="1:4" x14ac:dyDescent="0.2">
      <c r="A1111" s="5">
        <v>1050</v>
      </c>
      <c r="B1111" s="138">
        <f>'Expenditures 15-22'!K38</f>
        <v>138640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333447</v>
      </c>
      <c r="C1115" s="2" t="s">
        <v>594</v>
      </c>
      <c r="D1115" s="2" t="str">
        <f t="shared" si="16"/>
        <v>Error?</v>
      </c>
    </row>
    <row r="1116" spans="1:4" x14ac:dyDescent="0.2">
      <c r="A1116" s="5">
        <v>1055</v>
      </c>
      <c r="B1116" s="138">
        <f>'Expenditures 15-22'!K44</f>
        <v>161823</v>
      </c>
      <c r="C1116" s="2" t="s">
        <v>594</v>
      </c>
      <c r="D1116" s="2" t="str">
        <f t="shared" si="16"/>
        <v>Error?</v>
      </c>
    </row>
    <row r="1117" spans="1:4" x14ac:dyDescent="0.2">
      <c r="A1117" s="5">
        <v>1056</v>
      </c>
      <c r="B1117" s="138">
        <f>'Expenditures 15-22'!K45</f>
        <v>140290</v>
      </c>
      <c r="C1117" s="2" t="s">
        <v>594</v>
      </c>
      <c r="D1117" s="2" t="str">
        <f t="shared" si="16"/>
        <v>Error?</v>
      </c>
    </row>
    <row r="1118" spans="1:4" x14ac:dyDescent="0.2">
      <c r="A1118" s="5">
        <v>1057</v>
      </c>
      <c r="B1118" s="138">
        <f>'Expenditures 15-22'!K46</f>
        <v>25670</v>
      </c>
      <c r="C1118" s="2" t="s">
        <v>594</v>
      </c>
      <c r="D1118" s="2" t="str">
        <f t="shared" si="16"/>
        <v>Error?</v>
      </c>
    </row>
    <row r="1119" spans="1:4" x14ac:dyDescent="0.2">
      <c r="A1119" s="5">
        <v>1058</v>
      </c>
      <c r="B1119" s="138">
        <f>'Expenditures 15-22'!K47</f>
        <v>327783</v>
      </c>
      <c r="C1119" s="2" t="s">
        <v>594</v>
      </c>
      <c r="D1119" s="2" t="str">
        <f t="shared" si="16"/>
        <v>Error?</v>
      </c>
    </row>
    <row r="1120" spans="1:4" x14ac:dyDescent="0.2">
      <c r="A1120" s="5">
        <v>1059</v>
      </c>
      <c r="B1120" s="138">
        <f>'Expenditures 15-22'!K49</f>
        <v>117811</v>
      </c>
      <c r="C1120" s="2" t="s">
        <v>594</v>
      </c>
      <c r="D1120" s="2" t="str">
        <f t="shared" si="16"/>
        <v>Error?</v>
      </c>
    </row>
    <row r="1121" spans="1:4" x14ac:dyDescent="0.2">
      <c r="A1121" s="5">
        <v>1060</v>
      </c>
      <c r="B1121" s="138">
        <f>'Expenditures 15-22'!K50</f>
        <v>214733</v>
      </c>
      <c r="C1121" s="2" t="s">
        <v>594</v>
      </c>
      <c r="D1121" s="2" t="str">
        <f t="shared" si="16"/>
        <v>Error?</v>
      </c>
    </row>
    <row r="1122" spans="1:4" x14ac:dyDescent="0.2">
      <c r="A1122" s="5">
        <v>1061</v>
      </c>
      <c r="B1122" s="138">
        <f>'Expenditures 15-22'!K53</f>
        <v>350179</v>
      </c>
      <c r="C1122" s="2" t="s">
        <v>594</v>
      </c>
      <c r="D1122" s="2" t="str">
        <f t="shared" si="16"/>
        <v>Error?</v>
      </c>
    </row>
    <row r="1123" spans="1:4" x14ac:dyDescent="0.2">
      <c r="A1123" s="5">
        <v>1062</v>
      </c>
      <c r="B1123" s="138">
        <f>'Expenditures 15-22'!K55</f>
        <v>1182464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1182464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246406</v>
      </c>
      <c r="C1127" s="2" t="s">
        <v>594</v>
      </c>
      <c r="D1127" s="2" t="str">
        <f t="shared" si="16"/>
        <v>Error?</v>
      </c>
    </row>
    <row r="1128" spans="1:4" x14ac:dyDescent="0.2">
      <c r="A1128" s="5">
        <v>1067</v>
      </c>
      <c r="B1128" s="138">
        <f>'Expenditures 15-22'!K61</f>
        <v>96440</v>
      </c>
      <c r="C1128" s="2" t="s">
        <v>594</v>
      </c>
      <c r="D1128" s="2" t="str">
        <f t="shared" si="16"/>
        <v>Error?</v>
      </c>
    </row>
    <row r="1129" spans="1:4" x14ac:dyDescent="0.2">
      <c r="A1129" s="5">
        <v>1068</v>
      </c>
      <c r="B1129" s="138">
        <f>'Expenditures 15-22'!K62</f>
        <v>140512</v>
      </c>
      <c r="C1129" s="2" t="s">
        <v>594</v>
      </c>
      <c r="D1129" s="2" t="str">
        <f t="shared" si="16"/>
        <v>Error?</v>
      </c>
    </row>
    <row r="1130" spans="1:4" x14ac:dyDescent="0.2">
      <c r="A1130" s="5">
        <v>1069</v>
      </c>
      <c r="B1130" s="138">
        <f>'Expenditures 15-22'!K63</f>
        <v>990878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1474236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37257</v>
      </c>
      <c r="C1136" s="2" t="s">
        <v>594</v>
      </c>
      <c r="D1136" s="2" t="str">
        <f t="shared" si="16"/>
        <v>Error?</v>
      </c>
    </row>
    <row r="1137" spans="1:4" x14ac:dyDescent="0.2">
      <c r="A1137" s="5">
        <v>1076</v>
      </c>
      <c r="B1137" s="138">
        <f>'Expenditures 15-22'!K70</f>
        <v>348</v>
      </c>
      <c r="C1137" s="2" t="s">
        <v>594</v>
      </c>
      <c r="D1137" s="2" t="str">
        <f t="shared" si="16"/>
        <v>Error?</v>
      </c>
    </row>
    <row r="1138" spans="1:4" x14ac:dyDescent="0.2">
      <c r="A1138" s="10">
        <v>1077</v>
      </c>
      <c r="D1138" s="2" t="str">
        <f t="shared" si="16"/>
        <v>OK</v>
      </c>
    </row>
    <row r="1139" spans="1:4" x14ac:dyDescent="0.2">
      <c r="A1139" s="5">
        <v>1078</v>
      </c>
      <c r="B1139" s="138">
        <f>'Expenditures 15-22'!K71</f>
        <v>10576</v>
      </c>
      <c r="C1139" s="2" t="s">
        <v>594</v>
      </c>
      <c r="D1139" s="2" t="str">
        <f t="shared" si="16"/>
        <v>Error?</v>
      </c>
    </row>
    <row r="1140" spans="1:4" x14ac:dyDescent="0.2">
      <c r="A1140" s="10">
        <v>1079</v>
      </c>
      <c r="D1140" s="2" t="str">
        <f t="shared" si="16"/>
        <v>OK</v>
      </c>
    </row>
    <row r="1141" spans="1:4" x14ac:dyDescent="0.2">
      <c r="A1141" s="5">
        <v>1080</v>
      </c>
      <c r="B1141" s="138">
        <f>'Expenditures 15-22'!K72</f>
        <v>48181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3716290</v>
      </c>
      <c r="C1143" s="2" t="s">
        <v>594</v>
      </c>
      <c r="D1143" s="2" t="str">
        <f t="shared" si="16"/>
        <v>Error?</v>
      </c>
    </row>
    <row r="1144" spans="1:4" x14ac:dyDescent="0.2">
      <c r="A1144" s="5">
        <v>1083</v>
      </c>
      <c r="B1144" s="138">
        <f>'Expenditures 15-22'!K75</f>
        <v>85153</v>
      </c>
      <c r="C1144" s="2" t="s">
        <v>594</v>
      </c>
      <c r="D1144" s="2" t="str">
        <f t="shared" si="16"/>
        <v>Error?</v>
      </c>
    </row>
    <row r="1145" spans="1:4" x14ac:dyDescent="0.2">
      <c r="A1145" s="5">
        <v>1084</v>
      </c>
      <c r="B1145" s="138">
        <f>'Expenditures 15-22'!K102</f>
        <v>1792271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14821795</v>
      </c>
      <c r="C1152" s="2" t="s">
        <v>594</v>
      </c>
      <c r="D1152" s="2" t="str">
        <f t="shared" si="17"/>
        <v>Error?</v>
      </c>
    </row>
    <row r="1153" spans="1:4" x14ac:dyDescent="0.2">
      <c r="A1153" s="5">
        <v>1092</v>
      </c>
      <c r="B1153" s="138">
        <f>'Expenditures 15-22'!K115</f>
        <v>491749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499286</v>
      </c>
      <c r="D1221" s="2" t="str">
        <f t="shared" si="18"/>
        <v>Error?</v>
      </c>
    </row>
    <row r="1222" spans="1:4" x14ac:dyDescent="0.2">
      <c r="A1222" s="10">
        <v>1161</v>
      </c>
      <c r="D1222" s="2" t="str">
        <f t="shared" si="18"/>
        <v>OK</v>
      </c>
    </row>
    <row r="1223" spans="1:4" x14ac:dyDescent="0.2">
      <c r="A1223" s="5">
        <v>1162</v>
      </c>
      <c r="B1223" s="138">
        <f>'Expenditures 15-22'!C127</f>
        <v>499286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499286</v>
      </c>
      <c r="C1225" s="2" t="s">
        <v>594</v>
      </c>
      <c r="D1225" s="2" t="str">
        <f t="shared" si="18"/>
        <v>Error?</v>
      </c>
    </row>
    <row r="1226" spans="1:4" x14ac:dyDescent="0.2">
      <c r="A1226" s="5">
        <v>1165</v>
      </c>
      <c r="B1226" s="138">
        <f>'Expenditures 15-22'!C151</f>
        <v>499286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70241</v>
      </c>
      <c r="D1229" s="2" t="str">
        <f t="shared" si="18"/>
        <v>Error?</v>
      </c>
    </row>
    <row r="1230" spans="1:4" x14ac:dyDescent="0.2">
      <c r="A1230" s="10">
        <v>1169</v>
      </c>
      <c r="D1230" s="2" t="str">
        <f t="shared" si="18"/>
        <v>OK</v>
      </c>
    </row>
    <row r="1231" spans="1:4" x14ac:dyDescent="0.2">
      <c r="A1231" s="5">
        <v>1170</v>
      </c>
      <c r="B1231" s="138">
        <f>'Expenditures 15-22'!D127</f>
        <v>70241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70241</v>
      </c>
      <c r="C1233" s="2" t="s">
        <v>594</v>
      </c>
      <c r="D1233" s="2" t="str">
        <f t="shared" si="18"/>
        <v>Error?</v>
      </c>
    </row>
    <row r="1234" spans="1:4" x14ac:dyDescent="0.2">
      <c r="A1234" s="5">
        <v>1173</v>
      </c>
      <c r="B1234" s="138">
        <f>'Expenditures 15-22'!D151</f>
        <v>70241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318</v>
      </c>
      <c r="D1236" s="2" t="str">
        <f t="shared" si="18"/>
        <v>Error?</v>
      </c>
    </row>
    <row r="1237" spans="1:4" x14ac:dyDescent="0.2">
      <c r="A1237" s="5">
        <v>1176</v>
      </c>
      <c r="B1237" s="138">
        <f>'Expenditures 15-22'!E124</f>
        <v>401664</v>
      </c>
      <c r="D1237" s="2" t="str">
        <f t="shared" si="18"/>
        <v>Error?</v>
      </c>
    </row>
    <row r="1238" spans="1:4" x14ac:dyDescent="0.2">
      <c r="A1238" s="10">
        <v>1177</v>
      </c>
      <c r="D1238" s="2" t="str">
        <f t="shared" si="18"/>
        <v>OK</v>
      </c>
    </row>
    <row r="1239" spans="1:4" x14ac:dyDescent="0.2">
      <c r="A1239" s="5">
        <v>1178</v>
      </c>
      <c r="B1239" s="138">
        <f>'Expenditures 15-22'!E127</f>
        <v>401982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401982</v>
      </c>
      <c r="C1241" s="2" t="s">
        <v>594</v>
      </c>
      <c r="D1241" s="2" t="str">
        <f t="shared" si="18"/>
        <v>Error?</v>
      </c>
    </row>
    <row r="1242" spans="1:4" x14ac:dyDescent="0.2">
      <c r="A1242" s="5">
        <v>1181</v>
      </c>
      <c r="B1242" s="138">
        <f>'Expenditures 15-22'!E151</f>
        <v>401982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404891</v>
      </c>
      <c r="D1245" s="2" t="str">
        <f t="shared" si="18"/>
        <v>Error?</v>
      </c>
    </row>
    <row r="1246" spans="1:4" x14ac:dyDescent="0.2">
      <c r="A1246" s="10">
        <v>1185</v>
      </c>
      <c r="D1246" s="2" t="str">
        <f t="shared" si="18"/>
        <v>OK</v>
      </c>
    </row>
    <row r="1247" spans="1:4" x14ac:dyDescent="0.2">
      <c r="A1247" s="5">
        <v>1186</v>
      </c>
      <c r="B1247" s="138">
        <f>'Expenditures 15-22'!F127</f>
        <v>404891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404891</v>
      </c>
      <c r="C1249" s="2" t="s">
        <v>594</v>
      </c>
      <c r="D1249" s="2" t="str">
        <f t="shared" si="18"/>
        <v>Error?</v>
      </c>
    </row>
    <row r="1250" spans="1:4" x14ac:dyDescent="0.2">
      <c r="A1250" s="5">
        <v>1189</v>
      </c>
      <c r="B1250" s="138">
        <f>'Expenditures 15-22'!F151</f>
        <v>404891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484891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484891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484891</v>
      </c>
      <c r="C1258" s="2" t="s">
        <v>594</v>
      </c>
      <c r="D1258" s="2" t="str">
        <f t="shared" si="18"/>
        <v>Error?</v>
      </c>
    </row>
    <row r="1259" spans="1:4" x14ac:dyDescent="0.2">
      <c r="A1259" s="5">
        <v>1198</v>
      </c>
      <c r="B1259" s="138">
        <f>'Expenditures 15-22'!G151</f>
        <v>484891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318</v>
      </c>
      <c r="C1275" s="2" t="s">
        <v>594</v>
      </c>
      <c r="D1275" s="2" t="str">
        <f t="shared" si="18"/>
        <v>Error?</v>
      </c>
    </row>
    <row r="1276" spans="1:4" x14ac:dyDescent="0.2">
      <c r="A1276" s="5">
        <v>1215</v>
      </c>
      <c r="B1276" s="138">
        <f>'Expenditures 15-22'!K124</f>
        <v>1860973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1861291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1861291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1861291</v>
      </c>
      <c r="C1288" s="2" t="s">
        <v>594</v>
      </c>
      <c r="D1288" s="2" t="str">
        <f t="shared" si="19"/>
        <v>Error?</v>
      </c>
    </row>
    <row r="1289" spans="1:4" x14ac:dyDescent="0.2">
      <c r="A1289" s="5">
        <v>1228</v>
      </c>
      <c r="B1289" s="138">
        <f>'Expenditures 15-22'!K152</f>
        <v>280040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110650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478000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588650</v>
      </c>
      <c r="C1317" s="2" t="s">
        <v>594</v>
      </c>
      <c r="D1317" s="2" t="str">
        <f t="shared" si="19"/>
        <v>Error?</v>
      </c>
    </row>
    <row r="1318" spans="1:4" x14ac:dyDescent="0.2">
      <c r="A1318" s="5">
        <v>1257</v>
      </c>
      <c r="B1318" s="138">
        <f>'Expenditures 15-22'!H174</f>
        <v>588650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110650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478000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588650</v>
      </c>
      <c r="C1331" s="2" t="s">
        <v>594</v>
      </c>
      <c r="D1331" s="2" t="str">
        <f t="shared" si="19"/>
        <v>Error?</v>
      </c>
    </row>
    <row r="1332" spans="1:4" x14ac:dyDescent="0.2">
      <c r="A1332" s="5">
        <v>1271</v>
      </c>
      <c r="B1332" s="138">
        <f>'Expenditures 15-22'!K174</f>
        <v>588650</v>
      </c>
      <c r="C1332" s="2" t="s">
        <v>594</v>
      </c>
      <c r="D1332" s="2" t="str">
        <f t="shared" si="19"/>
        <v>Error?</v>
      </c>
    </row>
    <row r="1333" spans="1:4" x14ac:dyDescent="0.2">
      <c r="A1333" s="5">
        <v>1272</v>
      </c>
      <c r="B1333" s="138">
        <f>'Expenditures 15-22'!K175</f>
        <v>40189</v>
      </c>
      <c r="C1333" s="2" t="s">
        <v>594</v>
      </c>
      <c r="D1333" s="2" t="str">
        <f t="shared" si="19"/>
        <v>Error?</v>
      </c>
    </row>
    <row r="1334" spans="1:4" x14ac:dyDescent="0.2">
      <c r="A1334" s="10">
        <v>1273</v>
      </c>
      <c r="D1334" s="2" t="str">
        <f t="shared" si="19"/>
        <v>OK</v>
      </c>
    </row>
    <row r="1335" spans="1:4" x14ac:dyDescent="0.2">
      <c r="A1335" s="5">
        <v>1274</v>
      </c>
      <c r="B1335" s="138">
        <f>'Expenditures 15-22'!C182</f>
        <v>455508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455508</v>
      </c>
      <c r="C1339" s="2" t="s">
        <v>594</v>
      </c>
      <c r="D1339" s="2" t="str">
        <f t="shared" si="19"/>
        <v>Error?</v>
      </c>
    </row>
    <row r="1340" spans="1:4" x14ac:dyDescent="0.2">
      <c r="A1340" s="5">
        <v>1279</v>
      </c>
      <c r="B1340" s="138">
        <f>'Expenditures 15-22'!C210</f>
        <v>455508</v>
      </c>
      <c r="C1340" s="2" t="s">
        <v>594</v>
      </c>
      <c r="D1340" s="2" t="str">
        <f t="shared" si="19"/>
        <v>Error?</v>
      </c>
    </row>
    <row r="1341" spans="1:4" x14ac:dyDescent="0.2">
      <c r="A1341" s="5">
        <v>1280</v>
      </c>
      <c r="B1341" s="138">
        <f>'Expenditures 15-22'!D182</f>
        <v>13379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13379</v>
      </c>
      <c r="C1345" s="2" t="s">
        <v>594</v>
      </c>
      <c r="D1345" s="2" t="str">
        <f t="shared" si="20"/>
        <v>Error?</v>
      </c>
    </row>
    <row r="1346" spans="1:4" x14ac:dyDescent="0.2">
      <c r="A1346" s="5">
        <v>1285</v>
      </c>
      <c r="B1346" s="138">
        <f>'Expenditures 15-22'!D210</f>
        <v>13379</v>
      </c>
      <c r="C1346" s="2" t="s">
        <v>594</v>
      </c>
      <c r="D1346" s="2" t="str">
        <f t="shared" si="20"/>
        <v>Error?</v>
      </c>
    </row>
    <row r="1347" spans="1:4" x14ac:dyDescent="0.2">
      <c r="A1347" s="5">
        <v>1286</v>
      </c>
      <c r="B1347" s="138">
        <f>'Expenditures 15-22'!E182</f>
        <v>132883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132883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132883</v>
      </c>
      <c r="C1353" s="2" t="s">
        <v>594</v>
      </c>
      <c r="D1353" s="2" t="str">
        <f t="shared" si="20"/>
        <v>Error?</v>
      </c>
    </row>
    <row r="1354" spans="1:4" x14ac:dyDescent="0.2">
      <c r="A1354" s="5">
        <v>1293</v>
      </c>
      <c r="B1354" s="138">
        <f>'Expenditures 15-22'!F182</f>
        <v>43979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43979</v>
      </c>
      <c r="C1358" s="2" t="s">
        <v>594</v>
      </c>
      <c r="D1358" s="2" t="str">
        <f t="shared" si="20"/>
        <v>Error?</v>
      </c>
    </row>
    <row r="1359" spans="1:4" x14ac:dyDescent="0.2">
      <c r="A1359" s="5">
        <v>1298</v>
      </c>
      <c r="B1359" s="138">
        <f>'Expenditures 15-22'!F210</f>
        <v>43979</v>
      </c>
      <c r="C1359" s="2" t="s">
        <v>594</v>
      </c>
      <c r="D1359" s="2" t="str">
        <f t="shared" si="20"/>
        <v>Error?</v>
      </c>
    </row>
    <row r="1360" spans="1:4" x14ac:dyDescent="0.2">
      <c r="A1360" s="5">
        <v>1299</v>
      </c>
      <c r="B1360" s="138">
        <f>'Expenditures 15-22'!G182</f>
        <v>110077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110077</v>
      </c>
      <c r="C1364" s="2" t="s">
        <v>594</v>
      </c>
      <c r="D1364" s="2" t="str">
        <f t="shared" si="20"/>
        <v>Error?</v>
      </c>
    </row>
    <row r="1365" spans="1:4" x14ac:dyDescent="0.2">
      <c r="A1365" s="5">
        <v>1304</v>
      </c>
      <c r="B1365" s="138">
        <f>'Expenditures 15-22'!G210</f>
        <v>110077</v>
      </c>
      <c r="C1365" s="2" t="s">
        <v>594</v>
      </c>
      <c r="D1365" s="2" t="str">
        <f t="shared" si="20"/>
        <v>Error?</v>
      </c>
    </row>
    <row r="1366" spans="1:4" x14ac:dyDescent="0.2">
      <c r="A1366" s="5">
        <v>1305</v>
      </c>
      <c r="B1366" s="138">
        <f>'Expenditures 15-22'!H182</f>
        <v>4062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4062</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4062</v>
      </c>
      <c r="C1376" s="2" t="s">
        <v>594</v>
      </c>
      <c r="D1376" s="2" t="str">
        <f t="shared" si="20"/>
        <v>Error?</v>
      </c>
    </row>
    <row r="1377" spans="1:4" x14ac:dyDescent="0.2">
      <c r="A1377" s="5">
        <v>1316</v>
      </c>
      <c r="B1377" s="138">
        <f>'Expenditures 15-22'!K182</f>
        <v>759888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759888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759888</v>
      </c>
      <c r="C1388" s="2" t="s">
        <v>594</v>
      </c>
      <c r="D1388" s="2" t="str">
        <f t="shared" si="20"/>
        <v>Error?</v>
      </c>
    </row>
    <row r="1389" spans="1:4" x14ac:dyDescent="0.2">
      <c r="A1389" s="5">
        <v>1328</v>
      </c>
      <c r="B1389" s="138">
        <f>'Expenditures 15-22'!K211</f>
        <v>246996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1209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3871</v>
      </c>
      <c r="D1407" s="2" t="str">
        <f t="shared" ref="D1407:D1470" si="21">IF(ISBLANK(B1407),"OK",IF(A1407-B1407=0,"OK","Error?"))</f>
        <v>Error?</v>
      </c>
    </row>
    <row r="1408" spans="1:4" x14ac:dyDescent="0.2">
      <c r="A1408" s="5">
        <v>1347</v>
      </c>
      <c r="B1408" s="138">
        <f>'Expenditures 15-22'!D223</f>
        <v>13719</v>
      </c>
      <c r="D1408" s="2" t="str">
        <f t="shared" si="21"/>
        <v>Error?</v>
      </c>
    </row>
    <row r="1409" spans="1:4" x14ac:dyDescent="0.2">
      <c r="A1409" s="5">
        <v>1348</v>
      </c>
      <c r="B1409" s="138">
        <f>'Expenditures 15-22'!D224</f>
        <v>186</v>
      </c>
      <c r="D1409" s="2" t="str">
        <f t="shared" si="21"/>
        <v>Error?</v>
      </c>
    </row>
    <row r="1410" spans="1:4" x14ac:dyDescent="0.2">
      <c r="A1410" s="5">
        <v>1349</v>
      </c>
      <c r="B1410" s="138">
        <f>'Expenditures 15-22'!D229</f>
        <v>199762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2453</v>
      </c>
      <c r="D1412" s="2" t="str">
        <f t="shared" si="21"/>
        <v>Error?</v>
      </c>
    </row>
    <row r="1413" spans="1:4" x14ac:dyDescent="0.2">
      <c r="A1413" s="5">
        <v>1352</v>
      </c>
      <c r="B1413" s="138">
        <f>'Expenditures 15-22'!D234</f>
        <v>21619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24072</v>
      </c>
      <c r="C1417" s="2" t="s">
        <v>594</v>
      </c>
      <c r="D1417" s="2" t="str">
        <f t="shared" si="21"/>
        <v>Error?</v>
      </c>
    </row>
    <row r="1418" spans="1:4" x14ac:dyDescent="0.2">
      <c r="A1418" s="5">
        <v>1357</v>
      </c>
      <c r="B1418" s="138">
        <f>'Expenditures 15-22'!D240</f>
        <v>755</v>
      </c>
      <c r="D1418" s="2" t="str">
        <f t="shared" si="21"/>
        <v>Error?</v>
      </c>
    </row>
    <row r="1419" spans="1:4" x14ac:dyDescent="0.2">
      <c r="A1419" s="5">
        <v>1358</v>
      </c>
      <c r="B1419" s="138">
        <f>'Expenditures 15-22'!D241</f>
        <v>8923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9678</v>
      </c>
      <c r="C1421" s="2" t="s">
        <v>594</v>
      </c>
      <c r="D1421" s="2" t="str">
        <f t="shared" si="21"/>
        <v>Error?</v>
      </c>
    </row>
    <row r="1422" spans="1:4" x14ac:dyDescent="0.2">
      <c r="A1422" s="5">
        <v>1361</v>
      </c>
      <c r="B1422" s="138">
        <f>'Expenditures 15-22'!D245</f>
        <v>230</v>
      </c>
      <c r="D1422" s="2" t="str">
        <f t="shared" si="21"/>
        <v>Error?</v>
      </c>
    </row>
    <row r="1423" spans="1:4" x14ac:dyDescent="0.2">
      <c r="A1423" s="5">
        <v>1362</v>
      </c>
      <c r="B1423" s="138">
        <f>'Expenditures 15-22'!D246</f>
        <v>2959</v>
      </c>
      <c r="D1423" s="2" t="str">
        <f t="shared" si="21"/>
        <v>Error?</v>
      </c>
    </row>
    <row r="1424" spans="1:4" x14ac:dyDescent="0.2">
      <c r="A1424" s="5">
        <v>1363</v>
      </c>
      <c r="B1424" s="138">
        <f>'Expenditures 15-22'!D257</f>
        <v>24412</v>
      </c>
      <c r="C1424" s="2" t="s">
        <v>594</v>
      </c>
      <c r="D1424" s="2" t="str">
        <f t="shared" si="21"/>
        <v>Error?</v>
      </c>
    </row>
    <row r="1425" spans="1:4" x14ac:dyDescent="0.2">
      <c r="A1425" s="5">
        <v>1364</v>
      </c>
      <c r="B1425" s="138">
        <f>'Expenditures 15-22'!D259</f>
        <v>55403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55403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38910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99158</v>
      </c>
      <c r="D1431" s="2" t="str">
        <f t="shared" si="21"/>
        <v>Error?</v>
      </c>
    </row>
    <row r="1432" spans="1:4" x14ac:dyDescent="0.2">
      <c r="A1432" s="5">
        <v>1371</v>
      </c>
      <c r="B1432" s="138">
        <f>'Expenditures 15-22'!D267</f>
        <v>90459</v>
      </c>
      <c r="D1432" s="2" t="str">
        <f t="shared" si="21"/>
        <v>Error?</v>
      </c>
    </row>
    <row r="1433" spans="1:4" x14ac:dyDescent="0.2">
      <c r="A1433" s="5">
        <v>1372</v>
      </c>
      <c r="B1433" s="138">
        <f>'Expenditures 15-22'!D268</f>
        <v>59276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287803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5546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5546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406914</v>
      </c>
      <c r="C1446" s="2" t="s">
        <v>594</v>
      </c>
      <c r="D1446" s="2" t="str">
        <f t="shared" si="21"/>
        <v>Error?</v>
      </c>
    </row>
    <row r="1447" spans="1:4" x14ac:dyDescent="0.2">
      <c r="A1447" s="5">
        <v>1386</v>
      </c>
      <c r="B1447" s="138">
        <f>'Expenditures 15-22'!D280</f>
        <v>6305</v>
      </c>
      <c r="D1447" s="2" t="str">
        <f t="shared" si="21"/>
        <v>Error?</v>
      </c>
    </row>
    <row r="1448" spans="1:4" x14ac:dyDescent="0.2">
      <c r="A1448" s="5">
        <v>1387</v>
      </c>
      <c r="B1448" s="138">
        <f>'Expenditures 15-22'!D295</f>
        <v>666917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1209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3871</v>
      </c>
      <c r="C1471" s="2" t="s">
        <v>594</v>
      </c>
      <c r="D1471" s="2" t="str">
        <f t="shared" ref="D1471:D1534" si="22">IF(ISBLANK(B1471),"OK",IF(A1471-B1471=0,"OK","Error?"))</f>
        <v>Error?</v>
      </c>
    </row>
    <row r="1472" spans="1:4" x14ac:dyDescent="0.2">
      <c r="A1472" s="5">
        <v>1411</v>
      </c>
      <c r="B1472" s="138">
        <f>'Expenditures 15-22'!K223</f>
        <v>13719</v>
      </c>
      <c r="C1472" s="2" t="s">
        <v>594</v>
      </c>
      <c r="D1472" s="2" t="str">
        <f t="shared" si="22"/>
        <v>Error?</v>
      </c>
    </row>
    <row r="1473" spans="1:4" x14ac:dyDescent="0.2">
      <c r="A1473" s="5">
        <v>1412</v>
      </c>
      <c r="B1473" s="138">
        <f>'Expenditures 15-22'!K224</f>
        <v>186</v>
      </c>
      <c r="C1473" s="2" t="s">
        <v>594</v>
      </c>
      <c r="D1473" s="2" t="str">
        <f t="shared" si="22"/>
        <v>Error?</v>
      </c>
    </row>
    <row r="1474" spans="1:4" x14ac:dyDescent="0.2">
      <c r="A1474" s="5">
        <v>1413</v>
      </c>
      <c r="B1474" s="138">
        <f>'Expenditures 15-22'!K229</f>
        <v>199762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2453</v>
      </c>
      <c r="C1476" s="2" t="s">
        <v>594</v>
      </c>
      <c r="D1476" s="2" t="str">
        <f t="shared" si="22"/>
        <v>Error?</v>
      </c>
    </row>
    <row r="1477" spans="1:4" x14ac:dyDescent="0.2">
      <c r="A1477" s="5">
        <v>1416</v>
      </c>
      <c r="B1477" s="138">
        <f>'Expenditures 15-22'!K234</f>
        <v>21619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24072</v>
      </c>
      <c r="C1481" s="2" t="s">
        <v>594</v>
      </c>
      <c r="D1481" s="2" t="str">
        <f t="shared" si="22"/>
        <v>Error?</v>
      </c>
    </row>
    <row r="1482" spans="1:4" x14ac:dyDescent="0.2">
      <c r="A1482" s="5">
        <v>1421</v>
      </c>
      <c r="B1482" s="138">
        <f>'Expenditures 15-22'!K240</f>
        <v>755</v>
      </c>
      <c r="C1482" s="2" t="s">
        <v>594</v>
      </c>
      <c r="D1482" s="2" t="str">
        <f t="shared" si="22"/>
        <v>Error?</v>
      </c>
    </row>
    <row r="1483" spans="1:4" x14ac:dyDescent="0.2">
      <c r="A1483" s="5">
        <v>1422</v>
      </c>
      <c r="B1483" s="138">
        <f>'Expenditures 15-22'!K241</f>
        <v>8923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9678</v>
      </c>
      <c r="C1485" s="2" t="s">
        <v>594</v>
      </c>
      <c r="D1485" s="2" t="str">
        <f t="shared" si="22"/>
        <v>Error?</v>
      </c>
    </row>
    <row r="1486" spans="1:4" x14ac:dyDescent="0.2">
      <c r="A1486" s="5">
        <v>1425</v>
      </c>
      <c r="B1486" s="138">
        <f>'Expenditures 15-22'!K245</f>
        <v>230</v>
      </c>
      <c r="C1486" s="2" t="s">
        <v>594</v>
      </c>
      <c r="D1486" s="2" t="str">
        <f t="shared" si="22"/>
        <v>Error?</v>
      </c>
    </row>
    <row r="1487" spans="1:4" x14ac:dyDescent="0.2">
      <c r="A1487" s="5">
        <v>1426</v>
      </c>
      <c r="B1487" s="138">
        <f>'Expenditures 15-22'!K246</f>
        <v>2959</v>
      </c>
      <c r="C1487" s="2" t="s">
        <v>594</v>
      </c>
      <c r="D1487" s="2" t="str">
        <f t="shared" si="22"/>
        <v>Error?</v>
      </c>
    </row>
    <row r="1488" spans="1:4" x14ac:dyDescent="0.2">
      <c r="A1488" s="5">
        <v>1427</v>
      </c>
      <c r="B1488" s="138">
        <f>'Expenditures 15-22'!K257</f>
        <v>24412</v>
      </c>
      <c r="C1488" s="2" t="s">
        <v>594</v>
      </c>
      <c r="D1488" s="2" t="str">
        <f t="shared" si="22"/>
        <v>Error?</v>
      </c>
    </row>
    <row r="1489" spans="1:4" x14ac:dyDescent="0.2">
      <c r="A1489" s="5">
        <v>1428</v>
      </c>
      <c r="B1489" s="138">
        <f>'Expenditures 15-22'!K259</f>
        <v>55403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55403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38910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99158</v>
      </c>
      <c r="C1495" s="2" t="s">
        <v>594</v>
      </c>
      <c r="D1495" s="2" t="str">
        <f t="shared" si="22"/>
        <v>Error?</v>
      </c>
    </row>
    <row r="1496" spans="1:4" x14ac:dyDescent="0.2">
      <c r="A1496" s="5">
        <v>1435</v>
      </c>
      <c r="B1496" s="138">
        <f>'Expenditures 15-22'!K267</f>
        <v>90459</v>
      </c>
      <c r="C1496" s="2" t="s">
        <v>594</v>
      </c>
      <c r="D1496" s="2" t="str">
        <f t="shared" si="22"/>
        <v>Error?</v>
      </c>
    </row>
    <row r="1497" spans="1:4" x14ac:dyDescent="0.2">
      <c r="A1497" s="5">
        <v>1436</v>
      </c>
      <c r="B1497" s="138">
        <f>'Expenditures 15-22'!K268</f>
        <v>59276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287803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5546</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5546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406914</v>
      </c>
      <c r="C1510" s="2" t="s">
        <v>594</v>
      </c>
      <c r="D1510" s="2" t="str">
        <f t="shared" si="22"/>
        <v>Error?</v>
      </c>
    </row>
    <row r="1511" spans="1:4" x14ac:dyDescent="0.2">
      <c r="A1511" s="5">
        <v>1450</v>
      </c>
      <c r="B1511" s="138">
        <f>'Expenditures 15-22'!K280</f>
        <v>6305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666917</v>
      </c>
      <c r="C1517" s="2" t="s">
        <v>594</v>
      </c>
      <c r="D1517" s="2" t="str">
        <f t="shared" si="22"/>
        <v>Error?</v>
      </c>
    </row>
    <row r="1518" spans="1:4" x14ac:dyDescent="0.2">
      <c r="A1518" s="5">
        <v>1457</v>
      </c>
      <c r="B1518" s="138">
        <f>'Expenditures 15-22'!K296</f>
        <v>96346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119315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119315</v>
      </c>
      <c r="C1535" s="2" t="s">
        <v>594</v>
      </c>
      <c r="D1535" s="2" t="str">
        <f t="shared" ref="D1535:D1598" si="23">IF(ISBLANK(B1535),"OK",IF(A1535-B1535=0,"OK","Error?"))</f>
        <v>Error?</v>
      </c>
    </row>
    <row r="1536" spans="1:4" x14ac:dyDescent="0.2">
      <c r="A1536" s="5">
        <v>1475</v>
      </c>
      <c r="B1536" s="138">
        <f>'Expenditures 15-22'!E312</f>
        <v>119315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290028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290028</v>
      </c>
      <c r="C1547" s="2" t="s">
        <v>594</v>
      </c>
      <c r="D1547" s="2" t="str">
        <f t="shared" si="23"/>
        <v>Error?</v>
      </c>
    </row>
    <row r="1548" spans="1:4" x14ac:dyDescent="0.2">
      <c r="A1548" s="5">
        <v>1487</v>
      </c>
      <c r="B1548" s="138">
        <f>'Expenditures 15-22'!G312</f>
        <v>290028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409343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409343</v>
      </c>
      <c r="C1559" s="2" t="s">
        <v>594</v>
      </c>
      <c r="D1559" s="2" t="str">
        <f t="shared" si="23"/>
        <v>Error?</v>
      </c>
    </row>
    <row r="1560" spans="1:4" x14ac:dyDescent="0.2">
      <c r="A1560" s="5">
        <v>1499</v>
      </c>
      <c r="B1560" s="138">
        <f>'Expenditures 15-22'!K312</f>
        <v>409343</v>
      </c>
      <c r="C1560" s="2" t="s">
        <v>594</v>
      </c>
      <c r="D1560" s="2" t="str">
        <f t="shared" si="23"/>
        <v>Error?</v>
      </c>
    </row>
    <row r="1561" spans="1:4" x14ac:dyDescent="0.2">
      <c r="A1561" s="5">
        <v>1500</v>
      </c>
      <c r="B1561" s="138">
        <f>'Expenditures 15-22'!K313</f>
        <v>569007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7778932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8270681</v>
      </c>
      <c r="C1630" s="2" t="s">
        <v>594</v>
      </c>
      <c r="D1630" s="2" t="str">
        <f t="shared" si="24"/>
        <v>Error?</v>
      </c>
    </row>
    <row r="1631" spans="1:4" x14ac:dyDescent="0.2">
      <c r="A1631" s="5">
        <v>1570</v>
      </c>
      <c r="B1631" s="138">
        <f>'Acct Summary 7-8'!D79</f>
        <v>1396539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1676579</v>
      </c>
      <c r="C1644" s="2" t="s">
        <v>594</v>
      </c>
      <c r="D1644" s="2" t="str">
        <f t="shared" si="24"/>
        <v>Error?</v>
      </c>
    </row>
    <row r="1645" spans="1:4" x14ac:dyDescent="0.2">
      <c r="A1645" s="5">
        <v>1584</v>
      </c>
      <c r="B1645" s="138">
        <f>'Acct Summary 7-8'!E79</f>
        <v>1629048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1669237</v>
      </c>
      <c r="C1658" s="2" t="s">
        <v>594</v>
      </c>
      <c r="D1658" s="2" t="str">
        <f t="shared" si="24"/>
        <v>Error?</v>
      </c>
    </row>
    <row r="1659" spans="1:4" x14ac:dyDescent="0.2">
      <c r="A1659" s="5">
        <v>1598</v>
      </c>
      <c r="B1659" s="138">
        <f>'Acct Summary 7-8'!F79</f>
        <v>565949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812945</v>
      </c>
      <c r="C1672" s="2" t="s">
        <v>594</v>
      </c>
      <c r="D1672" s="2" t="str">
        <f t="shared" si="25"/>
        <v>Error?</v>
      </c>
    </row>
    <row r="1673" spans="1:4" x14ac:dyDescent="0.2">
      <c r="A1673" s="5">
        <v>1612</v>
      </c>
      <c r="B1673" s="138">
        <f>'Acct Summary 7-8'!G79</f>
        <v>856161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952507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3322178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1381715</v>
      </c>
      <c r="C1744" s="2" t="s">
        <v>594</v>
      </c>
      <c r="D1744" s="2" t="str">
        <f t="shared" si="26"/>
        <v>Error?</v>
      </c>
    </row>
    <row r="1745" spans="1:5" x14ac:dyDescent="0.2">
      <c r="A1745" s="5">
        <v>1684</v>
      </c>
      <c r="B1745" s="138">
        <f>'Tax Sched 23'!B5</f>
        <v>375466</v>
      </c>
      <c r="C1745" s="2" t="s">
        <v>594</v>
      </c>
      <c r="D1745" s="2" t="str">
        <f t="shared" si="26"/>
        <v>Error?</v>
      </c>
    </row>
    <row r="1746" spans="1:5" x14ac:dyDescent="0.2">
      <c r="A1746" s="5">
        <v>1685</v>
      </c>
      <c r="B1746" s="138">
        <f>'Tax Sched 23'!B6</f>
        <v>177629</v>
      </c>
      <c r="C1746" s="2" t="s">
        <v>594</v>
      </c>
      <c r="D1746" s="2" t="str">
        <f t="shared" si="26"/>
        <v>Error?</v>
      </c>
    </row>
    <row r="1747" spans="1:5" x14ac:dyDescent="0.2">
      <c r="A1747" s="5">
        <v>1686</v>
      </c>
      <c r="B1747" s="138">
        <f>'Tax Sched 23'!B7</f>
        <v>150186</v>
      </c>
      <c r="C1747" s="2" t="s">
        <v>594</v>
      </c>
      <c r="D1747" s="2" t="str">
        <f t="shared" si="26"/>
        <v>Error?</v>
      </c>
    </row>
    <row r="1748" spans="1:5" x14ac:dyDescent="0.2">
      <c r="A1748" s="5">
        <v>1687</v>
      </c>
      <c r="B1748" s="138">
        <f>'Tax Sched 23'!B8</f>
        <v>285246</v>
      </c>
      <c r="C1748" s="2" t="s">
        <v>594</v>
      </c>
      <c r="D1748" s="2" t="str">
        <f t="shared" si="26"/>
        <v>Error?</v>
      </c>
    </row>
    <row r="1749" spans="1:5" x14ac:dyDescent="0.2">
      <c r="A1749" s="5">
        <v>1688</v>
      </c>
      <c r="B1749" s="138">
        <f>'Tax Sched 23'!B10</f>
        <v>37546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564912</v>
      </c>
      <c r="C1752" s="2" t="s">
        <v>594</v>
      </c>
      <c r="D1752" s="2" t="str">
        <f t="shared" si="26"/>
        <v>Error?</v>
      </c>
    </row>
    <row r="1753" spans="1:5" x14ac:dyDescent="0.2">
      <c r="A1753" s="5">
        <v>1692</v>
      </c>
      <c r="B1753" s="138">
        <f>'Tax Sched 23'!B12</f>
        <v>37546</v>
      </c>
      <c r="C1753" s="2" t="s">
        <v>594</v>
      </c>
      <c r="D1753" s="2" t="str">
        <f t="shared" si="26"/>
        <v>Error?</v>
      </c>
    </row>
    <row r="1754" spans="1:5" x14ac:dyDescent="0.2">
      <c r="A1754" s="5">
        <v>1693</v>
      </c>
      <c r="B1754" s="138">
        <f>'Tax Sched 23'!B14</f>
        <v>30037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3437207</v>
      </c>
      <c r="C1759" s="2" t="s">
        <v>594</v>
      </c>
      <c r="D1759" s="2" t="str">
        <f t="shared" si="26"/>
        <v>Error?</v>
      </c>
    </row>
    <row r="1760" spans="1:5" x14ac:dyDescent="0.2">
      <c r="A1760" s="5">
        <v>1699</v>
      </c>
      <c r="B1760" s="138">
        <f>'Tax Sched 23'!D4</f>
        <v>783371</v>
      </c>
      <c r="C1760" s="2" t="s">
        <v>594</v>
      </c>
      <c r="D1760" s="2" t="str">
        <f t="shared" si="26"/>
        <v>Error?</v>
      </c>
    </row>
    <row r="1761" spans="1:5" x14ac:dyDescent="0.2">
      <c r="A1761" s="5">
        <v>1700</v>
      </c>
      <c r="B1761" s="138">
        <f>'Tax Sched 23'!D5</f>
        <v>212872</v>
      </c>
      <c r="C1761" s="2" t="s">
        <v>594</v>
      </c>
      <c r="D1761" s="2" t="str">
        <f t="shared" si="26"/>
        <v>Error?</v>
      </c>
    </row>
    <row r="1762" spans="1:5" s="8" customFormat="1" x14ac:dyDescent="0.2">
      <c r="A1762" s="5">
        <v>1701</v>
      </c>
      <c r="B1762" s="138">
        <f>'Tax Sched 23'!D6</f>
        <v>101503</v>
      </c>
      <c r="C1762" s="2" t="s">
        <v>594</v>
      </c>
      <c r="D1762" s="2" t="str">
        <f t="shared" si="26"/>
        <v>Error?</v>
      </c>
      <c r="E1762" s="9"/>
    </row>
    <row r="1763" spans="1:5" x14ac:dyDescent="0.2">
      <c r="A1763" s="5">
        <v>1702</v>
      </c>
      <c r="B1763" s="138">
        <f>'Tax Sched 23'!D7</f>
        <v>85149</v>
      </c>
      <c r="C1763" s="2" t="s">
        <v>594</v>
      </c>
      <c r="D1763" s="2" t="str">
        <f t="shared" si="26"/>
        <v>Error?</v>
      </c>
    </row>
    <row r="1764" spans="1:5" x14ac:dyDescent="0.2">
      <c r="A1764" s="5">
        <v>1703</v>
      </c>
      <c r="B1764" s="138">
        <f>'Tax Sched 23'!D8</f>
        <v>157610</v>
      </c>
      <c r="C1764" s="2" t="s">
        <v>594</v>
      </c>
      <c r="D1764" s="2" t="str">
        <f t="shared" si="26"/>
        <v>Error?</v>
      </c>
    </row>
    <row r="1765" spans="1:5" x14ac:dyDescent="0.2">
      <c r="A1765" s="5">
        <v>1704</v>
      </c>
      <c r="B1765" s="138">
        <f>'Tax Sched 23'!D10</f>
        <v>21287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320306</v>
      </c>
      <c r="C1768" s="2" t="s">
        <v>594</v>
      </c>
      <c r="D1768" s="2" t="str">
        <f t="shared" si="26"/>
        <v>Error?</v>
      </c>
    </row>
    <row r="1769" spans="1:5" x14ac:dyDescent="0.2">
      <c r="A1769" s="5">
        <v>1708</v>
      </c>
      <c r="B1769" s="138">
        <f>'Tax Sched 23'!D12</f>
        <v>21287</v>
      </c>
      <c r="C1769" s="2" t="s">
        <v>594</v>
      </c>
      <c r="D1769" s="2" t="str">
        <f t="shared" si="26"/>
        <v>Error?</v>
      </c>
    </row>
    <row r="1770" spans="1:5" x14ac:dyDescent="0.2">
      <c r="A1770" s="5">
        <v>1709</v>
      </c>
      <c r="B1770" s="138">
        <f>'Tax Sched 23'!D14</f>
        <v>17030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1945803</v>
      </c>
      <c r="C1775" s="2" t="s">
        <v>594</v>
      </c>
      <c r="D1775" s="2" t="str">
        <f t="shared" si="26"/>
        <v>Error?</v>
      </c>
    </row>
    <row r="1776" spans="1:5" x14ac:dyDescent="0.2">
      <c r="A1776" s="5">
        <v>1715</v>
      </c>
      <c r="B1776" s="138">
        <f>'Tax Sched 23'!C4</f>
        <v>598344</v>
      </c>
      <c r="D1776" s="2" t="str">
        <f t="shared" si="26"/>
        <v>Error?</v>
      </c>
    </row>
    <row r="1777" spans="1:4" x14ac:dyDescent="0.2">
      <c r="A1777" s="5">
        <v>1716</v>
      </c>
      <c r="B1777" s="138">
        <f>'Tax Sched 23'!C5</f>
        <v>162594</v>
      </c>
      <c r="D1777" s="2" t="str">
        <f t="shared" si="26"/>
        <v>Error?</v>
      </c>
    </row>
    <row r="1778" spans="1:4" x14ac:dyDescent="0.2">
      <c r="A1778" s="5">
        <v>1717</v>
      </c>
      <c r="B1778" s="138">
        <f>'Tax Sched 23'!C6</f>
        <v>76126</v>
      </c>
      <c r="D1778" s="2" t="str">
        <f t="shared" si="26"/>
        <v>Error?</v>
      </c>
    </row>
    <row r="1779" spans="1:4" x14ac:dyDescent="0.2">
      <c r="A1779" s="5">
        <v>1718</v>
      </c>
      <c r="B1779" s="138">
        <f>'Tax Sched 23'!C7</f>
        <v>65037</v>
      </c>
      <c r="D1779" s="2" t="str">
        <f t="shared" si="26"/>
        <v>Error?</v>
      </c>
    </row>
    <row r="1780" spans="1:4" x14ac:dyDescent="0.2">
      <c r="A1780" s="5">
        <v>1719</v>
      </c>
      <c r="B1780" s="138">
        <f>'Tax Sched 23'!C8</f>
        <v>127636</v>
      </c>
      <c r="D1780" s="2" t="str">
        <f t="shared" si="26"/>
        <v>Error?</v>
      </c>
    </row>
    <row r="1781" spans="1:4" x14ac:dyDescent="0.2">
      <c r="A1781" s="5">
        <v>1720</v>
      </c>
      <c r="B1781" s="138">
        <f>'Tax Sched 23'!C10</f>
        <v>16259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244606</v>
      </c>
      <c r="D1784" s="2" t="str">
        <f t="shared" si="26"/>
        <v>Error?</v>
      </c>
    </row>
    <row r="1785" spans="1:4" x14ac:dyDescent="0.2">
      <c r="A1785" s="5">
        <v>1724</v>
      </c>
      <c r="B1785" s="138">
        <f>'Tax Sched 23'!C12</f>
        <v>16259</v>
      </c>
      <c r="D1785" s="2" t="str">
        <f t="shared" si="26"/>
        <v>Error?</v>
      </c>
    </row>
    <row r="1786" spans="1:4" x14ac:dyDescent="0.2">
      <c r="A1786" s="5">
        <v>1725</v>
      </c>
      <c r="B1786" s="138">
        <f>'Tax Sched 23'!C14</f>
        <v>13007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1491404</v>
      </c>
      <c r="C1791" s="2" t="s">
        <v>594</v>
      </c>
      <c r="D1791" s="2" t="str">
        <f t="shared" ref="D1791:D1854" si="27">IF(ISBLANK(B1791),"OK",IF(A1791-B1791=0,"OK","Error?"))</f>
        <v>Error?</v>
      </c>
    </row>
    <row r="1792" spans="1:4" x14ac:dyDescent="0.2">
      <c r="A1792" s="5">
        <v>1731</v>
      </c>
      <c r="B1792" s="138">
        <f>'Tax Sched 23'!F4</f>
        <v>808300</v>
      </c>
      <c r="C1792" s="2" t="s">
        <v>594</v>
      </c>
      <c r="D1792" s="2" t="str">
        <f t="shared" si="27"/>
        <v>Error?</v>
      </c>
    </row>
    <row r="1793" spans="1:4" x14ac:dyDescent="0.2">
      <c r="A1793" s="5">
        <v>1732</v>
      </c>
      <c r="B1793" s="138">
        <f>'Tax Sched 23'!F5</f>
        <v>219646</v>
      </c>
      <c r="C1793" s="2" t="s">
        <v>594</v>
      </c>
      <c r="D1793" s="2" t="str">
        <f t="shared" si="27"/>
        <v>Error?</v>
      </c>
    </row>
    <row r="1794" spans="1:4" x14ac:dyDescent="0.2">
      <c r="A1794" s="5">
        <v>1733</v>
      </c>
      <c r="B1794" s="138">
        <f>'Tax Sched 23'!F6</f>
        <v>102839</v>
      </c>
      <c r="C1794" s="2" t="s">
        <v>594</v>
      </c>
      <c r="D1794" s="2" t="str">
        <f t="shared" si="27"/>
        <v>Error?</v>
      </c>
    </row>
    <row r="1795" spans="1:4" x14ac:dyDescent="0.2">
      <c r="A1795" s="5">
        <v>1734</v>
      </c>
      <c r="B1795" s="138">
        <f>'Tax Sched 23'!F7</f>
        <v>87859</v>
      </c>
      <c r="C1795" s="2" t="s">
        <v>594</v>
      </c>
      <c r="D1795" s="2" t="str">
        <f t="shared" si="27"/>
        <v>Error?</v>
      </c>
    </row>
    <row r="1796" spans="1:4" x14ac:dyDescent="0.2">
      <c r="A1796" s="5">
        <v>1735</v>
      </c>
      <c r="B1796" s="138">
        <f>'Tax Sched 23'!F8</f>
        <v>172423</v>
      </c>
      <c r="C1796" s="2" t="s">
        <v>594</v>
      </c>
      <c r="D1796" s="2" t="str">
        <f t="shared" si="27"/>
        <v>Error?</v>
      </c>
    </row>
    <row r="1797" spans="1:4" x14ac:dyDescent="0.2">
      <c r="A1797" s="5">
        <v>1736</v>
      </c>
      <c r="B1797" s="138">
        <f>'Tax Sched 23'!F10</f>
        <v>21965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330436</v>
      </c>
      <c r="C1800" s="2" t="s">
        <v>594</v>
      </c>
      <c r="D1800" s="2" t="str">
        <f t="shared" si="27"/>
        <v>Error?</v>
      </c>
    </row>
    <row r="1801" spans="1:4" x14ac:dyDescent="0.2">
      <c r="A1801" s="5">
        <v>1740</v>
      </c>
      <c r="B1801" s="138">
        <f>'Tax Sched 23'!F12</f>
        <v>21965</v>
      </c>
      <c r="C1801" s="2" t="s">
        <v>594</v>
      </c>
      <c r="D1801" s="2" t="str">
        <f t="shared" si="27"/>
        <v>Error?</v>
      </c>
    </row>
    <row r="1802" spans="1:4" x14ac:dyDescent="0.2">
      <c r="A1802" s="5">
        <v>1741</v>
      </c>
      <c r="B1802" s="138">
        <f>'Tax Sched 23'!F14</f>
        <v>17572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2014732</v>
      </c>
      <c r="C1807" s="2" t="s">
        <v>594</v>
      </c>
      <c r="D1807" s="2" t="str">
        <f t="shared" si="27"/>
        <v>Error?</v>
      </c>
    </row>
    <row r="1808" spans="1:4" x14ac:dyDescent="0.2">
      <c r="A1808" s="5">
        <v>1747</v>
      </c>
      <c r="B1808" s="138">
        <f>'Tax Sched 23'!E4</f>
        <v>1406644</v>
      </c>
      <c r="D1808" s="2" t="str">
        <f t="shared" si="27"/>
        <v>Error?</v>
      </c>
    </row>
    <row r="1809" spans="1:4" x14ac:dyDescent="0.2">
      <c r="A1809" s="5">
        <v>1748</v>
      </c>
      <c r="B1809" s="138">
        <f>'Tax Sched 23'!E5</f>
        <v>382240</v>
      </c>
      <c r="D1809" s="2" t="str">
        <f t="shared" si="27"/>
        <v>Error?</v>
      </c>
    </row>
    <row r="1810" spans="1:4" x14ac:dyDescent="0.2">
      <c r="A1810" s="5">
        <v>1749</v>
      </c>
      <c r="B1810" s="138">
        <f>'Tax Sched 23'!E6</f>
        <v>178965</v>
      </c>
      <c r="D1810" s="2" t="str">
        <f t="shared" si="27"/>
        <v>Error?</v>
      </c>
    </row>
    <row r="1811" spans="1:4" x14ac:dyDescent="0.2">
      <c r="A1811" s="5">
        <v>1750</v>
      </c>
      <c r="B1811" s="138">
        <f>'Tax Sched 23'!E7</f>
        <v>152896</v>
      </c>
      <c r="D1811" s="2" t="str">
        <f t="shared" si="27"/>
        <v>Error?</v>
      </c>
    </row>
    <row r="1812" spans="1:4" x14ac:dyDescent="0.2">
      <c r="A1812" s="5">
        <v>1751</v>
      </c>
      <c r="B1812" s="138">
        <f>'Tax Sched 23'!E8</f>
        <v>300059</v>
      </c>
      <c r="D1812" s="2" t="str">
        <f t="shared" si="27"/>
        <v>Error?</v>
      </c>
    </row>
    <row r="1813" spans="1:4" x14ac:dyDescent="0.2">
      <c r="A1813" s="5">
        <v>1752</v>
      </c>
      <c r="B1813" s="138">
        <f>'Tax Sched 23'!E10</f>
        <v>38224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575042</v>
      </c>
      <c r="D1816" s="2" t="str">
        <f t="shared" si="27"/>
        <v>Error?</v>
      </c>
    </row>
    <row r="1817" spans="1:4" x14ac:dyDescent="0.2">
      <c r="A1817" s="5">
        <v>1756</v>
      </c>
      <c r="B1817" s="138">
        <f>'Tax Sched 23'!E12</f>
        <v>38224</v>
      </c>
      <c r="D1817" s="2" t="str">
        <f t="shared" si="27"/>
        <v>Error?</v>
      </c>
    </row>
    <row r="1818" spans="1:4" x14ac:dyDescent="0.2">
      <c r="A1818" s="5">
        <v>1757</v>
      </c>
      <c r="B1818" s="138">
        <f>'Tax Sched 23'!E14</f>
        <v>30579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3506136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4451000</v>
      </c>
      <c r="C1939" s="2" t="s">
        <v>594</v>
      </c>
      <c r="D1939" s="2" t="str">
        <f t="shared" si="29"/>
        <v>Error?</v>
      </c>
    </row>
    <row r="1940" spans="1:5" x14ac:dyDescent="0.2">
      <c r="A1940" s="5">
        <v>1879</v>
      </c>
      <c r="B1940" s="138">
        <f>'Short-Term Long-Term Debt 24'!F49</f>
        <v>2465000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30037</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30043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30043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396790</v>
      </c>
      <c r="D2008" s="2" t="str">
        <f t="shared" si="30"/>
        <v>Error?</v>
      </c>
    </row>
    <row r="2009" spans="1:4" x14ac:dyDescent="0.2">
      <c r="A2009" s="5">
        <v>1948</v>
      </c>
      <c r="B2009" s="138">
        <f>'Cap Outlay Deprec 26'!C8</f>
        <v>22883010</v>
      </c>
      <c r="D2009" s="2" t="str">
        <f t="shared" si="30"/>
        <v>Error?</v>
      </c>
    </row>
    <row r="2010" spans="1:4" x14ac:dyDescent="0.2">
      <c r="A2010" s="5">
        <v>1949</v>
      </c>
      <c r="B2010" s="138">
        <f>'Cap Outlay Deprec 26'!C10</f>
        <v>2747356</v>
      </c>
      <c r="D2010" s="2" t="str">
        <f t="shared" si="30"/>
        <v>Error?</v>
      </c>
    </row>
    <row r="2011" spans="1:4" x14ac:dyDescent="0.2">
      <c r="A2011" s="5">
        <v>1950</v>
      </c>
      <c r="B2011" s="138">
        <f>'Cap Outlay Deprec 26'!C12</f>
        <v>4102944</v>
      </c>
      <c r="D2011" s="2" t="str">
        <f t="shared" si="30"/>
        <v>Error?</v>
      </c>
    </row>
    <row r="2012" spans="1:4" x14ac:dyDescent="0.2">
      <c r="A2012" s="5">
        <v>1951</v>
      </c>
      <c r="B2012" s="138">
        <f>'Cap Outlay Deprec 26'!C13</f>
        <v>979902</v>
      </c>
      <c r="D2012" s="2" t="str">
        <f t="shared" si="30"/>
        <v>Error?</v>
      </c>
    </row>
    <row r="2013" spans="1:4" x14ac:dyDescent="0.2">
      <c r="A2013" s="5">
        <v>1952</v>
      </c>
      <c r="B2013" s="138">
        <f>'Cap Outlay Deprec 26'!C16</f>
        <v>31110910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105052</v>
      </c>
      <c r="D2015" s="2" t="str">
        <f t="shared" si="30"/>
        <v>Error?</v>
      </c>
    </row>
    <row r="2016" spans="1:4" x14ac:dyDescent="0.2">
      <c r="A2016" s="5">
        <v>1955</v>
      </c>
      <c r="B2016" s="138">
        <f>'Cap Outlay Deprec 26'!D10</f>
        <v>238095</v>
      </c>
      <c r="D2016" s="2" t="str">
        <f t="shared" si="30"/>
        <v>Error?</v>
      </c>
    </row>
    <row r="2017" spans="1:4" x14ac:dyDescent="0.2">
      <c r="A2017" s="5">
        <v>1956</v>
      </c>
      <c r="B2017" s="138">
        <f>'Cap Outlay Deprec 26'!D12</f>
        <v>764510</v>
      </c>
      <c r="D2017" s="2" t="str">
        <f t="shared" si="30"/>
        <v>Error?</v>
      </c>
    </row>
    <row r="2018" spans="1:4" x14ac:dyDescent="0.2">
      <c r="A2018" s="5">
        <v>1957</v>
      </c>
      <c r="B2018" s="138">
        <f>'Cap Outlay Deprec 26'!D13</f>
        <v>91610</v>
      </c>
      <c r="D2018" s="2" t="str">
        <f t="shared" si="30"/>
        <v>Error?</v>
      </c>
    </row>
    <row r="2019" spans="1:4" x14ac:dyDescent="0.2">
      <c r="A2019" s="5">
        <v>1958</v>
      </c>
      <c r="B2019" s="138">
        <f>'Cap Outlay Deprec 26'!D16</f>
        <v>1208845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389101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389101</v>
      </c>
      <c r="C2025" s="2" t="s">
        <v>594</v>
      </c>
      <c r="D2025" s="2" t="str">
        <f t="shared" si="30"/>
        <v>Error?</v>
      </c>
    </row>
    <row r="2026" spans="1:4" x14ac:dyDescent="0.2">
      <c r="A2026" s="5">
        <v>1965</v>
      </c>
      <c r="B2026" s="138">
        <f>'Cap Outlay Deprec 26'!F5</f>
        <v>396790</v>
      </c>
      <c r="C2026" s="2" t="s">
        <v>594</v>
      </c>
      <c r="D2026" s="2" t="str">
        <f t="shared" si="30"/>
        <v>Error?</v>
      </c>
    </row>
    <row r="2027" spans="1:4" x14ac:dyDescent="0.2">
      <c r="A2027" s="5">
        <v>1966</v>
      </c>
      <c r="B2027" s="138">
        <f>'Cap Outlay Deprec 26'!F8</f>
        <v>22988062</v>
      </c>
      <c r="C2027" s="2" t="s">
        <v>594</v>
      </c>
      <c r="D2027" s="2" t="str">
        <f t="shared" si="30"/>
        <v>Error?</v>
      </c>
    </row>
    <row r="2028" spans="1:4" x14ac:dyDescent="0.2">
      <c r="A2028" s="5">
        <v>1967</v>
      </c>
      <c r="B2028" s="138">
        <f>'Cap Outlay Deprec 26'!F10</f>
        <v>2985451</v>
      </c>
      <c r="C2028" s="2" t="s">
        <v>594</v>
      </c>
      <c r="D2028" s="2" t="str">
        <f t="shared" si="30"/>
        <v>Error?</v>
      </c>
    </row>
    <row r="2029" spans="1:4" x14ac:dyDescent="0.2">
      <c r="A2029" s="5">
        <v>1968</v>
      </c>
      <c r="B2029" s="138">
        <f>'Cap Outlay Deprec 26'!F12</f>
        <v>4478353</v>
      </c>
      <c r="C2029" s="2" t="s">
        <v>594</v>
      </c>
      <c r="D2029" s="2" t="str">
        <f t="shared" si="30"/>
        <v>Error?</v>
      </c>
    </row>
    <row r="2030" spans="1:4" x14ac:dyDescent="0.2">
      <c r="A2030" s="5">
        <v>1969</v>
      </c>
      <c r="B2030" s="138">
        <f>'Cap Outlay Deprec 26'!F13</f>
        <v>1071512</v>
      </c>
      <c r="C2030" s="2" t="s">
        <v>594</v>
      </c>
      <c r="D2030" s="2" t="str">
        <f t="shared" si="30"/>
        <v>Error?</v>
      </c>
    </row>
    <row r="2031" spans="1:4" x14ac:dyDescent="0.2">
      <c r="A2031" s="5">
        <v>1970</v>
      </c>
      <c r="B2031" s="138">
        <f>'Cap Outlay Deprec 26'!F16</f>
        <v>31930654</v>
      </c>
      <c r="C2031" s="2" t="s">
        <v>594</v>
      </c>
      <c r="D2031" s="2" t="str">
        <f t="shared" si="30"/>
        <v>Error?</v>
      </c>
    </row>
    <row r="2032" spans="1:4" x14ac:dyDescent="0.2">
      <c r="A2032" s="10">
        <v>1971</v>
      </c>
      <c r="D2032" s="2" t="str">
        <f t="shared" si="30"/>
        <v>OK</v>
      </c>
    </row>
    <row r="2033" spans="1:4" x14ac:dyDescent="0.2">
      <c r="A2033" s="5">
        <v>1972</v>
      </c>
      <c r="B2033" s="138">
        <f>'Cap Outlay Deprec 26'!H8</f>
        <v>9132941</v>
      </c>
      <c r="D2033" s="2" t="str">
        <f t="shared" si="30"/>
        <v>Error?</v>
      </c>
    </row>
    <row r="2034" spans="1:4" x14ac:dyDescent="0.2">
      <c r="A2034" s="5">
        <v>1973</v>
      </c>
      <c r="B2034" s="138">
        <f>'Cap Outlay Deprec 26'!H10</f>
        <v>960233</v>
      </c>
      <c r="D2034" s="2" t="str">
        <f t="shared" si="30"/>
        <v>Error?</v>
      </c>
    </row>
    <row r="2035" spans="1:4" x14ac:dyDescent="0.2">
      <c r="A2035" s="5">
        <v>1974</v>
      </c>
      <c r="B2035" s="138">
        <f>'Cap Outlay Deprec 26'!H12</f>
        <v>2133362</v>
      </c>
      <c r="D2035" s="2" t="str">
        <f t="shared" si="30"/>
        <v>Error?</v>
      </c>
    </row>
    <row r="2036" spans="1:4" x14ac:dyDescent="0.2">
      <c r="A2036" s="5">
        <v>1975</v>
      </c>
      <c r="B2036" s="138">
        <f>'Cap Outlay Deprec 26'!H13</f>
        <v>961780</v>
      </c>
      <c r="D2036" s="2" t="str">
        <f t="shared" si="30"/>
        <v>Error?</v>
      </c>
    </row>
    <row r="2037" spans="1:4" x14ac:dyDescent="0.2">
      <c r="A2037" s="5">
        <v>1976</v>
      </c>
      <c r="B2037" s="138">
        <f>'Cap Outlay Deprec 26'!H16</f>
        <v>13189224</v>
      </c>
      <c r="C2037" s="2" t="s">
        <v>594</v>
      </c>
      <c r="D2037" s="2" t="str">
        <f t="shared" si="30"/>
        <v>Error?</v>
      </c>
    </row>
    <row r="2038" spans="1:4" x14ac:dyDescent="0.2">
      <c r="A2038" s="10">
        <v>1977</v>
      </c>
      <c r="D2038" s="2" t="str">
        <f t="shared" si="30"/>
        <v>OK</v>
      </c>
    </row>
    <row r="2039" spans="1:4" x14ac:dyDescent="0.2">
      <c r="A2039" s="5">
        <v>1978</v>
      </c>
      <c r="B2039" s="138">
        <f>'Cap Outlay Deprec 26'!I8</f>
        <v>381275</v>
      </c>
      <c r="D2039" s="2" t="str">
        <f t="shared" si="30"/>
        <v>Error?</v>
      </c>
    </row>
    <row r="2040" spans="1:4" x14ac:dyDescent="0.2">
      <c r="A2040" s="5">
        <v>1979</v>
      </c>
      <c r="B2040" s="138">
        <f>'Cap Outlay Deprec 26'!I10</f>
        <v>142489</v>
      </c>
      <c r="D2040" s="2" t="str">
        <f t="shared" si="30"/>
        <v>Error?</v>
      </c>
    </row>
    <row r="2041" spans="1:4" x14ac:dyDescent="0.2">
      <c r="A2041" s="5">
        <v>1980</v>
      </c>
      <c r="B2041" s="138">
        <f>'Cap Outlay Deprec 26'!I12</f>
        <v>447835</v>
      </c>
      <c r="D2041" s="2" t="str">
        <f t="shared" si="30"/>
        <v>Error?</v>
      </c>
    </row>
    <row r="2042" spans="1:4" x14ac:dyDescent="0.2">
      <c r="A2042" s="5">
        <v>1981</v>
      </c>
      <c r="B2042" s="138">
        <f>'Cap Outlay Deprec 26'!I13</f>
        <v>25937</v>
      </c>
      <c r="D2042" s="2" t="str">
        <f t="shared" si="30"/>
        <v>Error?</v>
      </c>
    </row>
    <row r="2043" spans="1:4" x14ac:dyDescent="0.2">
      <c r="A2043" s="5">
        <v>1982</v>
      </c>
      <c r="B2043" s="138">
        <f>'Cap Outlay Deprec 26'!I16</f>
        <v>1000729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389101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389101</v>
      </c>
      <c r="C2049" s="2" t="s">
        <v>594</v>
      </c>
      <c r="D2049" s="2" t="str">
        <f t="shared" si="31"/>
        <v>Error?</v>
      </c>
    </row>
    <row r="2050" spans="1:4" x14ac:dyDescent="0.2">
      <c r="A2050" s="10">
        <v>1989</v>
      </c>
      <c r="D2050" s="2" t="str">
        <f t="shared" si="31"/>
        <v>OK</v>
      </c>
    </row>
    <row r="2051" spans="1:4" x14ac:dyDescent="0.2">
      <c r="A2051" s="5">
        <v>1990</v>
      </c>
      <c r="B2051" s="138">
        <f>'Cap Outlay Deprec 26'!K8</f>
        <v>9514216</v>
      </c>
      <c r="C2051" s="2" t="s">
        <v>594</v>
      </c>
      <c r="D2051" s="2" t="str">
        <f t="shared" si="31"/>
        <v>Error?</v>
      </c>
    </row>
    <row r="2052" spans="1:4" x14ac:dyDescent="0.2">
      <c r="A2052" s="5">
        <v>1991</v>
      </c>
      <c r="B2052" s="138">
        <f>'Cap Outlay Deprec 26'!K10</f>
        <v>1102722</v>
      </c>
      <c r="C2052" s="2" t="s">
        <v>594</v>
      </c>
      <c r="D2052" s="2" t="str">
        <f t="shared" si="31"/>
        <v>Error?</v>
      </c>
    </row>
    <row r="2053" spans="1:4" x14ac:dyDescent="0.2">
      <c r="A2053" s="5">
        <v>1992</v>
      </c>
      <c r="B2053" s="138">
        <f>'Cap Outlay Deprec 26'!K12</f>
        <v>2192096</v>
      </c>
      <c r="C2053" s="2" t="s">
        <v>594</v>
      </c>
      <c r="D2053" s="2" t="str">
        <f t="shared" si="31"/>
        <v>Error?</v>
      </c>
    </row>
    <row r="2054" spans="1:4" x14ac:dyDescent="0.2">
      <c r="A2054" s="5">
        <v>1993</v>
      </c>
      <c r="B2054" s="138">
        <f>'Cap Outlay Deprec 26'!K13</f>
        <v>987717</v>
      </c>
      <c r="C2054" s="2" t="s">
        <v>594</v>
      </c>
      <c r="D2054" s="2" t="str">
        <f t="shared" si="31"/>
        <v>Error?</v>
      </c>
    </row>
    <row r="2055" spans="1:4" x14ac:dyDescent="0.2">
      <c r="A2055" s="5">
        <v>1994</v>
      </c>
      <c r="B2055" s="138">
        <f>'Cap Outlay Deprec 26'!K16</f>
        <v>13800852</v>
      </c>
      <c r="C2055" s="2" t="s">
        <v>594</v>
      </c>
      <c r="D2055" s="2" t="str">
        <f t="shared" si="31"/>
        <v>Error?</v>
      </c>
    </row>
    <row r="2056" spans="1:4" x14ac:dyDescent="0.2">
      <c r="A2056" s="5">
        <v>1995</v>
      </c>
      <c r="B2056" s="138">
        <f>'Cap Outlay Deprec 26'!L5</f>
        <v>396790</v>
      </c>
      <c r="C2056" s="2" t="s">
        <v>594</v>
      </c>
      <c r="D2056" s="2" t="str">
        <f t="shared" si="31"/>
        <v>Error?</v>
      </c>
    </row>
    <row r="2057" spans="1:4" x14ac:dyDescent="0.2">
      <c r="A2057" s="5">
        <v>1996</v>
      </c>
      <c r="B2057" s="138">
        <f>'Cap Outlay Deprec 26'!L8</f>
        <v>13473846</v>
      </c>
      <c r="C2057" s="2" t="s">
        <v>594</v>
      </c>
      <c r="D2057" s="2" t="str">
        <f t="shared" si="31"/>
        <v>Error?</v>
      </c>
    </row>
    <row r="2058" spans="1:4" x14ac:dyDescent="0.2">
      <c r="A2058" s="5">
        <v>1997</v>
      </c>
      <c r="B2058" s="138">
        <f>'Cap Outlay Deprec 26'!L10</f>
        <v>1882729</v>
      </c>
      <c r="C2058" s="2" t="s">
        <v>594</v>
      </c>
      <c r="D2058" s="2" t="str">
        <f t="shared" si="31"/>
        <v>Error?</v>
      </c>
    </row>
    <row r="2059" spans="1:4" x14ac:dyDescent="0.2">
      <c r="A2059" s="5">
        <v>1998</v>
      </c>
      <c r="B2059" s="138">
        <f>'Cap Outlay Deprec 26'!L12</f>
        <v>2286257</v>
      </c>
      <c r="C2059" s="2" t="s">
        <v>594</v>
      </c>
      <c r="D2059" s="2" t="str">
        <f t="shared" si="31"/>
        <v>Error?</v>
      </c>
    </row>
    <row r="2060" spans="1:4" x14ac:dyDescent="0.2">
      <c r="A2060" s="5">
        <v>1999</v>
      </c>
      <c r="B2060" s="138">
        <f>'Cap Outlay Deprec 26'!L13</f>
        <v>83795</v>
      </c>
      <c r="C2060" s="2" t="s">
        <v>594</v>
      </c>
      <c r="D2060" s="2" t="str">
        <f t="shared" si="31"/>
        <v>Error?</v>
      </c>
    </row>
    <row r="2061" spans="1:4" x14ac:dyDescent="0.2">
      <c r="A2061" s="5">
        <v>2000</v>
      </c>
      <c r="B2061" s="138">
        <f>'Cap Outlay Deprec 26'!L16</f>
        <v>18129802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5779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16692</v>
      </c>
      <c r="C2088" s="2" t="s">
        <v>594</v>
      </c>
      <c r="D2088" s="2" t="str">
        <f t="shared" si="31"/>
        <v>Error?</v>
      </c>
    </row>
    <row r="2089" spans="1:4" x14ac:dyDescent="0.2">
      <c r="A2089" s="5">
        <v>2028</v>
      </c>
      <c r="B2089" s="138">
        <f>'Expenditures 15-22'!K92</f>
        <v>1770585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84732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572229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1558706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2665471</v>
      </c>
      <c r="C2551" s="2" t="s">
        <v>594</v>
      </c>
      <c r="D2551" s="2" t="str">
        <f t="shared" si="38"/>
        <v>Error?</v>
      </c>
    </row>
    <row r="2552" spans="1:4" x14ac:dyDescent="0.2">
      <c r="A2552" s="10">
        <v>2491</v>
      </c>
      <c r="D2552" s="2" t="str">
        <f t="shared" si="38"/>
        <v>OK</v>
      </c>
    </row>
    <row r="2553" spans="1:4" x14ac:dyDescent="0.2">
      <c r="A2553" s="5">
        <v>2492</v>
      </c>
      <c r="B2553" s="138">
        <f>'Acct Summary 7-8'!C6</f>
        <v>10462829</v>
      </c>
      <c r="C2553" s="2" t="s">
        <v>594</v>
      </c>
      <c r="D2553" s="2" t="str">
        <f t="shared" si="38"/>
        <v>Error?</v>
      </c>
    </row>
    <row r="2554" spans="1:4" x14ac:dyDescent="0.2">
      <c r="A2554" s="5">
        <v>2493</v>
      </c>
      <c r="B2554" s="138">
        <f>'Acct Summary 7-8'!C7</f>
        <v>2185244</v>
      </c>
      <c r="C2554" s="2" t="s">
        <v>594</v>
      </c>
      <c r="D2554" s="2" t="str">
        <f t="shared" si="38"/>
        <v>Error?</v>
      </c>
    </row>
    <row r="2555" spans="1:4" x14ac:dyDescent="0.2">
      <c r="A2555" s="5">
        <v>2494</v>
      </c>
      <c r="B2555" s="138">
        <f>'Acct Summary 7-8'!C8</f>
        <v>15313544</v>
      </c>
      <c r="C2555" s="2" t="s">
        <v>594</v>
      </c>
      <c r="D2555" s="2" t="str">
        <f t="shared" si="38"/>
        <v>Error?</v>
      </c>
    </row>
    <row r="2556" spans="1:4" x14ac:dyDescent="0.2">
      <c r="A2556" s="5">
        <v>2495</v>
      </c>
      <c r="B2556" s="138">
        <f>'Acct Summary 7-8'!C12</f>
        <v>9228081</v>
      </c>
      <c r="C2556" s="2" t="s">
        <v>594</v>
      </c>
      <c r="D2556" s="2" t="str">
        <f t="shared" si="38"/>
        <v>Error?</v>
      </c>
    </row>
    <row r="2557" spans="1:4" x14ac:dyDescent="0.2">
      <c r="A2557" s="5">
        <v>2496</v>
      </c>
      <c r="B2557" s="138">
        <f>'Acct Summary 7-8'!C13</f>
        <v>3716290</v>
      </c>
      <c r="C2557" s="2" t="s">
        <v>594</v>
      </c>
      <c r="D2557" s="2" t="str">
        <f t="shared" si="38"/>
        <v>Error?</v>
      </c>
    </row>
    <row r="2558" spans="1:4" x14ac:dyDescent="0.2">
      <c r="A2558" s="5">
        <v>2497</v>
      </c>
      <c r="B2558" s="138">
        <f>'Acct Summary 7-8'!C14</f>
        <v>85153</v>
      </c>
      <c r="C2558" s="2" t="s">
        <v>594</v>
      </c>
      <c r="D2558" s="2" t="str">
        <f t="shared" si="38"/>
        <v>Error?</v>
      </c>
    </row>
    <row r="2559" spans="1:4" x14ac:dyDescent="0.2">
      <c r="A2559" s="5">
        <v>2498</v>
      </c>
      <c r="B2559" s="138">
        <f>'Acct Summary 7-8'!C15</f>
        <v>1792271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14821795</v>
      </c>
      <c r="C2561" s="2" t="s">
        <v>594</v>
      </c>
      <c r="D2561" s="2" t="str">
        <f t="shared" si="39"/>
        <v>Error?</v>
      </c>
    </row>
    <row r="2562" spans="1:4" x14ac:dyDescent="0.2">
      <c r="A2562" s="5">
        <v>2501</v>
      </c>
      <c r="B2562" s="138">
        <f>'Acct Summary 7-8'!C20</f>
        <v>491749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567099</v>
      </c>
      <c r="C2564" s="2" t="s">
        <v>594</v>
      </c>
      <c r="D2564" s="2" t="str">
        <f t="shared" si="39"/>
        <v>Error?</v>
      </c>
    </row>
    <row r="2565" spans="1:4" x14ac:dyDescent="0.2">
      <c r="A2565" s="10">
        <v>2504</v>
      </c>
      <c r="D2565" s="2" t="str">
        <f t="shared" si="39"/>
        <v>OK</v>
      </c>
    </row>
    <row r="2566" spans="1:4" x14ac:dyDescent="0.2">
      <c r="A2566" s="5">
        <v>2505</v>
      </c>
      <c r="B2566" s="138">
        <f>'Acct Summary 7-8'!D6</f>
        <v>1574232</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2141331</v>
      </c>
      <c r="C2568" s="2" t="s">
        <v>594</v>
      </c>
      <c r="D2568" s="2" t="str">
        <f t="shared" si="39"/>
        <v>Error?</v>
      </c>
    </row>
    <row r="2569" spans="1:4" x14ac:dyDescent="0.2">
      <c r="A2569" s="5">
        <v>2508</v>
      </c>
      <c r="B2569" s="138">
        <f>'Acct Summary 7-8'!D13</f>
        <v>1861291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1861291</v>
      </c>
      <c r="C2573" s="2" t="s">
        <v>594</v>
      </c>
      <c r="D2573" s="2" t="str">
        <f t="shared" si="39"/>
        <v>Error?</v>
      </c>
    </row>
    <row r="2574" spans="1:4" x14ac:dyDescent="0.2">
      <c r="A2574" s="5">
        <v>2513</v>
      </c>
      <c r="B2574" s="138">
        <f>'Acct Summary 7-8'!D20</f>
        <v>280040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208550</v>
      </c>
      <c r="C2591" s="2" t="s">
        <v>594</v>
      </c>
      <c r="D2591" s="2" t="str">
        <f t="shared" si="39"/>
        <v>Error?</v>
      </c>
    </row>
    <row r="2592" spans="1:4" x14ac:dyDescent="0.2">
      <c r="A2592" s="10">
        <v>2531</v>
      </c>
      <c r="D2592" s="2" t="str">
        <f t="shared" si="39"/>
        <v>OK</v>
      </c>
    </row>
    <row r="2593" spans="1:4" x14ac:dyDescent="0.2">
      <c r="A2593" s="5">
        <v>2532</v>
      </c>
      <c r="B2593" s="138">
        <f>'Acct Summary 7-8'!F6</f>
        <v>798334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1006884</v>
      </c>
      <c r="C2595" s="2" t="s">
        <v>594</v>
      </c>
      <c r="D2595" s="2" t="str">
        <f t="shared" si="39"/>
        <v>Error?</v>
      </c>
    </row>
    <row r="2596" spans="1:4" x14ac:dyDescent="0.2">
      <c r="A2596" s="5">
        <v>2535</v>
      </c>
      <c r="B2596" s="138">
        <f>'Acct Summary 7-8'!F13</f>
        <v>759888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759888</v>
      </c>
      <c r="C2600" s="2" t="s">
        <v>594</v>
      </c>
      <c r="D2600" s="2" t="str">
        <f t="shared" si="39"/>
        <v>Error?</v>
      </c>
    </row>
    <row r="2601" spans="1:4" x14ac:dyDescent="0.2">
      <c r="A2601" s="5">
        <v>2540</v>
      </c>
      <c r="B2601" s="138">
        <f>'Acct Summary 7-8'!F20</f>
        <v>246996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763263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763263</v>
      </c>
      <c r="C2606" s="2" t="s">
        <v>594</v>
      </c>
      <c r="D2606" s="2" t="str">
        <f t="shared" si="39"/>
        <v>Error?</v>
      </c>
    </row>
    <row r="2607" spans="1:4" x14ac:dyDescent="0.2">
      <c r="A2607" s="5">
        <v>2546</v>
      </c>
      <c r="B2607" s="138">
        <f>'Acct Summary 7-8'!G12</f>
        <v>199762</v>
      </c>
      <c r="C2607" s="2" t="s">
        <v>594</v>
      </c>
      <c r="D2607" s="2" t="str">
        <f t="shared" si="39"/>
        <v>Error?</v>
      </c>
    </row>
    <row r="2608" spans="1:4" x14ac:dyDescent="0.2">
      <c r="A2608" s="5">
        <v>2547</v>
      </c>
      <c r="B2608" s="138">
        <f>'Acct Summary 7-8'!G13</f>
        <v>406914</v>
      </c>
      <c r="C2608" s="2" t="s">
        <v>594</v>
      </c>
      <c r="D2608" s="2" t="str">
        <f t="shared" si="39"/>
        <v>Error?</v>
      </c>
    </row>
    <row r="2609" spans="1:4" x14ac:dyDescent="0.2">
      <c r="A2609" s="5">
        <v>2548</v>
      </c>
      <c r="B2609" s="138">
        <f>'Acct Summary 7-8'!G14</f>
        <v>6305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666917</v>
      </c>
      <c r="C2612" s="2" t="s">
        <v>594</v>
      </c>
      <c r="D2612" s="2" t="str">
        <f t="shared" si="39"/>
        <v>Error?</v>
      </c>
    </row>
    <row r="2613" spans="1:4" x14ac:dyDescent="0.2">
      <c r="A2613" s="5">
        <v>2552</v>
      </c>
      <c r="B2613" s="138">
        <f>'Acct Summary 7-8'!G20</f>
        <v>96346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628839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628839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588650</v>
      </c>
      <c r="C2634" s="2" t="s">
        <v>594</v>
      </c>
      <c r="D2634" s="2" t="str">
        <f t="shared" si="40"/>
        <v>Error?</v>
      </c>
    </row>
    <row r="2635" spans="1:4" x14ac:dyDescent="0.2">
      <c r="A2635" s="5">
        <v>2574</v>
      </c>
      <c r="B2635" s="138">
        <f>'Acct Summary 7-8'!E17</f>
        <v>588650</v>
      </c>
      <c r="C2635" s="2" t="s">
        <v>594</v>
      </c>
      <c r="D2635" s="2" t="str">
        <f t="shared" si="40"/>
        <v>Error?</v>
      </c>
    </row>
    <row r="2636" spans="1:4" x14ac:dyDescent="0.2">
      <c r="A2636" s="5">
        <v>2575</v>
      </c>
      <c r="B2636" s="138">
        <f>'Acct Summary 7-8'!E20</f>
        <v>40189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278350</v>
      </c>
      <c r="C2655" s="2" t="s">
        <v>594</v>
      </c>
      <c r="D2655" s="2" t="str">
        <f t="shared" si="40"/>
        <v>Error?</v>
      </c>
    </row>
    <row r="2656" spans="1:4" x14ac:dyDescent="0.2">
      <c r="A2656" s="5">
        <v>2595</v>
      </c>
      <c r="B2656" s="138">
        <f>'Acct Summary 7-8'!H6</f>
        <v>700000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978350</v>
      </c>
      <c r="C2658" s="2" t="s">
        <v>594</v>
      </c>
      <c r="D2658" s="2" t="str">
        <f t="shared" si="40"/>
        <v>Error?</v>
      </c>
    </row>
    <row r="2659" spans="1:4" x14ac:dyDescent="0.2">
      <c r="A2659" s="5">
        <v>2598</v>
      </c>
      <c r="B2659" s="138">
        <f>'Acct Summary 7-8'!H13</f>
        <v>409343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409343</v>
      </c>
      <c r="C2661" s="2" t="s">
        <v>594</v>
      </c>
      <c r="D2661" s="2" t="str">
        <f t="shared" si="40"/>
        <v>Error?</v>
      </c>
    </row>
    <row r="2662" spans="1:4" x14ac:dyDescent="0.2">
      <c r="A2662" s="5">
        <v>2601</v>
      </c>
      <c r="B2662" s="138">
        <f>'Acct Summary 7-8'!H20</f>
        <v>569007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11275</v>
      </c>
      <c r="D2718" s="2" t="str">
        <f t="shared" si="41"/>
        <v>Error?</v>
      </c>
    </row>
    <row r="2719" spans="1:4" x14ac:dyDescent="0.2">
      <c r="A2719" s="5">
        <v>2658</v>
      </c>
      <c r="B2719" s="138">
        <f>'Expenditures 15-22'!D51</f>
        <v>3360</v>
      </c>
      <c r="D2719" s="2" t="str">
        <f t="shared" si="41"/>
        <v>Error?</v>
      </c>
    </row>
    <row r="2720" spans="1:4" x14ac:dyDescent="0.2">
      <c r="A2720" s="5">
        <v>2659</v>
      </c>
      <c r="B2720" s="138">
        <f>'Expenditures 15-22'!E51</f>
        <v>3000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17635</v>
      </c>
      <c r="C2724" s="2" t="s">
        <v>594</v>
      </c>
      <c r="D2724" s="2" t="str">
        <f t="shared" si="41"/>
        <v>Error?</v>
      </c>
    </row>
    <row r="2725" spans="1:4" x14ac:dyDescent="0.2">
      <c r="A2725" s="5">
        <v>2664</v>
      </c>
      <c r="B2725" s="138">
        <f>'Expenditures 15-22'!D247</f>
        <v>2218</v>
      </c>
      <c r="D2725" s="2" t="str">
        <f t="shared" si="41"/>
        <v>Error?</v>
      </c>
    </row>
    <row r="2726" spans="1:4" x14ac:dyDescent="0.2">
      <c r="A2726" s="5">
        <v>2665</v>
      </c>
      <c r="B2726" s="138">
        <f>'Expenditures 15-22'!K247</f>
        <v>2218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10913</v>
      </c>
      <c r="C2789" s="2" t="s">
        <v>594</v>
      </c>
      <c r="D2789" s="2" t="str">
        <f t="shared" si="42"/>
        <v>Error?</v>
      </c>
    </row>
    <row r="2790" spans="1:4" x14ac:dyDescent="0.2">
      <c r="A2790" s="5">
        <v>2729</v>
      </c>
      <c r="B2790" s="138">
        <f>'Expenditures 15-22'!E102</f>
        <v>10913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486482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284866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486482</v>
      </c>
      <c r="D2912" s="2" t="str">
        <f t="shared" si="44"/>
        <v>Error?</v>
      </c>
    </row>
    <row r="2913" spans="1:4" x14ac:dyDescent="0.2">
      <c r="A2913" s="5">
        <v>2852</v>
      </c>
      <c r="B2913" s="138">
        <f>'Assets-Liab 5-6'!I41</f>
        <v>486482</v>
      </c>
      <c r="C2913" s="2" t="s">
        <v>594</v>
      </c>
      <c r="D2913" s="2" t="str">
        <f t="shared" si="44"/>
        <v>Error?</v>
      </c>
    </row>
    <row r="2914" spans="1:4" x14ac:dyDescent="0.2">
      <c r="A2914" s="5">
        <v>2853</v>
      </c>
      <c r="B2914" s="138">
        <f>'Assets-Liab 5-6'!L33</f>
        <v>178824</v>
      </c>
      <c r="D2914" s="2" t="str">
        <f t="shared" si="44"/>
        <v>Error?</v>
      </c>
    </row>
    <row r="2915" spans="1:4" x14ac:dyDescent="0.2">
      <c r="A2915" s="10">
        <v>2854</v>
      </c>
      <c r="D2915" s="2" t="str">
        <f t="shared" si="44"/>
        <v>OK</v>
      </c>
    </row>
    <row r="2916" spans="1:4" x14ac:dyDescent="0.2">
      <c r="A2916" s="5">
        <v>2855</v>
      </c>
      <c r="B2916" s="138">
        <f>'Assets-Liab 5-6'!L34</f>
        <v>178824</v>
      </c>
      <c r="C2916" s="2" t="s">
        <v>594</v>
      </c>
      <c r="D2916" s="2" t="str">
        <f t="shared" si="44"/>
        <v>Error?</v>
      </c>
    </row>
    <row r="2917" spans="1:4" x14ac:dyDescent="0.2">
      <c r="A2917" s="5">
        <v>2856</v>
      </c>
      <c r="B2917" s="138">
        <f>'Assets-Liab 5-6'!L41</f>
        <v>284866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10913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5779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10913</v>
      </c>
      <c r="C2973" s="2" t="s">
        <v>594</v>
      </c>
      <c r="D2973" s="2" t="str">
        <f t="shared" si="45"/>
        <v>Error?</v>
      </c>
    </row>
    <row r="2974" spans="1:4" x14ac:dyDescent="0.2">
      <c r="A2974" s="5">
        <v>2913</v>
      </c>
      <c r="B2974" s="138">
        <f>'Expenditures 15-22'!K79</f>
        <v>5779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381740</v>
      </c>
      <c r="D3055" s="2" t="str">
        <f t="shared" si="46"/>
        <v>Error?</v>
      </c>
    </row>
    <row r="3056" spans="1:4" x14ac:dyDescent="0.2">
      <c r="A3056" s="5">
        <v>2995</v>
      </c>
      <c r="B3056" s="138">
        <f>'Expenditures 15-22'!D10</f>
        <v>87448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469188</v>
      </c>
      <c r="C3062" s="2" t="s">
        <v>594</v>
      </c>
      <c r="D3062" s="2" t="str">
        <f t="shared" si="46"/>
        <v>Error?</v>
      </c>
    </row>
    <row r="3063" spans="1:4" x14ac:dyDescent="0.2">
      <c r="A3063" s="10">
        <v>3002</v>
      </c>
      <c r="D3063" s="2" t="str">
        <f t="shared" si="46"/>
        <v>OK</v>
      </c>
    </row>
    <row r="3064" spans="1:4" x14ac:dyDescent="0.2">
      <c r="A3064" s="5">
        <v>3003</v>
      </c>
      <c r="B3064" s="138">
        <f>'Expenditures 15-22'!D219</f>
        <v>44070</v>
      </c>
      <c r="D3064" s="2" t="str">
        <f t="shared" si="46"/>
        <v>Error?</v>
      </c>
    </row>
    <row r="3065" spans="1:4" x14ac:dyDescent="0.2">
      <c r="A3065" s="5">
        <v>3004</v>
      </c>
      <c r="B3065" s="138">
        <f>'Expenditures 15-22'!K219</f>
        <v>44070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106042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44993</v>
      </c>
      <c r="C3225" s="2" t="s">
        <v>594</v>
      </c>
      <c r="D3225" s="2" t="str">
        <f t="shared" si="49"/>
        <v>Error?</v>
      </c>
    </row>
    <row r="3226" spans="1:4" x14ac:dyDescent="0.2">
      <c r="A3226" s="5">
        <v>3165</v>
      </c>
      <c r="B3226" s="138">
        <f>'Acct Summary 7-8'!I8</f>
        <v>44993</v>
      </c>
      <c r="C3226" s="2" t="s">
        <v>594</v>
      </c>
      <c r="D3226" s="2" t="str">
        <f t="shared" si="49"/>
        <v>Error?</v>
      </c>
    </row>
    <row r="3227" spans="1:4" x14ac:dyDescent="0.2">
      <c r="A3227" s="5">
        <v>3166</v>
      </c>
      <c r="B3227" s="138">
        <f>'Acct Summary 7-8'!I20</f>
        <v>44993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491749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200000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280040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246996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96346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40189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2753171</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2753171</v>
      </c>
      <c r="C3299" s="2" t="s">
        <v>594</v>
      </c>
      <c r="D3299" s="2" t="str">
        <f t="shared" si="50"/>
        <v>Error?</v>
      </c>
    </row>
    <row r="3300" spans="1:4" x14ac:dyDescent="0.2">
      <c r="A3300" s="5">
        <v>3239</v>
      </c>
      <c r="B3300" s="138">
        <f>'Acct Summary 7-8'!H78</f>
        <v>3322178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200000</v>
      </c>
      <c r="C3318" s="2" t="s">
        <v>594</v>
      </c>
      <c r="D3318" s="2" t="str">
        <f t="shared" si="50"/>
        <v>Error?</v>
      </c>
    </row>
    <row r="3319" spans="1:4" x14ac:dyDescent="0.2">
      <c r="A3319" s="5">
        <v>3258</v>
      </c>
      <c r="B3319" s="138">
        <f>'Acct Summary 7-8'!I77</f>
        <v>-200000</v>
      </c>
      <c r="C3319" s="2" t="s">
        <v>594</v>
      </c>
      <c r="D3319" s="2" t="str">
        <f t="shared" si="50"/>
        <v>Error?</v>
      </c>
    </row>
    <row r="3320" spans="1:4" x14ac:dyDescent="0.2">
      <c r="A3320" s="5">
        <v>3259</v>
      </c>
      <c r="B3320" s="138">
        <f>'Acct Summary 7-8'!I78</f>
        <v>-155007</v>
      </c>
      <c r="C3320" s="2" t="s">
        <v>594</v>
      </c>
      <c r="D3320" s="2" t="str">
        <f t="shared" si="50"/>
        <v>Error?</v>
      </c>
    </row>
    <row r="3321" spans="1:4" x14ac:dyDescent="0.2">
      <c r="A3321" s="5">
        <v>3260</v>
      </c>
      <c r="B3321" s="138">
        <f>'Acct Summary 7-8'!I79</f>
        <v>641489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486482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79349</v>
      </c>
      <c r="D3366" s="2" t="str">
        <f t="shared" si="51"/>
        <v>Error?</v>
      </c>
    </row>
    <row r="3367" spans="1:4" x14ac:dyDescent="0.2">
      <c r="A3367" s="5">
        <v>3306</v>
      </c>
      <c r="B3367" s="138">
        <f>'Expenditures 15-22'!C19</f>
        <v>142904</v>
      </c>
      <c r="D3367" s="2" t="str">
        <f t="shared" si="51"/>
        <v>Error?</v>
      </c>
    </row>
    <row r="3368" spans="1:4" x14ac:dyDescent="0.2">
      <c r="A3368" s="5">
        <v>3307</v>
      </c>
      <c r="B3368" s="138">
        <f>'Expenditures 15-22'!D8</f>
        <v>8751</v>
      </c>
      <c r="D3368" s="2" t="str">
        <f t="shared" si="51"/>
        <v>Error?</v>
      </c>
    </row>
    <row r="3369" spans="1:4" x14ac:dyDescent="0.2">
      <c r="A3369" s="5">
        <v>3308</v>
      </c>
      <c r="B3369" s="138">
        <f>'Expenditures 15-22'!D19</f>
        <v>21057</v>
      </c>
      <c r="D3369" s="2" t="str">
        <f t="shared" si="51"/>
        <v>Error?</v>
      </c>
    </row>
    <row r="3370" spans="1:4" x14ac:dyDescent="0.2">
      <c r="A3370" s="5">
        <v>3309</v>
      </c>
      <c r="B3370" s="138">
        <f>'Expenditures 15-22'!E8</f>
        <v>548862</v>
      </c>
      <c r="D3370" s="2" t="str">
        <f t="shared" si="51"/>
        <v>Error?</v>
      </c>
    </row>
    <row r="3371" spans="1:4" x14ac:dyDescent="0.2">
      <c r="A3371" s="5">
        <v>3310</v>
      </c>
      <c r="B3371" s="138">
        <f>'Expenditures 15-22'!E19</f>
        <v>1123</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1410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22</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636962</v>
      </c>
      <c r="C3380" s="2" t="s">
        <v>594</v>
      </c>
      <c r="D3380" s="2" t="str">
        <f t="shared" si="51"/>
        <v>Error?</v>
      </c>
    </row>
    <row r="3381" spans="1:4" x14ac:dyDescent="0.2">
      <c r="A3381" s="5">
        <v>3320</v>
      </c>
      <c r="B3381" s="138">
        <f>'Expenditures 15-22'!K19</f>
        <v>166516</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115307</v>
      </c>
      <c r="D3387" s="2" t="str">
        <f t="shared" si="51"/>
        <v>Error?</v>
      </c>
    </row>
    <row r="3388" spans="1:4" x14ac:dyDescent="0.2">
      <c r="A3388" s="5">
        <v>3327</v>
      </c>
      <c r="B3388" s="138">
        <f>'Expenditures 15-22'!D217</f>
        <v>6369</v>
      </c>
      <c r="D3388" s="2" t="str">
        <f t="shared" si="51"/>
        <v>Error?</v>
      </c>
    </row>
    <row r="3389" spans="1:4" x14ac:dyDescent="0.2">
      <c r="A3389" s="5">
        <v>3328</v>
      </c>
      <c r="B3389" s="138">
        <f>'Expenditures 15-22'!D228</f>
        <v>3733</v>
      </c>
      <c r="D3389" s="2" t="str">
        <f t="shared" si="51"/>
        <v>Error?</v>
      </c>
    </row>
    <row r="3390" spans="1:4" x14ac:dyDescent="0.2">
      <c r="A3390" s="5">
        <v>3329</v>
      </c>
      <c r="B3390" s="138">
        <f>'Expenditures 15-22'!K215</f>
        <v>115307</v>
      </c>
      <c r="C3390" s="2" t="s">
        <v>594</v>
      </c>
      <c r="D3390" s="2" t="str">
        <f t="shared" si="51"/>
        <v>Error?</v>
      </c>
    </row>
    <row r="3391" spans="1:4" x14ac:dyDescent="0.2">
      <c r="A3391" s="5">
        <v>3330</v>
      </c>
      <c r="B3391" s="138">
        <f>'Expenditures 15-22'!K217</f>
        <v>6369</v>
      </c>
      <c r="C3391" s="2" t="s">
        <v>594</v>
      </c>
      <c r="D3391" s="2" t="str">
        <f t="shared" ref="D3391:D3454" si="52">IF(ISBLANK(B3391),"OK",IF(A3391-B3391=0,"OK","Error?"))</f>
        <v>Error?</v>
      </c>
    </row>
    <row r="3392" spans="1:4" x14ac:dyDescent="0.2">
      <c r="A3392" s="5">
        <v>3331</v>
      </c>
      <c r="B3392" s="138">
        <f>'Expenditures 15-22'!K228</f>
        <v>3733</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6513078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1546322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694152</v>
      </c>
      <c r="D3417" s="2" t="str">
        <f t="shared" si="52"/>
        <v>Error?</v>
      </c>
    </row>
    <row r="3418" spans="1:4" x14ac:dyDescent="0.2">
      <c r="A3418" s="10">
        <v>3357</v>
      </c>
      <c r="D3418" s="2" t="str">
        <f t="shared" si="52"/>
        <v>OK</v>
      </c>
    </row>
    <row r="3419" spans="1:4" x14ac:dyDescent="0.2">
      <c r="A3419" s="5">
        <v>3358</v>
      </c>
      <c r="B3419" s="138">
        <f>'Assets-Liab 5-6'!F4</f>
        <v>805319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952507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3322178</v>
      </c>
      <c r="D3425" s="2" t="str">
        <f t="shared" si="52"/>
        <v>Error?</v>
      </c>
    </row>
    <row r="3426" spans="1:4" x14ac:dyDescent="0.2">
      <c r="A3426" s="10">
        <v>3365</v>
      </c>
      <c r="D3426" s="2" t="str">
        <f t="shared" si="52"/>
        <v>OK</v>
      </c>
    </row>
    <row r="3427" spans="1:4" x14ac:dyDescent="0.2">
      <c r="A3427" s="5">
        <v>3366</v>
      </c>
      <c r="B3427" s="138">
        <f>'Assets-Liab 5-6'!I4</f>
        <v>486482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284866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359378</v>
      </c>
      <c r="C3446" s="2" t="s">
        <v>594</v>
      </c>
      <c r="D3446" s="2" t="str">
        <f t="shared" si="52"/>
        <v>Error?</v>
      </c>
    </row>
    <row r="3447" spans="1:4" x14ac:dyDescent="0.2">
      <c r="A3447" s="5">
        <v>3386</v>
      </c>
      <c r="B3447" s="138">
        <f>'Tax Sched 23'!D16</f>
        <v>204101</v>
      </c>
      <c r="C3447" s="2" t="s">
        <v>594</v>
      </c>
      <c r="D3447" s="2" t="str">
        <f t="shared" si="52"/>
        <v>Error?</v>
      </c>
    </row>
    <row r="3448" spans="1:4" x14ac:dyDescent="0.2">
      <c r="A3448" s="5">
        <v>3387</v>
      </c>
      <c r="B3448" s="138">
        <f>'Tax Sched 23'!C16</f>
        <v>155277</v>
      </c>
      <c r="D3448" s="2" t="str">
        <f t="shared" si="52"/>
        <v>Error?</v>
      </c>
    </row>
    <row r="3449" spans="1:4" x14ac:dyDescent="0.2">
      <c r="A3449" s="5">
        <v>3388</v>
      </c>
      <c r="B3449" s="138">
        <f>'Tax Sched 23'!F16</f>
        <v>209762</v>
      </c>
      <c r="C3449" s="2" t="s">
        <v>594</v>
      </c>
      <c r="D3449" s="2" t="str">
        <f t="shared" si="52"/>
        <v>Error?</v>
      </c>
    </row>
    <row r="3450" spans="1:4" x14ac:dyDescent="0.2">
      <c r="A3450" s="5">
        <v>3389</v>
      </c>
      <c r="B3450" s="138">
        <f>'Tax Sched 23'!E16</f>
        <v>365039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63277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63277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63277</v>
      </c>
      <c r="D3567" s="2" t="str">
        <f t="shared" si="54"/>
        <v>Error?</v>
      </c>
    </row>
    <row r="3568" spans="1:4" x14ac:dyDescent="0.2">
      <c r="A3568" s="5">
        <v>3507</v>
      </c>
      <c r="B3568" s="138">
        <f>'Assets-Liab 5-6'!K41</f>
        <v>63277</v>
      </c>
      <c r="C3568" s="2" t="s">
        <v>594</v>
      </c>
      <c r="D3568" s="2" t="str">
        <f t="shared" si="54"/>
        <v>Error?</v>
      </c>
    </row>
    <row r="3569" spans="1:4" x14ac:dyDescent="0.2">
      <c r="A3569" s="5">
        <v>3508</v>
      </c>
      <c r="B3569" s="138">
        <f>'Acct Summary 7-8'!K4</f>
        <v>38187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38187</v>
      </c>
      <c r="C3571" s="2" t="s">
        <v>594</v>
      </c>
      <c r="D3571" s="2" t="str">
        <f t="shared" si="54"/>
        <v>Error?</v>
      </c>
    </row>
    <row r="3572" spans="1:4" x14ac:dyDescent="0.2">
      <c r="A3572" s="5">
        <v>3511</v>
      </c>
      <c r="B3572" s="138">
        <f>'Acct Summary 7-8'!K13</f>
        <v>30000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30000</v>
      </c>
      <c r="C3575" s="2" t="s">
        <v>594</v>
      </c>
      <c r="D3575" s="2" t="str">
        <f t="shared" si="54"/>
        <v>Error?</v>
      </c>
    </row>
    <row r="3576" spans="1:4" x14ac:dyDescent="0.2">
      <c r="A3576" s="5">
        <v>3515</v>
      </c>
      <c r="B3576" s="138">
        <f>'Acct Summary 7-8'!K20</f>
        <v>8187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8187</v>
      </c>
      <c r="C3588" s="2" t="s">
        <v>594</v>
      </c>
      <c r="D3588" s="2" t="str">
        <f t="shared" si="55"/>
        <v>Error?</v>
      </c>
    </row>
    <row r="3589" spans="1:4" x14ac:dyDescent="0.2">
      <c r="A3589" s="5">
        <v>3528</v>
      </c>
      <c r="B3589" s="138">
        <f>'Acct Summary 7-8'!K79</f>
        <v>55090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63277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30000</v>
      </c>
      <c r="D3646" s="2" t="str">
        <f t="shared" si="55"/>
        <v>Error?</v>
      </c>
    </row>
    <row r="3647" spans="1:4" x14ac:dyDescent="0.2">
      <c r="A3647" s="5">
        <v>3586</v>
      </c>
      <c r="B3647" s="138">
        <f>'Expenditures 15-22'!G350</f>
        <v>30000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30000</v>
      </c>
      <c r="C3649" s="2" t="s">
        <v>594</v>
      </c>
      <c r="D3649" s="2" t="str">
        <f t="shared" si="56"/>
        <v>Error?</v>
      </c>
    </row>
    <row r="3650" spans="1:4" x14ac:dyDescent="0.2">
      <c r="A3650" s="5">
        <v>3589</v>
      </c>
      <c r="B3650" s="138">
        <f>'Expenditures 15-22'!G367</f>
        <v>30000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30000</v>
      </c>
      <c r="C3669" s="2" t="s">
        <v>594</v>
      </c>
      <c r="D3669" s="2" t="str">
        <f t="shared" si="56"/>
        <v>Error?</v>
      </c>
    </row>
    <row r="3670" spans="1:4" x14ac:dyDescent="0.2">
      <c r="A3670" s="5">
        <v>3609</v>
      </c>
      <c r="B3670" s="138">
        <f>'Expenditures 15-22'!K350</f>
        <v>30000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30000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8187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53936</v>
      </c>
      <c r="D3721" s="2" t="str">
        <f t="shared" si="57"/>
        <v>Error?</v>
      </c>
    </row>
    <row r="3722" spans="1:4" x14ac:dyDescent="0.2">
      <c r="A3722" s="5">
        <v>3661</v>
      </c>
      <c r="B3722" s="138">
        <f>'Expenditures 15-22'!D285</f>
        <v>53936</v>
      </c>
      <c r="C3722" s="2" t="s">
        <v>594</v>
      </c>
      <c r="D3722" s="2" t="str">
        <f t="shared" si="57"/>
        <v>Error?</v>
      </c>
    </row>
    <row r="3723" spans="1:4" x14ac:dyDescent="0.2">
      <c r="A3723" s="5">
        <v>3662</v>
      </c>
      <c r="B3723" s="138">
        <f>'Expenditures 15-22'!K283</f>
        <v>53936</v>
      </c>
      <c r="C3723" s="2" t="s">
        <v>594</v>
      </c>
      <c r="D3723" s="2" t="str">
        <f t="shared" si="57"/>
        <v>Error?</v>
      </c>
    </row>
    <row r="3724" spans="1:4" x14ac:dyDescent="0.2">
      <c r="A3724" s="5">
        <v>3663</v>
      </c>
      <c r="B3724" s="138">
        <f>'Expenditures 15-22'!K285</f>
        <v>53936</v>
      </c>
      <c r="C3724" s="2" t="s">
        <v>594</v>
      </c>
      <c r="D3724" s="2" t="str">
        <f t="shared" si="57"/>
        <v>Error?</v>
      </c>
    </row>
    <row r="3725" spans="1:4" x14ac:dyDescent="0.2">
      <c r="A3725" s="5">
        <v>3664</v>
      </c>
      <c r="B3725" s="138">
        <f>'Tax Sched 23'!B13</f>
        <v>37546</v>
      </c>
      <c r="C3725" s="2" t="s">
        <v>594</v>
      </c>
      <c r="D3725" s="2" t="str">
        <f t="shared" si="57"/>
        <v>Error?</v>
      </c>
    </row>
    <row r="3726" spans="1:4" x14ac:dyDescent="0.2">
      <c r="A3726" s="5">
        <v>3665</v>
      </c>
      <c r="B3726" s="138">
        <f>'Tax Sched 23'!D13</f>
        <v>21287</v>
      </c>
      <c r="C3726" s="2" t="s">
        <v>594</v>
      </c>
      <c r="D3726" s="2" t="str">
        <f t="shared" si="57"/>
        <v>Error?</v>
      </c>
    </row>
    <row r="3727" spans="1:4" x14ac:dyDescent="0.2">
      <c r="A3727" s="5">
        <v>3666</v>
      </c>
      <c r="B3727" s="138">
        <f>'Tax Sched 23'!C13</f>
        <v>16259</v>
      </c>
      <c r="D3727" s="2" t="str">
        <f t="shared" si="57"/>
        <v>Error?</v>
      </c>
    </row>
    <row r="3728" spans="1:4" x14ac:dyDescent="0.2">
      <c r="A3728" s="5">
        <v>3667</v>
      </c>
      <c r="B3728" s="138">
        <f>'Tax Sched 23'!F13</f>
        <v>21965</v>
      </c>
      <c r="C3728" s="2" t="s">
        <v>594</v>
      </c>
      <c r="D3728" s="2" t="str">
        <f t="shared" si="57"/>
        <v>Error?</v>
      </c>
    </row>
    <row r="3729" spans="1:4" x14ac:dyDescent="0.2">
      <c r="A3729" s="5">
        <v>3668</v>
      </c>
      <c r="B3729" s="138">
        <f>'Tax Sched 23'!E13</f>
        <v>38224</v>
      </c>
      <c r="D3729" s="2" t="str">
        <f t="shared" si="57"/>
        <v>Error?</v>
      </c>
    </row>
    <row r="3730" spans="1:4" x14ac:dyDescent="0.2">
      <c r="A3730" s="5">
        <v>3669</v>
      </c>
      <c r="B3730" s="138">
        <f>'ICR Computation 30'!E10</f>
        <v>442531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5301489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20615033</v>
      </c>
      <c r="C4122" s="2" t="s">
        <v>594</v>
      </c>
      <c r="D4122" s="2" t="str">
        <f t="shared" si="63"/>
        <v>Error?</v>
      </c>
    </row>
    <row r="4123" spans="1:4" x14ac:dyDescent="0.2">
      <c r="A4123" s="5">
        <v>4062</v>
      </c>
      <c r="B4123" s="138">
        <f>'Acct Summary 7-8'!D10</f>
        <v>2141331</v>
      </c>
      <c r="C4123" s="2" t="s">
        <v>594</v>
      </c>
      <c r="D4123" s="2" t="str">
        <f t="shared" si="63"/>
        <v>Error?</v>
      </c>
    </row>
    <row r="4124" spans="1:4" x14ac:dyDescent="0.2">
      <c r="A4124" s="5">
        <v>4063</v>
      </c>
      <c r="B4124" s="138">
        <f>'Acct Summary 7-8'!E10</f>
        <v>628839</v>
      </c>
      <c r="C4124" s="2" t="s">
        <v>594</v>
      </c>
      <c r="D4124" s="2" t="str">
        <f t="shared" si="63"/>
        <v>Error?</v>
      </c>
    </row>
    <row r="4125" spans="1:4" x14ac:dyDescent="0.2">
      <c r="A4125" s="5">
        <v>4064</v>
      </c>
      <c r="B4125" s="138">
        <f>'Acct Summary 7-8'!F10</f>
        <v>1006884</v>
      </c>
      <c r="C4125" s="2" t="s">
        <v>594</v>
      </c>
      <c r="D4125" s="2" t="str">
        <f t="shared" si="63"/>
        <v>Error?</v>
      </c>
    </row>
    <row r="4126" spans="1:4" x14ac:dyDescent="0.2">
      <c r="A4126" s="5">
        <v>4065</v>
      </c>
      <c r="B4126" s="138">
        <f>'Acct Summary 7-8'!G10</f>
        <v>763263</v>
      </c>
      <c r="C4126" s="2" t="s">
        <v>594</v>
      </c>
      <c r="D4126" s="2" t="str">
        <f t="shared" si="63"/>
        <v>Error?</v>
      </c>
    </row>
    <row r="4127" spans="1:4" x14ac:dyDescent="0.2">
      <c r="A4127" s="5">
        <v>4066</v>
      </c>
      <c r="B4127" s="138">
        <f>'Acct Summary 7-8'!H10</f>
        <v>978350</v>
      </c>
      <c r="C4127" s="2" t="s">
        <v>594</v>
      </c>
      <c r="D4127" s="2" t="str">
        <f t="shared" si="63"/>
        <v>Error?</v>
      </c>
    </row>
    <row r="4128" spans="1:4" x14ac:dyDescent="0.2">
      <c r="A4128" s="5">
        <v>4067</v>
      </c>
      <c r="B4128" s="138">
        <f>'Acct Summary 7-8'!I10</f>
        <v>44993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38187</v>
      </c>
      <c r="C4130" s="2" t="s">
        <v>594</v>
      </c>
      <c r="D4130" s="2" t="str">
        <f t="shared" si="63"/>
        <v>Error?</v>
      </c>
    </row>
    <row r="4131" spans="1:4" x14ac:dyDescent="0.2">
      <c r="A4131" s="5">
        <v>4070</v>
      </c>
      <c r="B4131" s="138">
        <f>'Acct Summary 7-8'!C18</f>
        <v>5301489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20123284</v>
      </c>
      <c r="C4136" s="2" t="s">
        <v>594</v>
      </c>
      <c r="D4136" s="2" t="str">
        <f t="shared" si="63"/>
        <v>Error?</v>
      </c>
    </row>
    <row r="4137" spans="1:4" x14ac:dyDescent="0.2">
      <c r="A4137" s="5">
        <v>4076</v>
      </c>
      <c r="B4137" s="138">
        <f>'Acct Summary 7-8'!D19</f>
        <v>1861291</v>
      </c>
      <c r="C4137" s="2" t="s">
        <v>594</v>
      </c>
      <c r="D4137" s="2" t="str">
        <f t="shared" si="63"/>
        <v>Error?</v>
      </c>
    </row>
    <row r="4138" spans="1:4" x14ac:dyDescent="0.2">
      <c r="A4138" s="5">
        <v>4077</v>
      </c>
      <c r="B4138" s="138">
        <f>'Acct Summary 7-8'!E19</f>
        <v>588650</v>
      </c>
      <c r="C4138" s="2" t="s">
        <v>594</v>
      </c>
      <c r="D4138" s="2" t="str">
        <f t="shared" si="63"/>
        <v>Error?</v>
      </c>
    </row>
    <row r="4139" spans="1:4" x14ac:dyDescent="0.2">
      <c r="A4139" s="5">
        <v>4078</v>
      </c>
      <c r="B4139" s="138">
        <f>'Acct Summary 7-8'!F19</f>
        <v>759888</v>
      </c>
      <c r="C4139" s="2" t="s">
        <v>594</v>
      </c>
      <c r="D4139" s="2" t="str">
        <f t="shared" si="63"/>
        <v>Error?</v>
      </c>
    </row>
    <row r="4140" spans="1:4" x14ac:dyDescent="0.2">
      <c r="A4140" s="5">
        <v>4079</v>
      </c>
      <c r="B4140" s="138">
        <f>'Acct Summary 7-8'!G19</f>
        <v>666917</v>
      </c>
      <c r="C4140" s="2" t="s">
        <v>594</v>
      </c>
      <c r="D4140" s="2" t="str">
        <f t="shared" si="63"/>
        <v>Error?</v>
      </c>
    </row>
    <row r="4141" spans="1:4" x14ac:dyDescent="0.2">
      <c r="A4141" s="5">
        <v>4080</v>
      </c>
      <c r="B4141" s="138">
        <f>'Acct Summary 7-8'!H19</f>
        <v>409343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30000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6443000</v>
      </c>
      <c r="C4171" s="2" t="s">
        <v>594</v>
      </c>
      <c r="D4171" s="2" t="str">
        <f t="shared" si="64"/>
        <v>Error?</v>
      </c>
    </row>
    <row r="4172" spans="1:4" x14ac:dyDescent="0.2">
      <c r="A4172" s="5">
        <v>4111</v>
      </c>
      <c r="B4172" s="138">
        <f>'Short-Term Long-Term Debt 24'!J49</f>
        <v>4773763</v>
      </c>
      <c r="C4172" s="2" t="s">
        <v>594</v>
      </c>
      <c r="D4172" s="2" t="str">
        <f t="shared" si="64"/>
        <v>Error?</v>
      </c>
    </row>
    <row r="4173" spans="1:4" x14ac:dyDescent="0.2">
      <c r="A4173" s="5">
        <v>4112</v>
      </c>
      <c r="B4173" s="138">
        <f>'Short-Term Long-Term Debt 24'!H49</f>
        <v>478000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11246687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47431</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14074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14309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31060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31060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15595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82117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60961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76448034</v>
      </c>
      <c r="D4995" s="2" t="str">
        <f t="shared" si="77"/>
        <v>Error?</v>
      </c>
    </row>
    <row r="4996" spans="1:4" x14ac:dyDescent="0.2">
      <c r="A4996" s="12">
        <v>4935</v>
      </c>
      <c r="B4996" s="138">
        <f>'FP Info 3'!H31</f>
        <v>10549828.692000002</v>
      </c>
      <c r="D4996" s="2" t="str">
        <f t="shared" si="77"/>
        <v>Error?</v>
      </c>
    </row>
    <row r="4997" spans="1:4" x14ac:dyDescent="0.2">
      <c r="A4997" s="12">
        <v>4936</v>
      </c>
      <c r="B4997" s="138">
        <f>'FP Info 3'!H37</f>
        <v>6443000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37546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1381715</v>
      </c>
      <c r="D5061" s="2" t="str">
        <f t="shared" si="78"/>
        <v>Error?</v>
      </c>
    </row>
    <row r="5062" spans="1:4" x14ac:dyDescent="0.2">
      <c r="A5062" s="10">
        <v>5001</v>
      </c>
      <c r="D5062" s="2" t="str">
        <f t="shared" si="78"/>
        <v>OK</v>
      </c>
    </row>
    <row r="5063" spans="1:4" x14ac:dyDescent="0.2">
      <c r="A5063" s="5">
        <v>5002</v>
      </c>
      <c r="B5063" s="138">
        <f>'Revenues 9-14'!C7</f>
        <v>30037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1449298</v>
      </c>
      <c r="C5066" s="2" t="s">
        <v>594</v>
      </c>
      <c r="D5066" s="2" t="str">
        <f t="shared" si="78"/>
        <v>Error?</v>
      </c>
    </row>
    <row r="5067" spans="1:4" x14ac:dyDescent="0.2">
      <c r="A5067" s="5">
        <v>5006</v>
      </c>
      <c r="B5067" s="138">
        <f>'Revenues 9-14'!C14</f>
        <v>170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247124</v>
      </c>
      <c r="D5069" s="2" t="str">
        <f t="shared" si="78"/>
        <v>Error?</v>
      </c>
    </row>
    <row r="5070" spans="1:4" x14ac:dyDescent="0.2">
      <c r="A5070" s="5">
        <v>5009</v>
      </c>
      <c r="B5070" s="138">
        <f>'Revenues 9-14'!C17</f>
        <v>2116</v>
      </c>
      <c r="D5070" s="2" t="str">
        <f t="shared" si="78"/>
        <v>Error?</v>
      </c>
    </row>
    <row r="5071" spans="1:4" x14ac:dyDescent="0.2">
      <c r="A5071" s="5">
        <v>5010</v>
      </c>
      <c r="B5071" s="138">
        <f>'Revenues 9-14'!C18</f>
        <v>249410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3240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3240</v>
      </c>
      <c r="C5087" s="2" t="s">
        <v>594</v>
      </c>
      <c r="D5087" s="2" t="str">
        <f t="shared" si="78"/>
        <v>Error?</v>
      </c>
    </row>
    <row r="5088" spans="1:4" x14ac:dyDescent="0.2">
      <c r="A5088" s="5">
        <v>5027</v>
      </c>
      <c r="B5088" s="138">
        <f>'Revenues 9-14'!C65</f>
        <v>89114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89114</v>
      </c>
      <c r="C5090" s="2" t="s">
        <v>594</v>
      </c>
      <c r="D5090" s="2" t="str">
        <f t="shared" si="78"/>
        <v>Error?</v>
      </c>
    </row>
    <row r="5091" spans="1:4" x14ac:dyDescent="0.2">
      <c r="A5091" s="5">
        <v>5030</v>
      </c>
      <c r="B5091" s="138">
        <f>'Revenues 9-14'!C70</f>
        <v>22054</v>
      </c>
      <c r="D5091" s="2" t="str">
        <f t="shared" si="78"/>
        <v>Error?</v>
      </c>
    </row>
    <row r="5092" spans="1:4" x14ac:dyDescent="0.2">
      <c r="A5092" s="5">
        <v>5031</v>
      </c>
      <c r="B5092" s="138">
        <f>'Revenues 9-14'!C71</f>
        <v>27329</v>
      </c>
      <c r="D5092" s="2" t="str">
        <f t="shared" si="78"/>
        <v>Error?</v>
      </c>
    </row>
    <row r="5093" spans="1:4" x14ac:dyDescent="0.2">
      <c r="A5093" s="5">
        <v>5032</v>
      </c>
      <c r="B5093" s="138">
        <f>'Revenues 9-14'!C72</f>
        <v>15557</v>
      </c>
      <c r="D5093" s="2" t="str">
        <f t="shared" si="78"/>
        <v>Error?</v>
      </c>
    </row>
    <row r="5094" spans="1:4" x14ac:dyDescent="0.2">
      <c r="A5094" s="5">
        <v>5033</v>
      </c>
      <c r="B5094" s="138">
        <f>'Revenues 9-14'!C73</f>
        <v>2807</v>
      </c>
      <c r="D5094" s="2" t="str">
        <f t="shared" si="78"/>
        <v>Error?</v>
      </c>
    </row>
    <row r="5095" spans="1:4" x14ac:dyDescent="0.2">
      <c r="A5095" s="5">
        <v>5034</v>
      </c>
      <c r="B5095" s="138">
        <f>'Revenues 9-14'!C74</f>
        <v>67941</v>
      </c>
      <c r="D5095" s="2" t="str">
        <f t="shared" si="78"/>
        <v>Error?</v>
      </c>
    </row>
    <row r="5096" spans="1:4" x14ac:dyDescent="0.2">
      <c r="A5096" s="5">
        <v>5035</v>
      </c>
      <c r="B5096" s="138">
        <f>'Revenues 9-14'!C75</f>
        <v>225590</v>
      </c>
      <c r="C5096" s="2" t="s">
        <v>594</v>
      </c>
      <c r="D5096" s="2" t="str">
        <f t="shared" si="78"/>
        <v>Error?</v>
      </c>
    </row>
    <row r="5097" spans="1:4" x14ac:dyDescent="0.2">
      <c r="A5097" s="5">
        <v>5036</v>
      </c>
      <c r="B5097" s="138">
        <f>'Revenues 9-14'!C77</f>
        <v>53887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53887</v>
      </c>
      <c r="C5102" s="2" t="s">
        <v>594</v>
      </c>
      <c r="D5102" s="2" t="str">
        <f t="shared" si="78"/>
        <v>Error?</v>
      </c>
    </row>
    <row r="5103" spans="1:4" x14ac:dyDescent="0.2">
      <c r="A5103" s="5">
        <v>5042</v>
      </c>
      <c r="B5103" s="138">
        <f>'Revenues 9-14'!C84</f>
        <v>13806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13806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63525</v>
      </c>
      <c r="D5114" s="2" t="str">
        <f t="shared" si="78"/>
        <v>Error?</v>
      </c>
    </row>
    <row r="5115" spans="1:4" x14ac:dyDescent="0.2">
      <c r="A5115" s="5">
        <v>5054</v>
      </c>
      <c r="B5115" s="138">
        <f>'Revenues 9-14'!C98</f>
        <v>501412</v>
      </c>
      <c r="D5115" s="2" t="str">
        <f t="shared" si="78"/>
        <v>Error?</v>
      </c>
    </row>
    <row r="5116" spans="1:4" x14ac:dyDescent="0.2">
      <c r="A5116" s="5">
        <v>5055</v>
      </c>
      <c r="B5116" s="138">
        <f>'Revenues 9-14'!C99</f>
        <v>1329</v>
      </c>
      <c r="D5116" s="2" t="str">
        <f t="shared" si="78"/>
        <v>Error?</v>
      </c>
    </row>
    <row r="5117" spans="1:4" x14ac:dyDescent="0.2">
      <c r="A5117" s="5">
        <v>5056</v>
      </c>
      <c r="B5117" s="138">
        <f>'Revenues 9-14'!C105</f>
        <v>2675</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581126</v>
      </c>
      <c r="C5120" s="2" t="s">
        <v>594</v>
      </c>
      <c r="D5120" s="2" t="str">
        <f t="shared" si="79"/>
        <v>Error?</v>
      </c>
    </row>
    <row r="5121" spans="1:4" x14ac:dyDescent="0.2">
      <c r="A5121" s="5">
        <v>5060</v>
      </c>
      <c r="B5121" s="138">
        <f>'Revenues 9-14'!C109</f>
        <v>2665471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9290485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9290485</v>
      </c>
      <c r="C5132" s="2" t="s">
        <v>594</v>
      </c>
      <c r="D5132" s="2" t="str">
        <f t="shared" si="79"/>
        <v>Error?</v>
      </c>
    </row>
    <row r="5133" spans="1:4" x14ac:dyDescent="0.2">
      <c r="A5133" s="5">
        <v>5072</v>
      </c>
      <c r="B5133" s="138">
        <f>'Revenues 9-14'!C124</f>
        <v>134016</v>
      </c>
      <c r="D5133" s="2" t="str">
        <f t="shared" si="79"/>
        <v>Error?</v>
      </c>
    </row>
    <row r="5134" spans="1:4" x14ac:dyDescent="0.2">
      <c r="A5134" s="5">
        <v>5073</v>
      </c>
      <c r="B5134" s="138">
        <f>'Revenues 9-14'!C125</f>
        <v>131949</v>
      </c>
      <c r="D5134" s="2" t="str">
        <f t="shared" si="79"/>
        <v>Error?</v>
      </c>
    </row>
    <row r="5135" spans="1:4" x14ac:dyDescent="0.2">
      <c r="A5135" s="5">
        <v>5074</v>
      </c>
      <c r="B5135" s="138">
        <f>'Revenues 9-14'!C126</f>
        <v>36682</v>
      </c>
      <c r="D5135" s="2" t="str">
        <f t="shared" si="79"/>
        <v>Error?</v>
      </c>
    </row>
    <row r="5136" spans="1:4" x14ac:dyDescent="0.2">
      <c r="A5136" s="10">
        <v>5075</v>
      </c>
      <c r="D5136" s="2" t="str">
        <f t="shared" si="79"/>
        <v>OK</v>
      </c>
    </row>
    <row r="5137" spans="1:4" x14ac:dyDescent="0.2">
      <c r="A5137" s="5">
        <v>5076</v>
      </c>
      <c r="B5137" s="138">
        <f>'Revenues 9-14'!C127</f>
        <v>4989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307636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63227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71712</v>
      </c>
      <c r="C5161" s="2" t="s">
        <v>594</v>
      </c>
      <c r="D5161" s="2" t="str">
        <f t="shared" si="79"/>
        <v>Error?</v>
      </c>
    </row>
    <row r="5162" spans="1:4" x14ac:dyDescent="0.2">
      <c r="A5162" s="10">
        <v>5101</v>
      </c>
      <c r="D5162" s="2" t="str">
        <f t="shared" si="79"/>
        <v>OK</v>
      </c>
    </row>
    <row r="5163" spans="1:4" x14ac:dyDescent="0.2">
      <c r="A5163" s="5">
        <v>5102</v>
      </c>
      <c r="B5163" s="138">
        <f>'Revenues 9-14'!C142</f>
        <v>62278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62278</v>
      </c>
      <c r="C5165" s="2" t="s">
        <v>594</v>
      </c>
      <c r="D5165" s="2" t="str">
        <f t="shared" si="79"/>
        <v>Error?</v>
      </c>
    </row>
    <row r="5166" spans="1:4" x14ac:dyDescent="0.2">
      <c r="A5166" s="10">
        <v>5105</v>
      </c>
      <c r="D5166" s="2" t="str">
        <f t="shared" si="79"/>
        <v>OK</v>
      </c>
    </row>
    <row r="5167" spans="1:4" x14ac:dyDescent="0.2">
      <c r="A5167" s="5">
        <v>5106</v>
      </c>
      <c r="B5167" s="138">
        <f>'Revenues 9-14'!C145</f>
        <v>14528</v>
      </c>
      <c r="D5167" s="2" t="str">
        <f t="shared" si="79"/>
        <v>Error?</v>
      </c>
    </row>
    <row r="5168" spans="1:4" x14ac:dyDescent="0.2">
      <c r="A5168" s="5">
        <v>5107</v>
      </c>
      <c r="B5168" s="138">
        <f>'Revenues 9-14'!C147</f>
        <v>29051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626178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1172344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10462829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687271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252177</v>
      </c>
      <c r="D5241" s="2" t="str">
        <f t="shared" si="80"/>
        <v>Error?</v>
      </c>
    </row>
    <row r="5242" spans="1:4" x14ac:dyDescent="0.2">
      <c r="A5242" s="5">
        <v>5181</v>
      </c>
      <c r="B5242" s="138">
        <f>'Revenues 9-14'!C197</f>
        <v>54356</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1041235</v>
      </c>
      <c r="C5246" s="2" t="s">
        <v>594</v>
      </c>
      <c r="D5246" s="2" t="str">
        <f t="shared" si="80"/>
        <v>Error?</v>
      </c>
    </row>
    <row r="5247" spans="1:4" x14ac:dyDescent="0.2">
      <c r="A5247" s="5">
        <v>5186</v>
      </c>
      <c r="B5247" s="138">
        <f>'Revenues 9-14'!C203</f>
        <v>534627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534627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452227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452227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2185244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2185244</v>
      </c>
      <c r="C5326" s="2" t="s">
        <v>594</v>
      </c>
      <c r="D5326" s="2" t="str">
        <f t="shared" si="82"/>
        <v>Error?</v>
      </c>
    </row>
    <row r="5327" spans="1:4" x14ac:dyDescent="0.2">
      <c r="A5327" s="5">
        <v>5266</v>
      </c>
      <c r="B5327" s="138">
        <f>'Revenues 9-14'!C275</f>
        <v>15313544</v>
      </c>
      <c r="C5327" s="2" t="s">
        <v>594</v>
      </c>
      <c r="D5327" s="2" t="str">
        <f t="shared" si="82"/>
        <v>Error?</v>
      </c>
    </row>
    <row r="5328" spans="1:4" x14ac:dyDescent="0.2">
      <c r="A5328" s="5">
        <v>5267</v>
      </c>
      <c r="B5328" s="138">
        <f>'Revenues 9-14'!D5</f>
        <v>375466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375466</v>
      </c>
      <c r="C5334" s="2" t="s">
        <v>594</v>
      </c>
      <c r="D5334" s="2" t="str">
        <f t="shared" si="82"/>
        <v>Error?</v>
      </c>
    </row>
    <row r="5335" spans="1:4" x14ac:dyDescent="0.2">
      <c r="A5335" s="5">
        <v>5274</v>
      </c>
      <c r="B5335" s="138">
        <f>'Revenues 9-14'!D14</f>
        <v>44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71890</v>
      </c>
      <c r="D5337" s="2" t="str">
        <f t="shared" si="82"/>
        <v>Error?</v>
      </c>
    </row>
    <row r="5338" spans="1:4" x14ac:dyDescent="0.2">
      <c r="A5338" s="5">
        <v>5277</v>
      </c>
      <c r="B5338" s="138">
        <f>'Revenues 9-14'!D17</f>
        <v>548</v>
      </c>
      <c r="D5338" s="2" t="str">
        <f t="shared" si="82"/>
        <v>Error?</v>
      </c>
    </row>
    <row r="5339" spans="1:4" x14ac:dyDescent="0.2">
      <c r="A5339" s="5">
        <v>5278</v>
      </c>
      <c r="B5339" s="138">
        <f>'Revenues 9-14'!D18</f>
        <v>72482</v>
      </c>
      <c r="C5339" s="2" t="s">
        <v>594</v>
      </c>
      <c r="D5339" s="2" t="str">
        <f t="shared" si="82"/>
        <v>Error?</v>
      </c>
    </row>
    <row r="5340" spans="1:4" x14ac:dyDescent="0.2">
      <c r="A5340" s="5">
        <v>5279</v>
      </c>
      <c r="B5340" s="138">
        <f>'Revenues 9-14'!D65</f>
        <v>14990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14990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18717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84935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104161</v>
      </c>
      <c r="C5355" s="2" t="s">
        <v>594</v>
      </c>
      <c r="D5355" s="2" t="str">
        <f t="shared" si="82"/>
        <v>Error?</v>
      </c>
    </row>
    <row r="5356" spans="1:4" x14ac:dyDescent="0.2">
      <c r="A5356" s="5">
        <v>5295</v>
      </c>
      <c r="B5356" s="138">
        <f>'Revenues 9-14'!D109</f>
        <v>567099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1574232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1574232</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1574232</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2141331</v>
      </c>
      <c r="C5508" s="2" t="s">
        <v>594</v>
      </c>
      <c r="D5508" s="2" t="str">
        <f t="shared" si="85"/>
        <v>Error?</v>
      </c>
    </row>
    <row r="5509" spans="1:4" x14ac:dyDescent="0.2">
      <c r="A5509" s="5">
        <v>5448</v>
      </c>
      <c r="B5509" s="138">
        <f>'Revenues 9-14'!E5</f>
        <v>177629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177629</v>
      </c>
      <c r="C5513" s="2" t="s">
        <v>594</v>
      </c>
      <c r="D5513" s="2" t="str">
        <f t="shared" si="85"/>
        <v>Error?</v>
      </c>
    </row>
    <row r="5514" spans="1:4" x14ac:dyDescent="0.2">
      <c r="A5514" s="5">
        <v>5453</v>
      </c>
      <c r="B5514" s="138">
        <f>'Revenues 9-14'!E14</f>
        <v>21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261</v>
      </c>
      <c r="D5517" s="2" t="str">
        <f t="shared" si="85"/>
        <v>Error?</v>
      </c>
    </row>
    <row r="5518" spans="1:4" x14ac:dyDescent="0.2">
      <c r="A5518" s="5">
        <v>5457</v>
      </c>
      <c r="B5518" s="138">
        <f>'Revenues 9-14'!E18</f>
        <v>282</v>
      </c>
      <c r="C5518" s="2" t="s">
        <v>594</v>
      </c>
      <c r="D5518" s="2" t="str">
        <f t="shared" si="85"/>
        <v>Error?</v>
      </c>
    </row>
    <row r="5519" spans="1:4" x14ac:dyDescent="0.2">
      <c r="A5519" s="5">
        <v>5458</v>
      </c>
      <c r="B5519" s="138">
        <f>'Revenues 9-14'!E65</f>
        <v>17258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17258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433670</v>
      </c>
      <c r="C5526" s="2" t="s">
        <v>594</v>
      </c>
      <c r="D5526" s="2" t="str">
        <f t="shared" si="85"/>
        <v>Error?</v>
      </c>
    </row>
    <row r="5527" spans="1:4" x14ac:dyDescent="0.2">
      <c r="A5527" s="5">
        <v>5466</v>
      </c>
      <c r="B5527" s="138">
        <f>'Revenues 9-14'!E109</f>
        <v>628839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628839</v>
      </c>
      <c r="C5552" s="2" t="s">
        <v>594</v>
      </c>
      <c r="D5552" s="2" t="str">
        <f t="shared" si="85"/>
        <v>Error?</v>
      </c>
    </row>
    <row r="5553" spans="1:4" x14ac:dyDescent="0.2">
      <c r="A5553" s="5">
        <v>5492</v>
      </c>
      <c r="B5553" s="138">
        <f>'Revenues 9-14'!F5</f>
        <v>150186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150186</v>
      </c>
      <c r="C5557" s="2" t="s">
        <v>594</v>
      </c>
      <c r="D5557" s="2" t="str">
        <f t="shared" si="85"/>
        <v>Error?</v>
      </c>
    </row>
    <row r="5558" spans="1:4" x14ac:dyDescent="0.2">
      <c r="A5558" s="5">
        <v>5497</v>
      </c>
      <c r="B5558" s="138">
        <f>'Revenues 9-14'!F14</f>
        <v>18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219</v>
      </c>
      <c r="D5561" s="2" t="str">
        <f t="shared" si="85"/>
        <v>Error?</v>
      </c>
    </row>
    <row r="5562" spans="1:4" x14ac:dyDescent="0.2">
      <c r="A5562" s="5">
        <v>5501</v>
      </c>
      <c r="B5562" s="138">
        <f>'Revenues 9-14'!F18</f>
        <v>237</v>
      </c>
      <c r="C5562" s="2" t="s">
        <v>594</v>
      </c>
      <c r="D5562" s="2" t="str">
        <f t="shared" si="85"/>
        <v>Error?</v>
      </c>
    </row>
    <row r="5563" spans="1:4" x14ac:dyDescent="0.2">
      <c r="A5563" s="5">
        <v>5502</v>
      </c>
      <c r="B5563" s="138">
        <f>'Revenues 9-14'!F42</f>
        <v>7119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29747</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36866</v>
      </c>
      <c r="C5579" s="2" t="s">
        <v>594</v>
      </c>
      <c r="D5579" s="2" t="str">
        <f t="shared" si="86"/>
        <v>Error?</v>
      </c>
    </row>
    <row r="5580" spans="1:4" x14ac:dyDescent="0.2">
      <c r="A5580" s="5">
        <v>5519</v>
      </c>
      <c r="B5580" s="138">
        <f>'Revenues 9-14'!F65</f>
        <v>5985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5985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14842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15276</v>
      </c>
      <c r="C5587" s="2" t="s">
        <v>594</v>
      </c>
      <c r="D5587" s="2" t="str">
        <f t="shared" si="86"/>
        <v>Error?</v>
      </c>
    </row>
    <row r="5588" spans="1:4" x14ac:dyDescent="0.2">
      <c r="A5588" s="5">
        <v>5527</v>
      </c>
      <c r="B5588" s="138">
        <f>'Revenues 9-14'!F109</f>
        <v>208550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652425</v>
      </c>
      <c r="D5615" s="2" t="str">
        <f t="shared" si="86"/>
        <v>Error?</v>
      </c>
    </row>
    <row r="5616" spans="1:4" x14ac:dyDescent="0.2">
      <c r="A5616" s="10">
        <v>5555</v>
      </c>
      <c r="D5616" s="2" t="str">
        <f t="shared" si="86"/>
        <v>OK</v>
      </c>
    </row>
    <row r="5617" spans="1:4" x14ac:dyDescent="0.2">
      <c r="A5617" s="5">
        <v>5556</v>
      </c>
      <c r="B5617" s="138">
        <f>'Revenues 9-14'!F152</f>
        <v>145909</v>
      </c>
      <c r="D5617" s="2" t="str">
        <f t="shared" si="86"/>
        <v>Error?</v>
      </c>
    </row>
    <row r="5618" spans="1:4" x14ac:dyDescent="0.2">
      <c r="A5618" s="5">
        <v>5557</v>
      </c>
      <c r="B5618" s="138">
        <f>'Revenues 9-14'!F154</f>
        <v>798334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798334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798334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1006884</v>
      </c>
      <c r="C5720" s="2" t="s">
        <v>594</v>
      </c>
      <c r="D5720" s="2" t="str">
        <f t="shared" si="88"/>
        <v>Error?</v>
      </c>
    </row>
    <row r="5721" spans="1:4" x14ac:dyDescent="0.2">
      <c r="A5721" s="5">
        <v>5660</v>
      </c>
      <c r="B5721" s="138">
        <f>'Revenues 9-14'!G5</f>
        <v>285246</v>
      </c>
      <c r="D5721" s="2" t="str">
        <f t="shared" si="88"/>
        <v>Error?</v>
      </c>
    </row>
    <row r="5722" spans="1:4" x14ac:dyDescent="0.2">
      <c r="A5722" s="5">
        <v>5661</v>
      </c>
      <c r="B5722" s="138">
        <f>'Revenues 9-14'!G7</f>
        <v>0</v>
      </c>
      <c r="D5722" s="2" t="str">
        <f t="shared" si="88"/>
        <v>Error?</v>
      </c>
    </row>
    <row r="5723" spans="1:4" x14ac:dyDescent="0.2">
      <c r="A5723" s="5">
        <v>5662</v>
      </c>
      <c r="B5723" s="138">
        <f>'Revenues 9-14'!G8</f>
        <v>359378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644624</v>
      </c>
      <c r="C5725" s="2" t="s">
        <v>594</v>
      </c>
      <c r="D5725" s="2" t="str">
        <f t="shared" si="88"/>
        <v>Error?</v>
      </c>
    </row>
    <row r="5726" spans="1:4" x14ac:dyDescent="0.2">
      <c r="A5726" s="5">
        <v>5665</v>
      </c>
      <c r="B5726" s="138">
        <f>'Revenues 9-14'!G14</f>
        <v>75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107062</v>
      </c>
      <c r="D5728" s="2" t="str">
        <f t="shared" si="88"/>
        <v>Error?</v>
      </c>
    </row>
    <row r="5729" spans="1:4" x14ac:dyDescent="0.2">
      <c r="A5729" s="5">
        <v>5668</v>
      </c>
      <c r="B5729" s="138">
        <f>'Revenues 9-14'!G17</f>
        <v>931</v>
      </c>
      <c r="D5729" s="2" t="str">
        <f t="shared" si="88"/>
        <v>Error?</v>
      </c>
    </row>
    <row r="5730" spans="1:4" x14ac:dyDescent="0.2">
      <c r="A5730" s="5">
        <v>5669</v>
      </c>
      <c r="B5730" s="138">
        <f>'Revenues 9-14'!G18</f>
        <v>108068</v>
      </c>
      <c r="C5730" s="2" t="s">
        <v>594</v>
      </c>
      <c r="D5730" s="2" t="str">
        <f t="shared" si="88"/>
        <v>Error?</v>
      </c>
    </row>
    <row r="5731" spans="1:4" x14ac:dyDescent="0.2">
      <c r="A5731" s="5">
        <v>5670</v>
      </c>
      <c r="B5731" s="138">
        <f>'Revenues 9-14'!G65</f>
        <v>10571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10571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763263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5708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5708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272642</v>
      </c>
      <c r="C5886" s="2" t="s">
        <v>594</v>
      </c>
      <c r="D5886" s="2" t="str">
        <f t="shared" si="90"/>
        <v>Error?</v>
      </c>
    </row>
    <row r="5887" spans="1:4" x14ac:dyDescent="0.2">
      <c r="A5887" s="5">
        <v>5826</v>
      </c>
      <c r="B5887" s="138">
        <f>'Revenues 9-14'!H117</f>
        <v>700000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700000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700000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978350</v>
      </c>
      <c r="C5915" s="2" t="s">
        <v>594</v>
      </c>
      <c r="D5915" s="2" t="str">
        <f t="shared" si="91"/>
        <v>Error?</v>
      </c>
    </row>
    <row r="5916" spans="1:4" x14ac:dyDescent="0.2">
      <c r="A5916" s="5">
        <v>5855</v>
      </c>
      <c r="B5916" s="138">
        <f>'Revenues 9-14'!I5</f>
        <v>37546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37546</v>
      </c>
      <c r="C5918" s="2" t="s">
        <v>594</v>
      </c>
      <c r="D5918" s="2" t="str">
        <f t="shared" si="91"/>
        <v>Error?</v>
      </c>
    </row>
    <row r="5919" spans="1:4" x14ac:dyDescent="0.2">
      <c r="A5919" s="5">
        <v>5858</v>
      </c>
      <c r="B5919" s="138">
        <f>'Revenues 9-14'!I14</f>
        <v>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55</v>
      </c>
      <c r="D5922" s="2" t="str">
        <f t="shared" si="91"/>
        <v>Error?</v>
      </c>
    </row>
    <row r="5923" spans="1:4" x14ac:dyDescent="0.2">
      <c r="A5923" s="5">
        <v>5862</v>
      </c>
      <c r="B5923" s="138">
        <f>'Revenues 9-14'!I18</f>
        <v>59</v>
      </c>
      <c r="C5923" s="2" t="s">
        <v>594</v>
      </c>
      <c r="D5923" s="2" t="str">
        <f t="shared" si="91"/>
        <v>Error?</v>
      </c>
    </row>
    <row r="5924" spans="1:4" x14ac:dyDescent="0.2">
      <c r="A5924" s="5">
        <v>5863</v>
      </c>
      <c r="B5924" s="138">
        <f>'Revenues 9-14'!I65</f>
        <v>7388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7388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44993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37546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37546</v>
      </c>
      <c r="C5987" s="2" t="s">
        <v>594</v>
      </c>
      <c r="D5987" s="2" t="str">
        <f t="shared" si="92"/>
        <v>Error?</v>
      </c>
    </row>
    <row r="5988" spans="1:4" x14ac:dyDescent="0.2">
      <c r="A5988" s="5">
        <v>5927</v>
      </c>
      <c r="B5988" s="138">
        <f>'Revenues 9-14'!K14</f>
        <v>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55</v>
      </c>
      <c r="D5991" s="2" t="str">
        <f t="shared" si="92"/>
        <v>Error?</v>
      </c>
    </row>
    <row r="5992" spans="1:4" x14ac:dyDescent="0.2">
      <c r="A5992" s="5">
        <v>5931</v>
      </c>
      <c r="B5992" s="138">
        <f>'Revenues 9-14'!K18</f>
        <v>59</v>
      </c>
      <c r="C5992" s="2" t="s">
        <v>594</v>
      </c>
      <c r="D5992" s="2" t="str">
        <f t="shared" si="92"/>
        <v>Error?</v>
      </c>
    </row>
    <row r="5993" spans="1:4" x14ac:dyDescent="0.2">
      <c r="A5993" s="5">
        <v>5932</v>
      </c>
      <c r="B5993" s="138">
        <f>'Revenues 9-14'!K65</f>
        <v>582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582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38187</v>
      </c>
      <c r="C6023" s="2" t="s">
        <v>594</v>
      </c>
      <c r="D6023" s="2" t="str">
        <f t="shared" si="93"/>
        <v>Error?</v>
      </c>
    </row>
    <row r="6024" spans="1:5" x14ac:dyDescent="0.2">
      <c r="A6024" s="5">
        <v>5963</v>
      </c>
      <c r="B6024" s="138">
        <f>'Revenues 9-14'!G109</f>
        <v>763263</v>
      </c>
      <c r="C6024" s="2" t="s">
        <v>594</v>
      </c>
      <c r="D6024" s="2" t="str">
        <f t="shared" si="93"/>
        <v>Error?</v>
      </c>
    </row>
    <row r="6025" spans="1:5" x14ac:dyDescent="0.2">
      <c r="A6025" s="5">
        <v>5964</v>
      </c>
      <c r="B6025" s="138">
        <f>'Revenues 9-14'!H109</f>
        <v>278350</v>
      </c>
      <c r="C6025" s="2" t="s">
        <v>594</v>
      </c>
      <c r="D6025" s="2" t="str">
        <f t="shared" si="93"/>
        <v>Error?</v>
      </c>
    </row>
    <row r="6026" spans="1:5" x14ac:dyDescent="0.2">
      <c r="A6026" s="5">
        <v>5965</v>
      </c>
      <c r="B6026" s="138">
        <f>'Revenues 9-14'!I109</f>
        <v>44993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38187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89902</v>
      </c>
      <c r="D6031" s="2" t="str">
        <f t="shared" si="93"/>
        <v>Error?</v>
      </c>
    </row>
    <row r="6032" spans="1:5" x14ac:dyDescent="0.2">
      <c r="A6032" s="5">
        <v>5971</v>
      </c>
      <c r="B6032" s="138">
        <f>'Acct Summary 7-8'!G15</f>
        <v>53936</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93764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1712.72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256798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256798</v>
      </c>
      <c r="D6215" s="2" t="str">
        <f t="shared" si="96"/>
        <v>Error?</v>
      </c>
      <c r="E6215" s="2" t="s">
        <v>199</v>
      </c>
    </row>
    <row r="6216" spans="1:5" x14ac:dyDescent="0.2">
      <c r="A6216">
        <v>6155</v>
      </c>
      <c r="B6216" s="138">
        <f>'Assets-Liab 5-6'!J41</f>
        <v>256798</v>
      </c>
      <c r="D6216" s="2" t="str">
        <f t="shared" si="96"/>
        <v>Error?</v>
      </c>
      <c r="E6216" s="2" t="s">
        <v>199</v>
      </c>
    </row>
    <row r="6217" spans="1:5" x14ac:dyDescent="0.2">
      <c r="A6217">
        <v>6156</v>
      </c>
      <c r="B6217" s="138">
        <f>'Assets-Liab 5-6'!J4</f>
        <v>256798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567728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567728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567728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541950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541950</v>
      </c>
      <c r="D6229" s="2" t="str">
        <f t="shared" si="96"/>
        <v>Error?</v>
      </c>
      <c r="E6229" s="2" t="s">
        <v>199</v>
      </c>
    </row>
    <row r="6230" spans="1:5" x14ac:dyDescent="0.2">
      <c r="A6230">
        <v>6169</v>
      </c>
      <c r="B6230" s="138">
        <f>'Acct Summary 7-8'!J20</f>
        <v>25778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25778</v>
      </c>
      <c r="D6263" s="2" t="str">
        <f t="shared" si="96"/>
        <v>Error?</v>
      </c>
      <c r="E6263" s="2" t="s">
        <v>199</v>
      </c>
    </row>
    <row r="6264" spans="1:5" x14ac:dyDescent="0.2">
      <c r="A6264">
        <v>6203</v>
      </c>
      <c r="B6264" s="138">
        <f>'Acct Summary 7-8'!J79</f>
        <v>231020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256798</v>
      </c>
      <c r="D6266" s="2" t="str">
        <f t="shared" si="96"/>
        <v>Error?</v>
      </c>
      <c r="E6266" s="2" t="s">
        <v>199</v>
      </c>
    </row>
    <row r="6267" spans="1:5" x14ac:dyDescent="0.2">
      <c r="A6267">
        <v>6206</v>
      </c>
      <c r="B6267" s="138">
        <f>'Acct Summary 7-8'!C82</f>
        <v>491749</v>
      </c>
      <c r="D6267" s="2" t="str">
        <f t="shared" si="96"/>
        <v>Error?</v>
      </c>
      <c r="E6267" s="2" t="s">
        <v>199</v>
      </c>
    </row>
    <row r="6268" spans="1:5" x14ac:dyDescent="0.2">
      <c r="A6268">
        <v>6207</v>
      </c>
      <c r="B6268" s="138">
        <f>'Acct Summary 7-8'!D82</f>
        <v>280040</v>
      </c>
      <c r="D6268" s="2" t="str">
        <f t="shared" si="96"/>
        <v>Error?</v>
      </c>
      <c r="E6268" s="2" t="s">
        <v>199</v>
      </c>
    </row>
    <row r="6269" spans="1:5" x14ac:dyDescent="0.2">
      <c r="A6269">
        <v>6208</v>
      </c>
      <c r="B6269" s="138">
        <f>'Acct Summary 7-8'!E82</f>
        <v>40189</v>
      </c>
      <c r="D6269" s="2" t="str">
        <f t="shared" si="96"/>
        <v>Error?</v>
      </c>
      <c r="E6269" s="2" t="s">
        <v>199</v>
      </c>
    </row>
    <row r="6270" spans="1:5" x14ac:dyDescent="0.2">
      <c r="A6270">
        <v>6209</v>
      </c>
      <c r="B6270" s="138">
        <f>'Acct Summary 7-8'!F82</f>
        <v>246996</v>
      </c>
      <c r="D6270" s="2" t="str">
        <f t="shared" si="96"/>
        <v>Error?</v>
      </c>
      <c r="E6270" s="2" t="s">
        <v>199</v>
      </c>
    </row>
    <row r="6271" spans="1:5" x14ac:dyDescent="0.2">
      <c r="A6271">
        <v>6210</v>
      </c>
      <c r="B6271" s="138">
        <f>'Acct Summary 7-8'!G82</f>
        <v>96346</v>
      </c>
      <c r="D6271" s="2" t="str">
        <f t="shared" ref="D6271:D6334" si="97">IF(ISBLANK(B6271),"OK",IF(A6271-B6271=0,"OK","Error?"))</f>
        <v>Error?</v>
      </c>
      <c r="E6271" s="2" t="s">
        <v>199</v>
      </c>
    </row>
    <row r="6272" spans="1:5" x14ac:dyDescent="0.2">
      <c r="A6272">
        <v>6211</v>
      </c>
      <c r="B6272" s="138">
        <f>'Acct Summary 7-8'!H82</f>
        <v>3322178</v>
      </c>
      <c r="D6272" s="2" t="str">
        <f t="shared" si="97"/>
        <v>Error?</v>
      </c>
      <c r="E6272" s="2" t="s">
        <v>199</v>
      </c>
    </row>
    <row r="6273" spans="1:5" x14ac:dyDescent="0.2">
      <c r="A6273">
        <v>6212</v>
      </c>
      <c r="B6273" s="138">
        <f>'Acct Summary 7-8'!I82</f>
        <v>-155007</v>
      </c>
      <c r="D6273" s="2" t="str">
        <f t="shared" si="97"/>
        <v>Error?</v>
      </c>
      <c r="E6273" s="2" t="s">
        <v>199</v>
      </c>
    </row>
    <row r="6274" spans="1:5" x14ac:dyDescent="0.2">
      <c r="A6274">
        <v>6213</v>
      </c>
      <c r="B6274" s="138">
        <f>'Acct Summary 7-8'!J82</f>
        <v>25778</v>
      </c>
      <c r="D6274" s="2" t="str">
        <f t="shared" si="97"/>
        <v>Error?</v>
      </c>
      <c r="E6274" s="2" t="s">
        <v>199</v>
      </c>
    </row>
    <row r="6275" spans="1:5" x14ac:dyDescent="0.2">
      <c r="A6275">
        <v>6214</v>
      </c>
      <c r="B6275" s="138">
        <f>'Acct Summary 7-8'!K82</f>
        <v>8187</v>
      </c>
      <c r="D6275" s="2" t="str">
        <f t="shared" si="97"/>
        <v>Error?</v>
      </c>
      <c r="E6275" s="2" t="s">
        <v>199</v>
      </c>
    </row>
    <row r="6276" spans="1:5" x14ac:dyDescent="0.2">
      <c r="A6276">
        <v>6215</v>
      </c>
      <c r="B6276" s="138">
        <f>'Acct Summary 7-8'!C83</f>
        <v>5.9456893573818163E-2</v>
      </c>
      <c r="D6276" s="2" t="str">
        <f t="shared" si="97"/>
        <v>Error?</v>
      </c>
      <c r="E6276" s="2" t="s">
        <v>199</v>
      </c>
    </row>
    <row r="6277" spans="1:5" x14ac:dyDescent="0.2">
      <c r="A6277">
        <v>6216</v>
      </c>
      <c r="B6277" s="138">
        <f>'Acct Summary 7-8'!D83</f>
        <v>0.16703060219649657</v>
      </c>
      <c r="D6277" s="2" t="str">
        <f t="shared" si="97"/>
        <v>Error?</v>
      </c>
      <c r="E6277" s="2" t="s">
        <v>199</v>
      </c>
    </row>
    <row r="6278" spans="1:5" x14ac:dyDescent="0.2">
      <c r="A6278">
        <v>6217</v>
      </c>
      <c r="B6278" s="138">
        <f>'Acct Summary 7-8'!E83</f>
        <v>2.407626957705826E-2</v>
      </c>
      <c r="D6278" s="2" t="str">
        <f t="shared" si="97"/>
        <v>Error?</v>
      </c>
      <c r="E6278" s="2" t="s">
        <v>199</v>
      </c>
    </row>
    <row r="6279" spans="1:5" x14ac:dyDescent="0.2">
      <c r="A6279">
        <v>6218</v>
      </c>
      <c r="B6279" s="138">
        <f>'Acct Summary 7-8'!F83</f>
        <v>0.30382867229640381</v>
      </c>
      <c r="D6279" s="2" t="str">
        <f t="shared" si="97"/>
        <v>Error?</v>
      </c>
      <c r="E6279" s="2" t="s">
        <v>199</v>
      </c>
    </row>
    <row r="6280" spans="1:5" x14ac:dyDescent="0.2">
      <c r="A6280">
        <v>6219</v>
      </c>
      <c r="B6280" s="138">
        <f>'Acct Summary 7-8'!G83</f>
        <v>0.10114991280903972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-0.3186284384622658</v>
      </c>
      <c r="D6282" s="2" t="str">
        <f t="shared" si="97"/>
        <v>Error?</v>
      </c>
      <c r="E6282" s="2" t="s">
        <v>199</v>
      </c>
    </row>
    <row r="6283" spans="1:5" x14ac:dyDescent="0.2">
      <c r="A6283">
        <v>6222</v>
      </c>
      <c r="B6283" s="138">
        <f>'Acct Summary 7-8'!J83</f>
        <v>0.10038240173210072</v>
      </c>
      <c r="D6283" s="2" t="str">
        <f t="shared" si="97"/>
        <v>Error?</v>
      </c>
      <c r="E6283" s="2" t="s">
        <v>199</v>
      </c>
    </row>
    <row r="6284" spans="1:5" x14ac:dyDescent="0.2">
      <c r="A6284">
        <v>6223</v>
      </c>
      <c r="B6284" s="138">
        <f>'Acct Summary 7-8'!K83</f>
        <v>0.12938350427485501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200000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564912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564912</v>
      </c>
      <c r="D6301" s="2" t="str">
        <f t="shared" si="97"/>
        <v>Error?</v>
      </c>
      <c r="E6301" s="2" t="s">
        <v>199</v>
      </c>
    </row>
    <row r="6302" spans="1:5" x14ac:dyDescent="0.2">
      <c r="A6302">
        <v>6241</v>
      </c>
      <c r="B6302" s="138">
        <f>'Revenues 9-14'!J14</f>
        <v>66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825</v>
      </c>
      <c r="D6305" s="2" t="str">
        <f t="shared" si="97"/>
        <v>Error?</v>
      </c>
      <c r="E6305" s="2" t="s">
        <v>199</v>
      </c>
    </row>
    <row r="6306" spans="1:5" x14ac:dyDescent="0.2">
      <c r="A6306">
        <v>6245</v>
      </c>
      <c r="B6306" s="138">
        <f>'Revenues 9-14'!J18</f>
        <v>891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1925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1925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509</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434</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12000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567728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8485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156159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249844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100776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287799</v>
      </c>
      <c r="D6880" s="2" t="str">
        <f t="shared" si="106"/>
        <v>Error?</v>
      </c>
    </row>
    <row r="6881" spans="1:4" x14ac:dyDescent="0.2">
      <c r="A6881">
        <v>6820</v>
      </c>
      <c r="B6881" s="138">
        <f>'Expenditures 15-22'!K22</f>
        <v>287799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1770585</v>
      </c>
      <c r="D6983" s="2" t="str">
        <f t="shared" si="108"/>
        <v>Error?</v>
      </c>
    </row>
    <row r="6984" spans="1:4" x14ac:dyDescent="0.2">
      <c r="A6984">
        <v>6923</v>
      </c>
      <c r="B6984" s="138">
        <f>'Expenditures 15-22'!K86</f>
        <v>1770585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1770585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4994</v>
      </c>
      <c r="D7002" s="2" t="str">
        <f t="shared" si="108"/>
        <v>Error?</v>
      </c>
    </row>
    <row r="7003" spans="1:4" x14ac:dyDescent="0.2">
      <c r="A7003">
        <v>6942</v>
      </c>
      <c r="B7003" s="138">
        <f>'Expenditures 15-22'!K96</f>
        <v>4994</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4994</v>
      </c>
      <c r="D7012" s="2" t="str">
        <f t="shared" si="108"/>
        <v>Error?</v>
      </c>
    </row>
    <row r="7013" spans="1:4" x14ac:dyDescent="0.2">
      <c r="A7013">
        <v>6952</v>
      </c>
      <c r="B7013" s="138">
        <f>'Expenditures 15-22'!K100</f>
        <v>4994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518417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567728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10003</v>
      </c>
      <c r="D7073" s="2" t="str">
        <f t="shared" si="109"/>
        <v>Error?</v>
      </c>
    </row>
    <row r="7074" spans="1:4" x14ac:dyDescent="0.2">
      <c r="A7074">
        <v>7013</v>
      </c>
      <c r="B7074" s="138">
        <f>'Expenditures 15-22'!K216</f>
        <v>10003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1295</v>
      </c>
      <c r="D7079" s="2" t="str">
        <f t="shared" si="109"/>
        <v>Error?</v>
      </c>
    </row>
    <row r="7080" spans="1:4" x14ac:dyDescent="0.2">
      <c r="A7080">
        <v>7019</v>
      </c>
      <c r="B7080" s="138">
        <f>'Expenditures 15-22'!K226</f>
        <v>1295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19005</v>
      </c>
      <c r="D7089" s="2" t="str">
        <f t="shared" si="109"/>
        <v>Error?</v>
      </c>
    </row>
    <row r="7090" spans="1:4" x14ac:dyDescent="0.2">
      <c r="A7090">
        <v>7029</v>
      </c>
      <c r="B7090" s="138">
        <f>'Expenditures 15-22'!K252</f>
        <v>19005</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107063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107063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3772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3772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19327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19327</v>
      </c>
      <c r="D7153" s="2" t="str">
        <f t="shared" si="110"/>
        <v>Error?</v>
      </c>
    </row>
    <row r="7154" spans="1:4" x14ac:dyDescent="0.2">
      <c r="A7154">
        <v>7093</v>
      </c>
      <c r="B7154" s="138">
        <f>'Expenditures 15-22'!C323</f>
        <v>127509</v>
      </c>
      <c r="D7154" s="2" t="str">
        <f t="shared" si="110"/>
        <v>Error?</v>
      </c>
    </row>
    <row r="7155" spans="1:4" x14ac:dyDescent="0.2">
      <c r="A7155">
        <v>7094</v>
      </c>
      <c r="B7155" s="138">
        <f>'Expenditures 15-22'!D323</f>
        <v>16265</v>
      </c>
      <c r="D7155" s="2" t="str">
        <f t="shared" si="110"/>
        <v>Error?</v>
      </c>
    </row>
    <row r="7156" spans="1:4" x14ac:dyDescent="0.2">
      <c r="A7156">
        <v>7095</v>
      </c>
      <c r="B7156" s="138">
        <f>'Expenditures 15-22'!E323</f>
        <v>3000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146774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51764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51764</v>
      </c>
      <c r="D7198" s="2" t="str">
        <f t="shared" si="111"/>
        <v>Error?</v>
      </c>
    </row>
    <row r="7199" spans="1:4" x14ac:dyDescent="0.2">
      <c r="A7199">
        <v>7138</v>
      </c>
      <c r="B7199" s="138">
        <f>'Expenditures 15-22'!C330</f>
        <v>127509</v>
      </c>
      <c r="D7199" s="2" t="str">
        <f t="shared" si="111"/>
        <v>Error?</v>
      </c>
    </row>
    <row r="7200" spans="1:4" x14ac:dyDescent="0.2">
      <c r="A7200">
        <v>7139</v>
      </c>
      <c r="B7200" s="138">
        <f>'Expenditures 15-22'!D330</f>
        <v>16265</v>
      </c>
      <c r="D7200" s="2" t="str">
        <f t="shared" si="111"/>
        <v>Error?</v>
      </c>
    </row>
    <row r="7201" spans="1:4" x14ac:dyDescent="0.2">
      <c r="A7201">
        <v>7140</v>
      </c>
      <c r="B7201" s="138">
        <f>'Expenditures 15-22'!E330</f>
        <v>374643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518417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127509</v>
      </c>
      <c r="D7216" s="2" t="str">
        <f t="shared" si="111"/>
        <v>Error?</v>
      </c>
    </row>
    <row r="7217" spans="1:4" x14ac:dyDescent="0.2">
      <c r="A7217">
        <v>7156</v>
      </c>
      <c r="B7217" s="138">
        <f>'Expenditures 15-22'!D342</f>
        <v>16265</v>
      </c>
      <c r="D7217" s="2" t="str">
        <f t="shared" si="111"/>
        <v>Error?</v>
      </c>
    </row>
    <row r="7218" spans="1:4" x14ac:dyDescent="0.2">
      <c r="A7218">
        <v>7157</v>
      </c>
      <c r="B7218" s="138">
        <f>'Expenditures 15-22'!E342</f>
        <v>374643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23533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541950</v>
      </c>
      <c r="D7224" s="2" t="str">
        <f t="shared" si="111"/>
        <v>Error?</v>
      </c>
    </row>
    <row r="7225" spans="1:4" x14ac:dyDescent="0.2">
      <c r="A7225">
        <v>7164</v>
      </c>
      <c r="B7225" s="138">
        <f>'Expenditures 15-22'!K343</f>
        <v>25778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28532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32282</v>
      </c>
      <c r="D7248" s="2" t="str">
        <f t="shared" si="112"/>
        <v>Error?</v>
      </c>
    </row>
    <row r="7249" spans="1:4" x14ac:dyDescent="0.2">
      <c r="A7249">
        <f t="shared" si="113"/>
        <v>7188</v>
      </c>
      <c r="B7249" s="138">
        <f>'Expenditures 15-22'!G7</f>
        <v>32871</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91199</v>
      </c>
      <c r="D7263" s="2" t="str">
        <f t="shared" si="112"/>
        <v>Error?</v>
      </c>
    </row>
    <row r="7264" spans="1:4" x14ac:dyDescent="0.2">
      <c r="A7264">
        <f t="shared" si="113"/>
        <v>7203</v>
      </c>
      <c r="B7264" s="138">
        <f>'Expenditures 15-22'!D17</f>
        <v>8002</v>
      </c>
      <c r="D7264" s="2" t="str">
        <f t="shared" si="112"/>
        <v>Error?</v>
      </c>
    </row>
    <row r="7265" spans="1:5" x14ac:dyDescent="0.2">
      <c r="A7265">
        <f t="shared" si="113"/>
        <v>7204</v>
      </c>
      <c r="B7265" s="138">
        <f>'Expenditures 15-22'!E17</f>
        <v>107</v>
      </c>
      <c r="D7265" s="2" t="str">
        <f t="shared" si="112"/>
        <v>Error?</v>
      </c>
    </row>
    <row r="7266" spans="1:5" x14ac:dyDescent="0.2">
      <c r="A7266">
        <f t="shared" si="113"/>
        <v>7205</v>
      </c>
      <c r="B7266" s="138">
        <f>'Expenditures 15-22'!F17</f>
        <v>1468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908</v>
      </c>
      <c r="D7615" s="2" t="str">
        <f t="shared" ref="D7615:D7678" si="124">IF(ISBLANK(B7615),"OK",IF(A7615-B7615=0,"OK","Error?"))</f>
        <v>Error?</v>
      </c>
      <c r="E7615" s="2" t="s">
        <v>19</v>
      </c>
    </row>
    <row r="7616" spans="1:5" x14ac:dyDescent="0.2">
      <c r="A7616">
        <f t="shared" si="123"/>
        <v>7555</v>
      </c>
      <c r="B7616" s="138">
        <f>'Cap Outlay Deprec 26'!D14</f>
        <v>9578</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10486</v>
      </c>
      <c r="D7618" s="2" t="str">
        <f t="shared" si="124"/>
        <v>Error?</v>
      </c>
      <c r="E7618" s="2" t="s">
        <v>19</v>
      </c>
    </row>
    <row r="7619" spans="1:5" x14ac:dyDescent="0.2">
      <c r="A7619">
        <f t="shared" si="123"/>
        <v>7558</v>
      </c>
      <c r="B7619" s="138">
        <f>'Cap Outlay Deprec 26'!H14</f>
        <v>908</v>
      </c>
      <c r="D7619" s="2" t="str">
        <f t="shared" si="124"/>
        <v>Error?</v>
      </c>
      <c r="E7619" s="2" t="s">
        <v>19</v>
      </c>
    </row>
    <row r="7620" spans="1:5" x14ac:dyDescent="0.2">
      <c r="A7620">
        <f t="shared" si="123"/>
        <v>7559</v>
      </c>
      <c r="B7620" s="138">
        <f>'Cap Outlay Deprec 26'!I14</f>
        <v>3193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4101</v>
      </c>
      <c r="D7622" s="2" t="str">
        <f t="shared" si="124"/>
        <v>Error?</v>
      </c>
      <c r="E7622" s="2" t="s">
        <v>19</v>
      </c>
    </row>
    <row r="7623" spans="1:5" x14ac:dyDescent="0.2">
      <c r="A7623">
        <f t="shared" si="123"/>
        <v>7562</v>
      </c>
      <c r="B7623" s="138">
        <f>'Cap Outlay Deprec 26'!L14</f>
        <v>6385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1000729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200000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167354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167354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22363</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22363</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701800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6500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515279</v>
      </c>
      <c r="D7713" s="2" t="str">
        <f t="shared" si="126"/>
        <v>Error?</v>
      </c>
      <c r="E7713" s="2" t="s">
        <v>881</v>
      </c>
    </row>
    <row r="7714" spans="1:6" x14ac:dyDescent="0.2">
      <c r="A7714">
        <v>7653</v>
      </c>
      <c r="B7714" s="138">
        <f>'Rest Tax Levies-Tort Im 25'!K9</f>
        <v>29051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521779</v>
      </c>
      <c r="D7718" s="2" t="str">
        <f t="shared" si="126"/>
        <v>Error?</v>
      </c>
      <c r="E7718" s="2" t="s">
        <v>881</v>
      </c>
    </row>
    <row r="7719" spans="1:6" x14ac:dyDescent="0.2">
      <c r="A7719">
        <v>7658</v>
      </c>
      <c r="B7719" s="138">
        <f>'Rest Tax Levies-Tort Im 25'!K12</f>
        <v>29051</v>
      </c>
      <c r="D7719" s="2" t="str">
        <f t="shared" si="126"/>
        <v>Error?</v>
      </c>
      <c r="E7719" s="2" t="s">
        <v>881</v>
      </c>
    </row>
    <row r="7720" spans="1:6" x14ac:dyDescent="0.2">
      <c r="A7720">
        <v>7659</v>
      </c>
      <c r="B7720" s="138">
        <f>'Rest Tax Levies-Tort Im 25'!H14</f>
        <v>30043</v>
      </c>
      <c r="D7720" s="2" t="str">
        <f t="shared" si="126"/>
        <v>Error?</v>
      </c>
      <c r="E7720" s="2" t="s">
        <v>881</v>
      </c>
    </row>
    <row r="7721" spans="1:6" x14ac:dyDescent="0.2">
      <c r="A7721">
        <v>7660</v>
      </c>
      <c r="B7721" s="138">
        <f>'Rest Tax Levies-Tort Im 25'!K14</f>
        <v>29051</v>
      </c>
      <c r="D7721" s="2" t="str">
        <f t="shared" si="126"/>
        <v>Error?</v>
      </c>
      <c r="E7721" s="2" t="s">
        <v>881</v>
      </c>
    </row>
    <row r="7722" spans="1:6" x14ac:dyDescent="0.2">
      <c r="A7722">
        <v>7661</v>
      </c>
      <c r="B7722" s="138">
        <f>'Rest Tax Levies-Tort Im 25'!J15</f>
        <v>272642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95525</v>
      </c>
      <c r="D7724" s="2" t="str">
        <f t="shared" si="126"/>
        <v>Error?</v>
      </c>
      <c r="E7724" s="2" t="s">
        <v>881</v>
      </c>
      <c r="F7724" s="2"/>
    </row>
    <row r="7725" spans="1:6" x14ac:dyDescent="0.2">
      <c r="A7725">
        <v>7664</v>
      </c>
      <c r="B7725" s="138">
        <f>'Rest Tax Levies-Tort Im 25'!J19</f>
        <v>315000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410525</v>
      </c>
      <c r="D7727" s="2" t="str">
        <f t="shared" si="126"/>
        <v>Error?</v>
      </c>
      <c r="E7727" s="2" t="s">
        <v>881</v>
      </c>
    </row>
    <row r="7728" spans="1:6" x14ac:dyDescent="0.2">
      <c r="A7728">
        <v>7667</v>
      </c>
      <c r="B7728" s="138">
        <f>'Revenues 9-14'!E103</f>
        <v>433670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683167</v>
      </c>
      <c r="D7730" s="2" t="str">
        <f t="shared" si="126"/>
        <v>Error?</v>
      </c>
      <c r="E7730" s="2" t="s">
        <v>881</v>
      </c>
    </row>
    <row r="7731" spans="1:6" x14ac:dyDescent="0.2">
      <c r="A7731">
        <v>7670</v>
      </c>
      <c r="B7731" s="138">
        <f>'Revenues 9-14'!H103</f>
        <v>272642</v>
      </c>
      <c r="D7731" s="2" t="str">
        <f t="shared" si="126"/>
        <v>Error?</v>
      </c>
      <c r="E7731" s="2" t="s">
        <v>881</v>
      </c>
    </row>
    <row r="7732" spans="1:6" x14ac:dyDescent="0.2">
      <c r="A7732">
        <v>7671</v>
      </c>
      <c r="B7732" s="138">
        <f>'Rest Tax Levies-Tort Im 25'!J24</f>
        <v>540412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540412</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200000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23533</v>
      </c>
      <c r="D7787" s="2" t="str">
        <f t="shared" si="127"/>
        <v>Error?</v>
      </c>
      <c r="E7787" s="4" t="s">
        <v>1962</v>
      </c>
    </row>
    <row r="7788" spans="1:5" x14ac:dyDescent="0.2">
      <c r="A7788">
        <v>7727</v>
      </c>
      <c r="B7788" s="138">
        <f>'Expenditures 15-22'!K333</f>
        <v>23533</v>
      </c>
      <c r="D7788" s="2" t="str">
        <f t="shared" si="127"/>
        <v>Error?</v>
      </c>
      <c r="E7788" s="4" t="s">
        <v>1962</v>
      </c>
    </row>
    <row r="7789" spans="1:5" x14ac:dyDescent="0.2">
      <c r="A7789">
        <v>7728</v>
      </c>
      <c r="B7789" s="138">
        <f>'Expenditures 15-22'!H334</f>
        <v>23533</v>
      </c>
      <c r="D7789" s="2" t="str">
        <f t="shared" si="127"/>
        <v>Error?</v>
      </c>
      <c r="E7789" s="4" t="s">
        <v>1962</v>
      </c>
    </row>
    <row r="7790" spans="1:5" x14ac:dyDescent="0.2">
      <c r="A7790">
        <v>7729</v>
      </c>
      <c r="B7790" s="138">
        <f>'Expenditures 15-22'!K334</f>
        <v>23533</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23533</v>
      </c>
      <c r="D7796" s="2" t="str">
        <f t="shared" si="127"/>
        <v>Error?</v>
      </c>
      <c r="E7796" s="4" t="s">
        <v>1962</v>
      </c>
    </row>
    <row r="7797" spans="1:5" x14ac:dyDescent="0.2">
      <c r="A7797">
        <v>7736</v>
      </c>
      <c r="B7797" s="138">
        <f>'Contracts Paid in CY 29'!D127</f>
        <v>2337949</v>
      </c>
      <c r="D7797" s="2" t="str">
        <f t="shared" si="127"/>
        <v>Error?</v>
      </c>
      <c r="E7797" s="4" t="s">
        <v>2015</v>
      </c>
    </row>
    <row r="7798" spans="1:5" x14ac:dyDescent="0.2">
      <c r="A7798">
        <v>7737</v>
      </c>
      <c r="B7798" s="138">
        <f>'Contracts Paid in CY 29'!F127</f>
        <v>599694</v>
      </c>
      <c r="D7798" s="2" t="str">
        <f t="shared" si="127"/>
        <v>Error?</v>
      </c>
      <c r="E7798" s="4" t="s">
        <v>2015</v>
      </c>
    </row>
    <row r="7799" spans="1:5" x14ac:dyDescent="0.2">
      <c r="A7799">
        <v>7738</v>
      </c>
      <c r="B7799" s="138">
        <f>'Contracts Paid in CY 29'!G127</f>
        <v>1738255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27" t="s">
        <v>1253</v>
      </c>
      <c r="B2" s="2527"/>
      <c r="C2" s="2527"/>
      <c r="D2" s="2527"/>
      <c r="E2" s="2527"/>
      <c r="F2" s="2527"/>
      <c r="G2" s="2527"/>
      <c r="H2" s="2527"/>
      <c r="I2" s="2527"/>
      <c r="J2" s="2527"/>
      <c r="K2" s="2527"/>
      <c r="L2" s="2527"/>
    </row>
    <row r="3" spans="1:29" ht="13.5" customHeight="1" x14ac:dyDescent="0.2">
      <c r="A3" s="2513" t="s">
        <v>1252</v>
      </c>
      <c r="B3" s="2513"/>
      <c r="C3" s="2513"/>
      <c r="D3" s="2513"/>
      <c r="E3" s="2513"/>
      <c r="F3" s="2513"/>
      <c r="G3" s="2513"/>
      <c r="H3" s="2513"/>
      <c r="I3" s="2513"/>
      <c r="J3" s="2513"/>
      <c r="K3" s="2513"/>
      <c r="L3" s="2513"/>
    </row>
    <row r="4" spans="1:29" ht="13.5" customHeight="1" x14ac:dyDescent="0.2">
      <c r="A4" s="2527" t="s">
        <v>1797</v>
      </c>
      <c r="B4" s="2544"/>
      <c r="C4" s="2544"/>
      <c r="D4" s="2544"/>
      <c r="E4" s="2544"/>
      <c r="F4" s="2544"/>
      <c r="G4" s="2544"/>
      <c r="H4" s="2544"/>
      <c r="I4" s="2544"/>
      <c r="J4" s="2544"/>
      <c r="K4" s="2544"/>
      <c r="L4" s="254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507" t="str">
        <f>COVER!A17</f>
        <v>Kewanee CUSD 229</v>
      </c>
      <c r="B7" s="2508"/>
      <c r="C7" s="2508"/>
      <c r="D7" s="2545"/>
      <c r="E7" s="2546">
        <f>COVER!A13</f>
        <v>28037229026</v>
      </c>
      <c r="F7" s="2547"/>
      <c r="G7" s="2514" t="str">
        <f>COVER!T23</f>
        <v>066-005027</v>
      </c>
      <c r="H7" s="2515"/>
      <c r="I7" s="2515"/>
      <c r="J7" s="2515"/>
      <c r="K7" s="2515"/>
      <c r="L7" s="2516"/>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517"/>
      <c r="B9" s="2518"/>
      <c r="C9" s="2518"/>
      <c r="D9" s="2518"/>
      <c r="E9" s="2518"/>
      <c r="F9" s="2519"/>
      <c r="G9" s="2520" t="str">
        <f>COVER!T13</f>
        <v>Gorenz and Associates, Ltd.</v>
      </c>
      <c r="H9" s="2521"/>
      <c r="I9" s="2521"/>
      <c r="J9" s="2521"/>
      <c r="K9" s="2521"/>
      <c r="L9" s="2522"/>
    </row>
    <row r="10" spans="1:29" ht="13.5" customHeight="1" x14ac:dyDescent="0.2">
      <c r="A10" s="2504" t="str">
        <f>COVER!A38</f>
        <v xml:space="preserve">Dr. Chris Sullens </v>
      </c>
      <c r="B10" s="2505"/>
      <c r="C10" s="2505"/>
      <c r="D10" s="2505"/>
      <c r="E10" s="2505"/>
      <c r="F10" s="2506"/>
      <c r="G10" s="2520" t="str">
        <f>COVER!T17</f>
        <v>4200 N Knoxville Ave</v>
      </c>
      <c r="H10" s="2533"/>
      <c r="I10" s="2533"/>
      <c r="J10" s="2533"/>
      <c r="K10" s="2533"/>
      <c r="L10" s="2534"/>
    </row>
    <row r="11" spans="1:29" ht="13.5" customHeight="1" x14ac:dyDescent="0.2">
      <c r="A11" s="1183" t="s">
        <v>1599</v>
      </c>
      <c r="B11" s="1184"/>
      <c r="C11" s="1185"/>
      <c r="D11" s="1190"/>
      <c r="E11" s="1185"/>
      <c r="F11" s="1189"/>
      <c r="G11" s="2520" t="str">
        <f>COVER!T19</f>
        <v>Peoria</v>
      </c>
      <c r="H11" s="2533"/>
      <c r="I11" s="2533"/>
      <c r="J11" s="2533"/>
      <c r="K11" s="2533"/>
      <c r="L11" s="2534"/>
    </row>
    <row r="12" spans="1:29" ht="13.5" customHeight="1" x14ac:dyDescent="0.2">
      <c r="A12" s="2538" t="s">
        <v>1598</v>
      </c>
      <c r="B12" s="2539"/>
      <c r="C12" s="2539"/>
      <c r="D12" s="2539"/>
      <c r="E12" s="2539"/>
      <c r="F12" s="2540"/>
      <c r="G12" s="2535"/>
      <c r="H12" s="2536"/>
      <c r="I12" s="2536"/>
      <c r="J12" s="2536"/>
      <c r="K12" s="2536"/>
      <c r="L12" s="2537"/>
    </row>
    <row r="13" spans="1:29" ht="13.5" customHeight="1" x14ac:dyDescent="0.2">
      <c r="A13" s="2520"/>
      <c r="B13" s="2533"/>
      <c r="C13" s="2533"/>
      <c r="D13" s="2533"/>
      <c r="E13" s="2533"/>
      <c r="F13" s="2534"/>
      <c r="G13" s="2528" t="s">
        <v>1600</v>
      </c>
      <c r="H13" s="2529"/>
      <c r="I13" s="2541" t="str">
        <f>COVER!T25</f>
        <v>rrumbold@gornezcpa.com</v>
      </c>
      <c r="J13" s="2542"/>
      <c r="K13" s="2542"/>
      <c r="L13" s="2543"/>
    </row>
    <row r="14" spans="1:29" ht="13.5" customHeight="1" x14ac:dyDescent="0.2">
      <c r="A14" s="2520" t="str">
        <f>COVER!A19</f>
        <v>1001 N. Main</v>
      </c>
      <c r="B14" s="2533"/>
      <c r="C14" s="2533"/>
      <c r="D14" s="2533"/>
      <c r="E14" s="2533"/>
      <c r="F14" s="2534"/>
      <c r="G14" s="1194" t="s">
        <v>1247</v>
      </c>
      <c r="H14" s="1192"/>
      <c r="I14" s="1192"/>
      <c r="J14" s="1192"/>
      <c r="K14" s="1192"/>
      <c r="L14" s="1193"/>
    </row>
    <row r="15" spans="1:29" ht="13.5" customHeight="1" x14ac:dyDescent="0.2">
      <c r="A15" s="2520" t="str">
        <f>COVER!A21</f>
        <v>Kewanee</v>
      </c>
      <c r="B15" s="2533"/>
      <c r="C15" s="2533"/>
      <c r="D15" s="2533"/>
      <c r="E15" s="2533"/>
      <c r="F15" s="2534"/>
      <c r="G15" s="2530" t="str">
        <f>COVER!T15</f>
        <v>Russell J. Rumbold II, CPA</v>
      </c>
      <c r="H15" s="2531"/>
      <c r="I15" s="2531"/>
      <c r="J15" s="2531"/>
      <c r="K15" s="2531"/>
      <c r="L15" s="2532"/>
    </row>
    <row r="16" spans="1:29" ht="12.2" customHeight="1" x14ac:dyDescent="0.2">
      <c r="A16" s="2510">
        <f>COVER!A25</f>
        <v>61443</v>
      </c>
      <c r="B16" s="2511"/>
      <c r="C16" s="2511"/>
      <c r="D16" s="2511"/>
      <c r="E16" s="2511"/>
      <c r="F16" s="2512"/>
      <c r="G16" s="2523"/>
      <c r="H16" s="2524"/>
      <c r="I16" s="2524"/>
      <c r="J16" s="2524"/>
      <c r="K16" s="2524"/>
      <c r="L16" s="2525"/>
    </row>
    <row r="17" spans="1:13" ht="12.2" customHeight="1" x14ac:dyDescent="0.2">
      <c r="A17" s="2526"/>
      <c r="B17" s="2511"/>
      <c r="C17" s="2511"/>
      <c r="D17" s="2511"/>
      <c r="E17" s="2511"/>
      <c r="F17" s="2512"/>
      <c r="G17" s="1194" t="s">
        <v>1246</v>
      </c>
      <c r="H17" s="1192"/>
      <c r="I17" s="1192"/>
      <c r="J17" s="1192"/>
      <c r="K17" s="1196" t="s">
        <v>1245</v>
      </c>
      <c r="L17" s="1189"/>
      <c r="M17" s="1182"/>
    </row>
    <row r="18" spans="1:13" ht="12.2" customHeight="1" x14ac:dyDescent="0.2">
      <c r="A18" s="2504"/>
      <c r="B18" s="2505"/>
      <c r="C18" s="2505"/>
      <c r="D18" s="2505"/>
      <c r="E18" s="2505"/>
      <c r="F18" s="2506"/>
      <c r="G18" s="2507" t="str">
        <f>COVER!T21</f>
        <v>309-685-7621</v>
      </c>
      <c r="H18" s="2508"/>
      <c r="I18" s="2508"/>
      <c r="J18" s="2508"/>
      <c r="K18" s="2507" t="str">
        <f>COVER!X21</f>
        <v>309-685-4758</v>
      </c>
      <c r="L18" s="250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1798</v>
      </c>
    </row>
    <row r="22" spans="1:13" ht="12.2" customHeight="1" x14ac:dyDescent="0.2">
      <c r="A22" s="1199"/>
    </row>
    <row r="23" spans="1:13" ht="12.2" customHeight="1" x14ac:dyDescent="0.2">
      <c r="A23" s="1199"/>
      <c r="B23" s="1200" t="s">
        <v>2097</v>
      </c>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t="s">
        <v>2097</v>
      </c>
      <c r="C26" s="1201" t="s">
        <v>1799</v>
      </c>
    </row>
    <row r="27" spans="1:13" s="1197" customFormat="1" ht="9" customHeight="1" x14ac:dyDescent="0.2">
      <c r="B27" s="1202"/>
      <c r="C27" s="1201"/>
    </row>
    <row r="28" spans="1:13" s="1197" customFormat="1" ht="12.2" customHeight="1" x14ac:dyDescent="0.2">
      <c r="A28" s="1204"/>
      <c r="B28" s="1200" t="s">
        <v>2097</v>
      </c>
      <c r="C28" s="1201" t="s">
        <v>1800</v>
      </c>
    </row>
    <row r="29" spans="1:13" s="1197" customFormat="1" ht="9" customHeight="1" x14ac:dyDescent="0.2">
      <c r="A29" s="1204"/>
      <c r="B29" s="1202"/>
      <c r="C29" s="1201"/>
    </row>
    <row r="30" spans="1:13" s="1197" customFormat="1" ht="12.2" customHeight="1" x14ac:dyDescent="0.2">
      <c r="B30" s="1200" t="s">
        <v>2097</v>
      </c>
      <c r="C30" s="1201" t="s">
        <v>1641</v>
      </c>
      <c r="D30" s="1195"/>
      <c r="E30" s="1195"/>
    </row>
    <row r="31" spans="1:13" s="1197" customFormat="1" ht="9" customHeight="1" x14ac:dyDescent="0.2">
      <c r="B31" s="1202"/>
      <c r="C31" s="1201"/>
      <c r="D31" s="1195"/>
      <c r="E31" s="1195"/>
    </row>
    <row r="32" spans="1:13" s="1197" customFormat="1" ht="12.2" customHeight="1" x14ac:dyDescent="0.2">
      <c r="B32" s="1200" t="s">
        <v>2097</v>
      </c>
      <c r="C32" s="1201" t="s">
        <v>1642</v>
      </c>
      <c r="D32" s="1195"/>
      <c r="E32" s="1195"/>
    </row>
    <row r="33" spans="1:8" s="1197" customFormat="1" ht="10.9" customHeight="1" x14ac:dyDescent="0.2">
      <c r="B33" s="1202"/>
      <c r="C33" s="1205" t="s">
        <v>1801</v>
      </c>
      <c r="D33" s="1195"/>
      <c r="E33" s="1195"/>
    </row>
    <row r="34" spans="1:8" ht="9" customHeight="1" x14ac:dyDescent="0.2">
      <c r="B34" s="1202"/>
      <c r="C34" s="1205"/>
    </row>
    <row r="35" spans="1:8" s="1197" customFormat="1" ht="13.5" customHeight="1" x14ac:dyDescent="0.2">
      <c r="B35" s="1200" t="s">
        <v>2097</v>
      </c>
      <c r="C35" s="1201" t="s">
        <v>1643</v>
      </c>
    </row>
    <row r="36" spans="1:8" s="1197" customFormat="1" ht="10.9" customHeight="1" x14ac:dyDescent="0.2">
      <c r="B36" s="1202"/>
      <c r="C36" s="1205" t="s">
        <v>1644</v>
      </c>
    </row>
    <row r="37" spans="1:8" ht="9" customHeight="1" x14ac:dyDescent="0.2">
      <c r="B37" s="1202"/>
      <c r="C37" s="1205"/>
    </row>
    <row r="38" spans="1:8" s="1197" customFormat="1" ht="12.2" customHeight="1" x14ac:dyDescent="0.2">
      <c r="B38" s="1200" t="s">
        <v>2097</v>
      </c>
      <c r="C38" s="1201" t="s">
        <v>1645</v>
      </c>
    </row>
    <row r="39" spans="1:8" ht="9" customHeight="1" x14ac:dyDescent="0.2">
      <c r="B39" s="1202"/>
      <c r="C39" s="1205"/>
    </row>
    <row r="40" spans="1:8" s="1197" customFormat="1" ht="13.5" customHeight="1" x14ac:dyDescent="0.2">
      <c r="B40" s="1200" t="s">
        <v>2097</v>
      </c>
      <c r="C40" s="1201" t="s">
        <v>1646</v>
      </c>
    </row>
    <row r="41" spans="1:8" ht="9" customHeight="1" x14ac:dyDescent="0.2">
      <c r="A41" s="1206"/>
      <c r="B41" s="1202"/>
      <c r="C41" s="1205"/>
    </row>
    <row r="42" spans="1:8" s="1197" customFormat="1" ht="13.5" customHeight="1" x14ac:dyDescent="0.2">
      <c r="B42" s="1200"/>
      <c r="C42" s="1201" t="s">
        <v>1942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1647</v>
      </c>
      <c r="D46" s="1195"/>
      <c r="E46" s="1195"/>
      <c r="F46" s="1195"/>
      <c r="G46" s="1195"/>
      <c r="H46" s="1195"/>
    </row>
    <row r="47" spans="1:8" ht="9" customHeight="1" x14ac:dyDescent="0.2"/>
    <row r="48" spans="1:8" ht="12.2" customHeight="1" x14ac:dyDescent="0.2">
      <c r="B48" s="1209"/>
      <c r="C48" s="1210" t="s">
        <v>1648</v>
      </c>
    </row>
    <row r="49" spans="1:12" ht="9" customHeight="1" x14ac:dyDescent="0.2"/>
    <row r="50" spans="1:12" ht="6" customHeight="1" x14ac:dyDescent="0.2">
      <c r="C50" s="1210"/>
    </row>
    <row r="51" spans="1:12" ht="12.2" customHeight="1" x14ac:dyDescent="0.2">
      <c r="A51" s="1212" t="s">
        <v>1802</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48" t="str">
        <f>'Single Audit Cover'!A7</f>
        <v>Kewanee CUSD 229</v>
      </c>
      <c r="B1" s="2544"/>
      <c r="C1" s="2544"/>
      <c r="D1" s="2544"/>
    </row>
    <row r="2" spans="1:11" s="1213" customFormat="1" ht="12.75" x14ac:dyDescent="0.2">
      <c r="A2" s="2549">
        <f>'Single Audit Cover'!E7</f>
        <v>28037229026</v>
      </c>
      <c r="B2" s="2550"/>
      <c r="C2" s="2550"/>
      <c r="D2" s="2550"/>
    </row>
    <row r="3" spans="1:11" s="1213" customFormat="1" ht="12.75" x14ac:dyDescent="0.2">
      <c r="A3" s="2548" t="s">
        <v>1593</v>
      </c>
      <c r="B3" s="2544"/>
      <c r="C3" s="2544"/>
      <c r="D3" s="2544"/>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1803</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1804</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1805</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1806</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1827</v>
      </c>
      <c r="E24" s="1226"/>
      <c r="F24" s="1226"/>
      <c r="G24" s="1226"/>
      <c r="H24" s="1226"/>
      <c r="I24" s="1226"/>
      <c r="J24" s="1226"/>
      <c r="K24" s="1226"/>
    </row>
    <row r="25" spans="1:11" x14ac:dyDescent="0.2">
      <c r="A25" s="1220"/>
      <c r="B25" s="1229"/>
      <c r="D25" s="1228" t="s">
        <v>1807</v>
      </c>
      <c r="E25" s="1226"/>
      <c r="F25" s="1226"/>
      <c r="G25" s="1226"/>
      <c r="H25" s="1226"/>
      <c r="I25" s="1226"/>
      <c r="J25" s="1226"/>
      <c r="K25" s="1226"/>
    </row>
    <row r="26" spans="1:11" x14ac:dyDescent="0.2">
      <c r="A26" s="1220"/>
      <c r="B26" s="1229"/>
      <c r="D26" s="1233" t="s">
        <v>1808</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1649</v>
      </c>
      <c r="E28" s="1226"/>
      <c r="F28" s="1226"/>
      <c r="G28" s="1226"/>
      <c r="H28" s="1226"/>
      <c r="I28" s="1226"/>
      <c r="J28" s="1226"/>
      <c r="K28" s="1226"/>
    </row>
    <row r="29" spans="1:11" ht="10.5" customHeight="1" x14ac:dyDescent="0.2">
      <c r="A29" s="1220"/>
      <c r="D29" s="1234" t="s">
        <v>1650</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1651</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1651</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1652</v>
      </c>
    </row>
    <row r="41" spans="1:5" ht="3" customHeight="1" x14ac:dyDescent="0.2">
      <c r="A41" s="1220"/>
      <c r="B41" s="1237"/>
      <c r="C41" s="1238"/>
      <c r="D41" s="1219"/>
    </row>
    <row r="42" spans="1:5" ht="10.5" customHeight="1" x14ac:dyDescent="0.2">
      <c r="A42" s="1220"/>
      <c r="B42" s="1239"/>
      <c r="C42" s="1230">
        <v>11</v>
      </c>
      <c r="D42" s="1241" t="s">
        <v>1653</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1654</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1809</v>
      </c>
    </row>
    <row r="57" spans="1:4" ht="10.5" customHeight="1" x14ac:dyDescent="0.2">
      <c r="A57" s="1220"/>
      <c r="D57" s="1235" t="s">
        <v>1810</v>
      </c>
    </row>
    <row r="58" spans="1:4" x14ac:dyDescent="0.2">
      <c r="A58" s="1220"/>
      <c r="C58" s="1242"/>
      <c r="D58" s="1235" t="s">
        <v>1811</v>
      </c>
    </row>
    <row r="59" spans="1:4" ht="10.5" customHeight="1" x14ac:dyDescent="0.2">
      <c r="A59" s="1220"/>
      <c r="D59" s="1219" t="s">
        <v>1271</v>
      </c>
    </row>
    <row r="60" spans="1:4" ht="10.5" customHeight="1" x14ac:dyDescent="0.2">
      <c r="A60" s="1220"/>
      <c r="D60" s="1243" t="s">
        <v>1679</v>
      </c>
    </row>
    <row r="61" spans="1:4" ht="10.5" customHeight="1" x14ac:dyDescent="0.2">
      <c r="A61" s="1220"/>
      <c r="C61" s="1242"/>
      <c r="D61" s="1235" t="s">
        <v>1812</v>
      </c>
    </row>
    <row r="62" spans="1:4" ht="10.5" customHeight="1" x14ac:dyDescent="0.2">
      <c r="A62" s="1220"/>
      <c r="D62" s="1244" t="s">
        <v>1270</v>
      </c>
    </row>
    <row r="63" spans="1:4" ht="10.5" customHeight="1" x14ac:dyDescent="0.2">
      <c r="A63" s="1220"/>
      <c r="D63" s="1219" t="s">
        <v>1655</v>
      </c>
    </row>
    <row r="64" spans="1:4" ht="10.5" customHeight="1" x14ac:dyDescent="0.2">
      <c r="A64" s="1220"/>
      <c r="D64" s="1243" t="s">
        <v>1678</v>
      </c>
    </row>
    <row r="65" spans="1:4" x14ac:dyDescent="0.2">
      <c r="A65" s="1220"/>
      <c r="C65" s="1242"/>
      <c r="D65" s="1235" t="s">
        <v>1813</v>
      </c>
    </row>
    <row r="66" spans="1:4" ht="10.5" customHeight="1" x14ac:dyDescent="0.2">
      <c r="A66" s="1220"/>
      <c r="D66" s="1245" t="s">
        <v>1269</v>
      </c>
    </row>
    <row r="67" spans="1:4" ht="10.5" customHeight="1" x14ac:dyDescent="0.2">
      <c r="A67" s="1220"/>
      <c r="D67" s="1219" t="s">
        <v>1656</v>
      </c>
    </row>
    <row r="68" spans="1:4" ht="10.5" customHeight="1" x14ac:dyDescent="0.2">
      <c r="A68" s="1220"/>
      <c r="D68" s="1243" t="s">
        <v>1678</v>
      </c>
    </row>
    <row r="69" spans="1:4" ht="10.5" customHeight="1" x14ac:dyDescent="0.2">
      <c r="A69" s="1220"/>
      <c r="C69" s="1242"/>
      <c r="D69" s="1235" t="s">
        <v>1814</v>
      </c>
    </row>
    <row r="70" spans="1:4" x14ac:dyDescent="0.2">
      <c r="A70" s="1220"/>
      <c r="D70" s="1244" t="s">
        <v>1268</v>
      </c>
    </row>
    <row r="71" spans="1:4" ht="3" customHeight="1" x14ac:dyDescent="0.2">
      <c r="A71" s="1220"/>
      <c r="D71" s="1219"/>
    </row>
    <row r="72" spans="1:4" x14ac:dyDescent="0.2">
      <c r="A72" s="1220"/>
      <c r="B72" s="1223"/>
      <c r="C72" s="1224">
        <f>C56+1</f>
        <v>18</v>
      </c>
      <c r="D72" s="1245" t="s">
        <v>1815</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1816</v>
      </c>
    </row>
    <row r="77" spans="1:4" ht="3" customHeight="1" x14ac:dyDescent="0.2">
      <c r="A77" s="1220"/>
      <c r="B77" s="1227"/>
      <c r="C77" s="1224"/>
      <c r="D77" s="1246"/>
    </row>
    <row r="78" spans="1:4" x14ac:dyDescent="0.2">
      <c r="A78" s="1220"/>
      <c r="B78" s="1223"/>
      <c r="C78" s="1224">
        <f>C76+1</f>
        <v>21</v>
      </c>
      <c r="D78" s="1219" t="s">
        <v>1817</v>
      </c>
    </row>
    <row r="79" spans="1:4" ht="3" customHeight="1" x14ac:dyDescent="0.2">
      <c r="A79" s="1220"/>
      <c r="B79" s="1227"/>
      <c r="C79" s="1224"/>
      <c r="D79" s="1219"/>
    </row>
    <row r="80" spans="1:4" x14ac:dyDescent="0.2">
      <c r="A80" s="1220"/>
      <c r="B80" s="1223"/>
      <c r="C80" s="1224">
        <f>C78+1</f>
        <v>22</v>
      </c>
      <c r="D80" s="1247" t="s">
        <v>1818</v>
      </c>
    </row>
    <row r="81" spans="1:4" ht="3" customHeight="1" x14ac:dyDescent="0.2">
      <c r="A81" s="1220"/>
      <c r="B81" s="1227"/>
      <c r="C81" s="1224"/>
      <c r="D81" s="1247"/>
    </row>
    <row r="82" spans="1:4" x14ac:dyDescent="0.2">
      <c r="A82" s="1220"/>
      <c r="B82" s="1223"/>
      <c r="C82" s="1224">
        <f>C80+1</f>
        <v>23</v>
      </c>
      <c r="D82" s="1246" t="s">
        <v>1819</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1820</v>
      </c>
    </row>
    <row r="92" spans="1:4" x14ac:dyDescent="0.2">
      <c r="A92" s="1220"/>
      <c r="B92" s="1248"/>
      <c r="C92" s="1242"/>
      <c r="D92" s="1235" t="s">
        <v>1262</v>
      </c>
    </row>
    <row r="93" spans="1:4" ht="4.5" customHeight="1" x14ac:dyDescent="0.2">
      <c r="A93" s="1220"/>
      <c r="D93" s="1219"/>
    </row>
    <row r="94" spans="1:4" x14ac:dyDescent="0.2">
      <c r="A94" s="1220"/>
      <c r="B94" s="1221" t="s">
        <v>1657</v>
      </c>
      <c r="C94" s="1222"/>
      <c r="D94" s="1219"/>
    </row>
    <row r="95" spans="1:4" ht="4.5" customHeight="1" x14ac:dyDescent="0.2">
      <c r="A95" s="1220"/>
      <c r="B95" s="1221"/>
      <c r="C95" s="1222"/>
      <c r="D95" s="1219"/>
    </row>
    <row r="96" spans="1:4" x14ac:dyDescent="0.2">
      <c r="A96" s="1220"/>
      <c r="B96" s="1223"/>
      <c r="C96" s="1224">
        <f>C91+1</f>
        <v>28</v>
      </c>
      <c r="D96" s="1235" t="s">
        <v>1821</v>
      </c>
    </row>
    <row r="97" spans="1:4" ht="3" customHeight="1" x14ac:dyDescent="0.2">
      <c r="A97" s="1220"/>
      <c r="B97" s="1227"/>
      <c r="C97" s="1224"/>
      <c r="D97" s="1235"/>
    </row>
    <row r="98" spans="1:4" x14ac:dyDescent="0.2">
      <c r="A98" s="1220"/>
      <c r="B98" s="1223"/>
      <c r="C98" s="1224">
        <f>C96+1</f>
        <v>29</v>
      </c>
      <c r="D98" s="1249" t="s">
        <v>1822</v>
      </c>
    </row>
    <row r="99" spans="1:4" ht="3" customHeight="1" x14ac:dyDescent="0.2">
      <c r="A99" s="1220"/>
      <c r="B99" s="1227"/>
      <c r="C99" s="1224"/>
      <c r="D99" s="1249"/>
    </row>
    <row r="100" spans="1:4" x14ac:dyDescent="0.2">
      <c r="A100" s="1220"/>
      <c r="B100" s="1223"/>
      <c r="C100" s="1224">
        <f>C98+1</f>
        <v>30</v>
      </c>
      <c r="D100" s="1235" t="s">
        <v>1823</v>
      </c>
    </row>
    <row r="101" spans="1:4" ht="3" customHeight="1" x14ac:dyDescent="0.2">
      <c r="A101" s="1220"/>
      <c r="B101" s="1227"/>
      <c r="C101" s="1224"/>
      <c r="D101" s="1250"/>
    </row>
    <row r="102" spans="1:4" x14ac:dyDescent="0.2">
      <c r="A102" s="1220"/>
      <c r="B102" s="1223"/>
      <c r="C102" s="1224">
        <f>C100+1</f>
        <v>31</v>
      </c>
      <c r="D102" s="1235" t="s">
        <v>1658</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1659</v>
      </c>
    </row>
    <row r="107" spans="1:4" ht="3" customHeight="1" x14ac:dyDescent="0.2">
      <c r="A107" s="1220"/>
      <c r="B107" s="1227"/>
      <c r="C107" s="1224"/>
      <c r="D107" s="1219"/>
    </row>
    <row r="108" spans="1:4" x14ac:dyDescent="0.2">
      <c r="A108" s="1220"/>
      <c r="B108" s="1223"/>
      <c r="C108" s="1224">
        <v>33</v>
      </c>
      <c r="D108" s="1219" t="s">
        <v>1824</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1825</v>
      </c>
    </row>
    <row r="118" spans="1:4" ht="3" customHeight="1" x14ac:dyDescent="0.2">
      <c r="A118" s="1220"/>
      <c r="B118" s="1227"/>
      <c r="C118" s="1224"/>
      <c r="D118" s="1235"/>
    </row>
    <row r="119" spans="1:4" x14ac:dyDescent="0.2">
      <c r="A119" s="1220"/>
      <c r="B119" s="1223"/>
      <c r="C119" s="1224">
        <f>C117+1</f>
        <v>38</v>
      </c>
      <c r="D119" s="1235" t="s">
        <v>1826</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1943</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52" t="str">
        <f>'Single Audit Cover'!A7</f>
        <v>Kewanee CUSD 229</v>
      </c>
      <c r="B1" s="2552"/>
      <c r="C1" s="2552"/>
      <c r="D1" s="2552"/>
      <c r="E1" s="2552"/>
    </row>
    <row r="2" spans="1:5" x14ac:dyDescent="0.2">
      <c r="A2" s="2553">
        <f>'Single Audit Cover'!E7</f>
        <v>28037229026</v>
      </c>
      <c r="B2" s="2553"/>
      <c r="C2" s="2553"/>
      <c r="D2" s="2553"/>
      <c r="E2" s="2553"/>
    </row>
    <row r="3" spans="1:5" ht="4.5" customHeight="1" x14ac:dyDescent="0.2"/>
    <row r="4" spans="1:5" x14ac:dyDescent="0.2">
      <c r="A4" s="2552" t="s">
        <v>1307</v>
      </c>
      <c r="B4" s="2552"/>
      <c r="C4" s="2552"/>
      <c r="D4" s="2552"/>
      <c r="E4" s="2552"/>
    </row>
    <row r="5" spans="1:5" x14ac:dyDescent="0.2">
      <c r="A5" s="2555" t="str">
        <f>'Single Audit Cover'!A4</f>
        <v>Year Ending June 30, 2018</v>
      </c>
      <c r="B5" s="2555"/>
      <c r="C5" s="2555"/>
      <c r="D5" s="2555"/>
      <c r="E5" s="2555"/>
    </row>
    <row r="6" spans="1:5" x14ac:dyDescent="0.2">
      <c r="A6" s="2552" t="s">
        <v>1306</v>
      </c>
      <c r="B6" s="2552"/>
      <c r="C6" s="2552"/>
      <c r="D6" s="2552"/>
      <c r="E6" s="2552"/>
    </row>
    <row r="8" spans="1:5" x14ac:dyDescent="0.2">
      <c r="A8" s="1258" t="s">
        <v>1305</v>
      </c>
    </row>
    <row r="10" spans="1:5" x14ac:dyDescent="0.2">
      <c r="A10" s="1259" t="s">
        <v>1304</v>
      </c>
      <c r="B10" s="1260" t="s">
        <v>1303</v>
      </c>
      <c r="C10" s="1260"/>
      <c r="D10" s="1261">
        <f>SUM('Acct Summary 7-8'!C7:K7)</f>
        <v>2185244</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1828</v>
      </c>
      <c r="B14" s="1260"/>
      <c r="C14" s="1260"/>
      <c r="D14" s="1262">
        <f>'ICR Computation 30'!E11</f>
        <v>93764</v>
      </c>
    </row>
    <row r="15" spans="1:5" x14ac:dyDescent="0.2">
      <c r="A15" s="1259"/>
      <c r="B15" s="1260"/>
      <c r="C15" s="1260"/>
    </row>
    <row r="16" spans="1:5" x14ac:dyDescent="0.2">
      <c r="A16" s="1259" t="s">
        <v>1951</v>
      </c>
      <c r="B16" s="1260"/>
      <c r="C16" s="1260"/>
    </row>
    <row r="17" spans="1:4" x14ac:dyDescent="0.2">
      <c r="A17" s="1259" t="s">
        <v>1601</v>
      </c>
      <c r="B17" s="1260" t="s">
        <v>1298</v>
      </c>
      <c r="C17" s="1260"/>
      <c r="D17" s="1262">
        <f>-SUM('Revenues 9-14'!C271:D271,'Revenues 9-14'!F271:G271)</f>
        <v>-14309</v>
      </c>
    </row>
    <row r="19" spans="1:4" ht="13.5" thickBot="1" x14ac:dyDescent="0.25">
      <c r="A19" s="1263" t="s">
        <v>1297</v>
      </c>
      <c r="D19" s="1264">
        <f>SUM(D10:D17)</f>
        <v>2264699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554" t="s">
        <v>2170</v>
      </c>
      <c r="B24" s="2554"/>
      <c r="D24" s="1266">
        <v>-93764</v>
      </c>
    </row>
    <row r="25" spans="1:4" x14ac:dyDescent="0.2">
      <c r="A25" s="2551"/>
      <c r="B25" s="2551"/>
      <c r="D25" s="1266"/>
    </row>
    <row r="26" spans="1:4" x14ac:dyDescent="0.2">
      <c r="A26" s="2551"/>
      <c r="B26" s="2551"/>
      <c r="D26" s="1266"/>
    </row>
    <row r="27" spans="1:4" x14ac:dyDescent="0.2">
      <c r="A27" s="2551"/>
      <c r="B27" s="2551"/>
      <c r="D27" s="1266"/>
    </row>
    <row r="28" spans="1:4" x14ac:dyDescent="0.2">
      <c r="A28" s="2551"/>
      <c r="B28" s="2551"/>
      <c r="D28" s="1266"/>
    </row>
    <row r="29" spans="1:4" x14ac:dyDescent="0.2">
      <c r="A29" s="2551"/>
      <c r="B29" s="2551"/>
      <c r="D29" s="1266"/>
    </row>
    <row r="30" spans="1:4" x14ac:dyDescent="0.2">
      <c r="A30" s="2551"/>
      <c r="B30" s="2551"/>
      <c r="D30" s="1266"/>
    </row>
    <row r="32" spans="1:4" x14ac:dyDescent="0.2">
      <c r="A32" s="1258" t="s">
        <v>1295</v>
      </c>
      <c r="D32" s="1261">
        <f>SUM(D19:D30)</f>
        <v>2170935</v>
      </c>
    </row>
    <row r="33" spans="1:4" x14ac:dyDescent="0.2">
      <c r="D33" s="1267"/>
    </row>
    <row r="34" spans="1:4" x14ac:dyDescent="0.2">
      <c r="A34" s="317" t="s">
        <v>1294</v>
      </c>
    </row>
    <row r="35" spans="1:4" x14ac:dyDescent="0.2">
      <c r="A35" s="317" t="s">
        <v>1293</v>
      </c>
      <c r="B35" s="1256" t="s">
        <v>1292</v>
      </c>
      <c r="D35" s="1268">
        <v>2170935</v>
      </c>
    </row>
    <row r="37" spans="1:4" x14ac:dyDescent="0.2">
      <c r="A37" s="1258" t="s">
        <v>1291</v>
      </c>
    </row>
    <row r="39" spans="1:4" ht="13.35" customHeight="1" x14ac:dyDescent="0.2">
      <c r="A39" s="1265" t="s">
        <v>1290</v>
      </c>
    </row>
    <row r="40" spans="1:4" x14ac:dyDescent="0.2">
      <c r="A40" s="2551"/>
      <c r="B40" s="2551"/>
      <c r="D40" s="1266"/>
    </row>
    <row r="41" spans="1:4" x14ac:dyDescent="0.2">
      <c r="A41" s="2551"/>
      <c r="B41" s="2551"/>
      <c r="D41" s="1269"/>
    </row>
    <row r="42" spans="1:4" x14ac:dyDescent="0.2">
      <c r="A42" s="2551"/>
      <c r="B42" s="2551"/>
      <c r="D42" s="1269"/>
    </row>
    <row r="43" spans="1:4" x14ac:dyDescent="0.2">
      <c r="A43" s="2551"/>
      <c r="B43" s="2551"/>
      <c r="D43" s="1269"/>
    </row>
    <row r="44" spans="1:4" x14ac:dyDescent="0.2">
      <c r="A44" s="2551"/>
      <c r="B44" s="2551"/>
      <c r="D44" s="1269"/>
    </row>
    <row r="45" spans="1:4" x14ac:dyDescent="0.2">
      <c r="A45" s="2551"/>
      <c r="B45" s="2551"/>
      <c r="D45" s="1269"/>
    </row>
    <row r="47" spans="1:4" x14ac:dyDescent="0.2">
      <c r="B47" s="1270" t="s">
        <v>1289</v>
      </c>
      <c r="C47" s="1270"/>
      <c r="D47" s="1271">
        <f>SUM(D35:D45)</f>
        <v>2170935</v>
      </c>
    </row>
    <row r="49" spans="2:4" x14ac:dyDescent="0.2">
      <c r="B49" s="1270" t="s">
        <v>1288</v>
      </c>
      <c r="C49" s="1270"/>
      <c r="D49" s="127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7.140625"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57" t="str">
        <f>'Single Audit Cover'!A7</f>
        <v>Kewanee CUSD 229</v>
      </c>
      <c r="B1" s="2557"/>
      <c r="C1" s="2557"/>
      <c r="D1" s="2557"/>
      <c r="E1" s="2557"/>
      <c r="F1" s="2557"/>
    </row>
    <row r="2" spans="1:7" ht="13.5" customHeight="1" x14ac:dyDescent="0.2">
      <c r="A2" s="2558">
        <f>'Single Audit Cover'!E7</f>
        <v>28037229026</v>
      </c>
      <c r="B2" s="2558"/>
      <c r="C2" s="2558"/>
      <c r="D2" s="2558"/>
      <c r="E2" s="2558"/>
      <c r="F2" s="2558"/>
      <c r="G2" s="1273"/>
    </row>
    <row r="3" spans="1:7" ht="15.75" customHeight="1" x14ac:dyDescent="0.2">
      <c r="A3" s="2559" t="s">
        <v>1333</v>
      </c>
      <c r="B3" s="2559"/>
      <c r="C3" s="2559"/>
      <c r="D3" s="2559"/>
      <c r="E3" s="2559"/>
      <c r="F3" s="2559"/>
    </row>
    <row r="4" spans="1:7" ht="13.5" customHeight="1" x14ac:dyDescent="0.2">
      <c r="A4" s="2560" t="str">
        <f>'Single Audit Cover'!A4</f>
        <v>Year Ending June 30, 2018</v>
      </c>
      <c r="B4" s="2560"/>
      <c r="C4" s="2560"/>
      <c r="D4" s="2560"/>
      <c r="E4" s="2560"/>
      <c r="F4" s="2560"/>
    </row>
    <row r="5" spans="1:7" ht="8.25" customHeight="1" x14ac:dyDescent="0.2">
      <c r="C5" s="317"/>
      <c r="D5" s="317"/>
    </row>
    <row r="6" spans="1:7" ht="13.5" customHeight="1" x14ac:dyDescent="0.2">
      <c r="A6" s="1274" t="s">
        <v>1829</v>
      </c>
      <c r="C6" s="317"/>
      <c r="D6" s="317"/>
    </row>
    <row r="7" spans="1:7" ht="60.95" customHeight="1" x14ac:dyDescent="0.2">
      <c r="A7" s="2556" t="s">
        <v>2148</v>
      </c>
      <c r="B7" s="2556"/>
      <c r="C7" s="2556"/>
      <c r="D7" s="2556"/>
      <c r="E7" s="2556"/>
      <c r="F7" s="2556"/>
    </row>
    <row r="8" spans="1:7" ht="12" customHeight="1" x14ac:dyDescent="0.2">
      <c r="A8" s="1274"/>
      <c r="B8" s="1280"/>
      <c r="C8" s="1280"/>
      <c r="D8" s="1280"/>
    </row>
    <row r="9" spans="1:7" ht="15" customHeight="1" x14ac:dyDescent="0.2">
      <c r="A9" s="1275" t="s">
        <v>1830</v>
      </c>
      <c r="B9" s="1278"/>
      <c r="C9" s="1278"/>
      <c r="D9" s="1278"/>
      <c r="E9" s="1276"/>
      <c r="F9" s="1276"/>
      <c r="G9" s="1276"/>
    </row>
    <row r="10" spans="1:7" ht="15" customHeight="1" x14ac:dyDescent="0.2">
      <c r="A10" s="1277" t="s">
        <v>1628</v>
      </c>
      <c r="B10" s="1278"/>
      <c r="C10" s="1279"/>
      <c r="D10" s="1278" t="s">
        <v>1629</v>
      </c>
      <c r="E10" s="1279" t="s">
        <v>2097</v>
      </c>
      <c r="F10" s="1278" t="s">
        <v>101</v>
      </c>
      <c r="G10" s="1276"/>
    </row>
    <row r="11" spans="1:7" ht="12" customHeight="1" x14ac:dyDescent="0.2">
      <c r="A11" s="1277"/>
      <c r="B11" s="1278"/>
      <c r="C11" s="1919"/>
      <c r="D11" s="1278"/>
      <c r="E11" s="1919"/>
      <c r="F11" s="1278"/>
      <c r="G11" s="1276"/>
    </row>
    <row r="12" spans="1:7" x14ac:dyDescent="0.2">
      <c r="A12" s="1274" t="s">
        <v>1667</v>
      </c>
      <c r="C12" s="1258"/>
      <c r="D12" s="1258"/>
    </row>
    <row r="13" spans="1:7" ht="15" customHeight="1" x14ac:dyDescent="0.2">
      <c r="A13" s="2556" t="s">
        <v>2149</v>
      </c>
      <c r="B13" s="2556"/>
      <c r="C13" s="2556"/>
      <c r="D13" s="2556"/>
      <c r="E13" s="2556"/>
      <c r="F13" s="2556"/>
    </row>
    <row r="14" spans="1:7" ht="9.75" customHeight="1" x14ac:dyDescent="0.2">
      <c r="C14" s="1258"/>
      <c r="D14" s="1258"/>
    </row>
    <row r="15" spans="1:7" ht="13.5" customHeight="1" x14ac:dyDescent="0.2">
      <c r="C15" s="1864" t="s">
        <v>1332</v>
      </c>
      <c r="D15" s="2562" t="s">
        <v>1331</v>
      </c>
      <c r="E15" s="2562"/>
      <c r="F15" s="2562"/>
    </row>
    <row r="16" spans="1:7" ht="13.5" customHeight="1" x14ac:dyDescent="0.2">
      <c r="A16" s="1280"/>
      <c r="B16" s="1274" t="s">
        <v>1330</v>
      </c>
      <c r="C16" s="1864" t="s">
        <v>1329</v>
      </c>
      <c r="D16" s="2563" t="s">
        <v>1668</v>
      </c>
      <c r="E16" s="2563"/>
      <c r="F16" s="2563"/>
    </row>
    <row r="17" spans="1:8" ht="20.45" customHeight="1" x14ac:dyDescent="0.2">
      <c r="A17" s="1281"/>
      <c r="B17" s="1954" t="s">
        <v>2143</v>
      </c>
      <c r="C17" s="1955"/>
      <c r="D17" s="2564"/>
      <c r="E17" s="2564"/>
      <c r="F17" s="2564"/>
    </row>
    <row r="18" spans="1:8" ht="20.65" customHeight="1" x14ac:dyDescent="0.2">
      <c r="A18" s="1951"/>
      <c r="B18" s="1952"/>
      <c r="C18" s="1953"/>
      <c r="D18" s="2561"/>
      <c r="E18" s="2561"/>
      <c r="F18" s="2561"/>
    </row>
    <row r="19" spans="1:8" ht="20.65" customHeight="1" x14ac:dyDescent="0.2">
      <c r="A19" s="1283" t="s">
        <v>2150</v>
      </c>
      <c r="B19" s="1952"/>
      <c r="C19" s="1953"/>
      <c r="D19" s="2561"/>
      <c r="E19" s="2561"/>
      <c r="F19" s="2561"/>
      <c r="G19" s="322"/>
      <c r="H19" s="322"/>
    </row>
    <row r="20" spans="1:8" ht="20.65" customHeight="1" x14ac:dyDescent="0.2">
      <c r="A20" s="328" t="s">
        <v>2155</v>
      </c>
      <c r="B20" s="1952"/>
      <c r="C20" s="1953"/>
      <c r="D20" s="2561"/>
      <c r="E20" s="2561"/>
      <c r="F20" s="2561"/>
      <c r="G20" s="322"/>
      <c r="H20" s="322"/>
    </row>
    <row r="21" spans="1:8" ht="20.65" customHeight="1" x14ac:dyDescent="0.2">
      <c r="A21" s="328" t="s">
        <v>2154</v>
      </c>
      <c r="B21" s="1952"/>
      <c r="C21" s="1953"/>
      <c r="D21" s="2561"/>
      <c r="E21" s="2561"/>
      <c r="F21" s="2561"/>
      <c r="G21" s="322"/>
      <c r="H21" s="322"/>
    </row>
    <row r="22" spans="1:8" ht="20.65" customHeight="1" x14ac:dyDescent="0.2">
      <c r="A22" s="328" t="s">
        <v>2156</v>
      </c>
      <c r="B22" s="1952"/>
      <c r="C22" s="1953"/>
      <c r="D22" s="2561"/>
      <c r="E22" s="2561"/>
      <c r="F22" s="2561"/>
      <c r="G22" s="322"/>
      <c r="H22" s="322"/>
    </row>
    <row r="23" spans="1:8" ht="20.65" customHeight="1" x14ac:dyDescent="0.2">
      <c r="A23" s="328" t="s">
        <v>2157</v>
      </c>
      <c r="B23" s="1952"/>
      <c r="C23" s="1953"/>
      <c r="D23" s="2561"/>
      <c r="E23" s="2561"/>
      <c r="F23" s="2561"/>
      <c r="G23" s="322"/>
      <c r="H23" s="322"/>
    </row>
    <row r="24" spans="1:8" ht="20.65" hidden="1" customHeight="1" x14ac:dyDescent="0.2">
      <c r="A24" s="328"/>
      <c r="B24" s="1952"/>
      <c r="C24" s="1953"/>
      <c r="D24" s="2561"/>
      <c r="E24" s="2561"/>
      <c r="F24" s="2561"/>
      <c r="G24" s="322"/>
      <c r="H24" s="322"/>
    </row>
    <row r="25" spans="1:8" ht="20.65" hidden="1" customHeight="1" x14ac:dyDescent="0.2">
      <c r="A25" s="328"/>
      <c r="B25" s="1952"/>
      <c r="C25" s="1953"/>
      <c r="D25" s="2561"/>
      <c r="E25" s="2561"/>
      <c r="F25" s="2561"/>
      <c r="G25" s="322"/>
      <c r="H25" s="322"/>
    </row>
    <row r="26" spans="1:8" ht="20.65" hidden="1" customHeight="1" x14ac:dyDescent="0.2">
      <c r="A26" s="328"/>
      <c r="B26" s="1952"/>
      <c r="C26" s="1953"/>
      <c r="D26" s="2561"/>
      <c r="E26" s="2561"/>
      <c r="F26" s="2561"/>
      <c r="G26" s="322"/>
      <c r="H26" s="322"/>
    </row>
    <row r="27" spans="1:8" ht="20.65" hidden="1" customHeight="1" x14ac:dyDescent="0.2">
      <c r="A27" s="328"/>
      <c r="B27" s="1952"/>
      <c r="C27" s="1953"/>
      <c r="D27" s="2561"/>
      <c r="E27" s="2561"/>
      <c r="F27" s="2561"/>
      <c r="G27" s="322"/>
      <c r="H27" s="322"/>
    </row>
    <row r="28" spans="1:8" ht="20.65" hidden="1" customHeight="1" x14ac:dyDescent="0.2">
      <c r="A28" s="328"/>
      <c r="B28" s="1952"/>
      <c r="C28" s="1953"/>
      <c r="D28" s="2561"/>
      <c r="E28" s="2561"/>
      <c r="F28" s="2561"/>
      <c r="G28" s="322"/>
      <c r="H28" s="322"/>
    </row>
    <row r="29" spans="1:8" ht="20.65" hidden="1" customHeight="1" x14ac:dyDescent="0.2">
      <c r="A29" s="328"/>
      <c r="B29" s="1952"/>
      <c r="C29" s="1953"/>
      <c r="D29" s="2561"/>
      <c r="E29" s="2561"/>
      <c r="F29" s="2561"/>
      <c r="G29" s="322"/>
      <c r="H29" s="322"/>
    </row>
    <row r="30" spans="1:8" ht="12" customHeight="1" x14ac:dyDescent="0.2">
      <c r="A30" s="328"/>
      <c r="B30" s="328"/>
      <c r="C30" s="1473"/>
      <c r="D30" s="1920"/>
      <c r="E30" s="1471"/>
      <c r="F30" s="322"/>
      <c r="G30" s="322"/>
      <c r="H30" s="322"/>
    </row>
    <row r="31" spans="1:8" ht="12" customHeight="1" x14ac:dyDescent="0.2">
      <c r="A31" s="1283" t="s">
        <v>2151</v>
      </c>
      <c r="B31" s="328"/>
      <c r="C31" s="1473"/>
      <c r="D31" s="1920"/>
      <c r="E31" s="1282"/>
    </row>
    <row r="32" spans="1:8" ht="30" customHeight="1" x14ac:dyDescent="0.2">
      <c r="A32" s="2566" t="s">
        <v>2153</v>
      </c>
      <c r="B32" s="2566"/>
      <c r="C32" s="2566"/>
      <c r="D32" s="2566"/>
      <c r="E32" s="2566"/>
      <c r="F32" s="2566"/>
    </row>
    <row r="33" spans="1:6" ht="13.5" customHeight="1" x14ac:dyDescent="0.2">
      <c r="A33" s="328" t="s">
        <v>1509</v>
      </c>
      <c r="B33" s="328"/>
      <c r="C33" s="1284">
        <v>93764</v>
      </c>
      <c r="D33" s="1920"/>
      <c r="E33" s="1282"/>
    </row>
    <row r="34" spans="1:6" ht="13.5" customHeight="1" x14ac:dyDescent="0.2">
      <c r="A34" s="328" t="s">
        <v>1944</v>
      </c>
      <c r="B34" s="328"/>
      <c r="C34" s="1285">
        <v>0</v>
      </c>
      <c r="D34" s="1920" t="s">
        <v>1669</v>
      </c>
      <c r="E34" s="2567">
        <f>+C33+C34</f>
        <v>93764</v>
      </c>
      <c r="F34" s="2568"/>
    </row>
    <row r="35" spans="1:6" ht="12" customHeight="1" x14ac:dyDescent="0.2">
      <c r="A35" s="328"/>
      <c r="B35" s="328"/>
      <c r="C35" s="1921"/>
      <c r="D35" s="1920"/>
      <c r="E35" s="1286"/>
      <c r="F35" s="1287"/>
    </row>
    <row r="36" spans="1:6" ht="13.5" customHeight="1" x14ac:dyDescent="0.2">
      <c r="A36" s="1283" t="s">
        <v>2152</v>
      </c>
      <c r="B36" s="328"/>
      <c r="C36" s="1473"/>
      <c r="D36" s="1920"/>
      <c r="E36" s="1282"/>
    </row>
    <row r="37" spans="1:6" ht="14.25" customHeight="1" x14ac:dyDescent="0.2">
      <c r="A37" s="328" t="s">
        <v>1563</v>
      </c>
      <c r="B37" s="328"/>
      <c r="C37" s="1922"/>
      <c r="D37" s="1920"/>
      <c r="E37" s="1282"/>
    </row>
    <row r="38" spans="1:6" ht="14.25" customHeight="1" x14ac:dyDescent="0.2">
      <c r="A38" s="328"/>
      <c r="B38" s="328" t="s">
        <v>1510</v>
      </c>
      <c r="C38" s="1288" t="s">
        <v>401</v>
      </c>
      <c r="D38" s="1920"/>
      <c r="E38" s="1282"/>
    </row>
    <row r="39" spans="1:6" ht="14.25" customHeight="1" x14ac:dyDescent="0.2">
      <c r="A39" s="328"/>
      <c r="B39" s="328" t="s">
        <v>1511</v>
      </c>
      <c r="C39" s="1288" t="s">
        <v>401</v>
      </c>
      <c r="D39" s="1920"/>
      <c r="E39" s="1282"/>
    </row>
    <row r="40" spans="1:6" ht="14.25" customHeight="1" x14ac:dyDescent="0.2">
      <c r="A40" s="328"/>
      <c r="B40" s="328" t="s">
        <v>1512</v>
      </c>
      <c r="C40" s="1288" t="s">
        <v>401</v>
      </c>
      <c r="D40" s="1920"/>
      <c r="E40" s="1282"/>
    </row>
    <row r="41" spans="1:6" ht="14.25" customHeight="1" x14ac:dyDescent="0.2">
      <c r="A41" s="328"/>
      <c r="B41" s="328" t="s">
        <v>1513</v>
      </c>
      <c r="C41" s="1288" t="s">
        <v>401</v>
      </c>
      <c r="D41" s="1920"/>
      <c r="E41" s="1282"/>
    </row>
    <row r="42" spans="1:6" ht="14.25" customHeight="1" x14ac:dyDescent="0.2">
      <c r="A42" s="328" t="s">
        <v>1514</v>
      </c>
      <c r="B42" s="328"/>
      <c r="C42" s="1288" t="s">
        <v>401</v>
      </c>
      <c r="D42" s="1920"/>
      <c r="E42" s="1282"/>
    </row>
    <row r="43" spans="1:6" ht="14.25" customHeight="1" x14ac:dyDescent="0.2">
      <c r="A43" s="328" t="s">
        <v>1515</v>
      </c>
      <c r="B43" s="328"/>
      <c r="C43" s="1288" t="s">
        <v>401</v>
      </c>
      <c r="D43" s="1920"/>
      <c r="E43" s="1282"/>
    </row>
    <row r="44" spans="1:6" ht="14.25" customHeight="1" x14ac:dyDescent="0.2">
      <c r="A44" s="328"/>
      <c r="B44" s="328"/>
      <c r="C44" s="1922" t="s">
        <v>1516</v>
      </c>
      <c r="D44" s="1920"/>
      <c r="E44" s="1282"/>
    </row>
    <row r="45" spans="1:6" ht="13.5" customHeight="1" x14ac:dyDescent="0.2">
      <c r="B45" s="322"/>
      <c r="C45" s="1289"/>
      <c r="D45" s="1289"/>
    </row>
    <row r="46" spans="1:6" x14ac:dyDescent="0.2">
      <c r="A46" s="1290" t="s">
        <v>1831</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569" t="s">
        <v>1670</v>
      </c>
      <c r="C49" s="2569"/>
      <c r="D49" s="2569"/>
      <c r="E49" s="1394"/>
    </row>
    <row r="50" spans="1:5" s="1295" customFormat="1" ht="3.75" customHeight="1" x14ac:dyDescent="0.2">
      <c r="A50" s="1294"/>
      <c r="B50" s="1863"/>
      <c r="C50" s="1863"/>
      <c r="D50" s="1863"/>
      <c r="E50" s="1394"/>
    </row>
    <row r="51" spans="1:5" s="1295" customFormat="1" ht="20.25" customHeight="1" x14ac:dyDescent="0.2">
      <c r="A51" s="1296">
        <v>6</v>
      </c>
      <c r="B51" s="2565" t="s">
        <v>1630</v>
      </c>
      <c r="C51" s="2565"/>
      <c r="D51" s="2565"/>
    </row>
    <row r="52" spans="1:5" ht="14.25" customHeight="1" x14ac:dyDescent="0.2">
      <c r="A52" s="1296"/>
      <c r="B52" s="2565"/>
      <c r="C52" s="2565"/>
      <c r="D52" s="256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6"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40"/>
  <sheetViews>
    <sheetView showGridLines="0" topLeftCell="A2" zoomScale="115" zoomScaleNormal="115" zoomScaleSheetLayoutView="90" workbookViewId="0">
      <pane xSplit="2" ySplit="13" topLeftCell="C15" activePane="bottomRight" state="frozen"/>
      <selection activeCell="A2" sqref="A2"/>
      <selection pane="topRight" activeCell="C2" sqref="C2"/>
      <selection pane="bottomLeft" activeCell="A14" sqref="A14"/>
      <selection pane="bottomRight" activeCell="C15" sqref="C15"/>
    </sheetView>
  </sheetViews>
  <sheetFormatPr defaultColWidth="16.7109375" defaultRowHeight="12.75" customHeight="1" x14ac:dyDescent="0.2"/>
  <cols>
    <col min="1" max="1" width="6.5703125" style="1969" customWidth="1"/>
    <col min="2" max="2" width="41.85546875" style="1970" customWidth="1"/>
    <col min="3" max="3" width="9.85546875" style="1970" customWidth="1"/>
    <col min="4" max="4" width="1.85546875" style="1970" customWidth="1"/>
    <col min="5" max="5" width="11" style="1970" customWidth="1"/>
    <col min="6" max="6" width="5.28515625" style="2017" customWidth="1"/>
    <col min="7" max="7" width="11.5703125" style="1970" bestFit="1" customWidth="1"/>
    <col min="8" max="8" width="1.85546875" style="1970" customWidth="1"/>
    <col min="9" max="9" width="12.28515625" style="1970" customWidth="1"/>
    <col min="10" max="10" width="2.28515625" style="2017" customWidth="1"/>
    <col min="11" max="11" width="13.140625" style="1970" bestFit="1" customWidth="1"/>
    <col min="12" max="12" width="1.85546875" style="1970" customWidth="1"/>
    <col min="13" max="13" width="12.28515625" style="1970" customWidth="1"/>
    <col min="14" max="14" width="1.85546875" style="1970" customWidth="1"/>
    <col min="15" max="15" width="10.5703125" style="1970" customWidth="1"/>
    <col min="16" max="16" width="4.42578125" style="2017" customWidth="1"/>
    <col min="17" max="17" width="13.28515625" style="1970" bestFit="1" customWidth="1"/>
    <col min="18" max="18" width="1" style="1970" customWidth="1"/>
    <col min="19" max="19" width="12.5703125" style="1970" customWidth="1"/>
    <col min="20" max="231" width="16.7109375" style="1970"/>
    <col min="232" max="232" width="6.5703125" style="1970" customWidth="1"/>
    <col min="233" max="233" width="41.85546875" style="1970" customWidth="1"/>
    <col min="234" max="234" width="9.85546875" style="1970" customWidth="1"/>
    <col min="235" max="235" width="1.85546875" style="1970" customWidth="1"/>
    <col min="236" max="236" width="11" style="1970" customWidth="1"/>
    <col min="237" max="237" width="5.28515625" style="1970" customWidth="1"/>
    <col min="238" max="238" width="11.5703125" style="1970" bestFit="1" customWidth="1"/>
    <col min="239" max="239" width="1.85546875" style="1970" customWidth="1"/>
    <col min="240" max="240" width="12.28515625" style="1970" customWidth="1"/>
    <col min="241" max="241" width="2.28515625" style="1970" customWidth="1"/>
    <col min="242" max="242" width="13.140625" style="1970" bestFit="1" customWidth="1"/>
    <col min="243" max="243" width="1.85546875" style="1970" customWidth="1"/>
    <col min="244" max="244" width="12.28515625" style="1970" customWidth="1"/>
    <col min="245" max="245" width="1.85546875" style="1970" customWidth="1"/>
    <col min="246" max="246" width="10.5703125" style="1970" customWidth="1"/>
    <col min="247" max="247" width="4.42578125" style="1970" customWidth="1"/>
    <col min="248" max="248" width="13.28515625" style="1970" bestFit="1" customWidth="1"/>
    <col min="249" max="249" width="1" style="1970" customWidth="1"/>
    <col min="250" max="250" width="12.5703125" style="1970" customWidth="1"/>
    <col min="251" max="252" width="12.42578125" style="1970" customWidth="1"/>
    <col min="253" max="253" width="17.28515625" style="1970" customWidth="1"/>
    <col min="254" max="256" width="18.42578125" style="1970" customWidth="1"/>
    <col min="257" max="487" width="16.7109375" style="1970"/>
    <col min="488" max="488" width="6.5703125" style="1970" customWidth="1"/>
    <col min="489" max="489" width="41.85546875" style="1970" customWidth="1"/>
    <col min="490" max="490" width="9.85546875" style="1970" customWidth="1"/>
    <col min="491" max="491" width="1.85546875" style="1970" customWidth="1"/>
    <col min="492" max="492" width="11" style="1970" customWidth="1"/>
    <col min="493" max="493" width="5.28515625" style="1970" customWidth="1"/>
    <col min="494" max="494" width="11.5703125" style="1970" bestFit="1" customWidth="1"/>
    <col min="495" max="495" width="1.85546875" style="1970" customWidth="1"/>
    <col min="496" max="496" width="12.28515625" style="1970" customWidth="1"/>
    <col min="497" max="497" width="2.28515625" style="1970" customWidth="1"/>
    <col min="498" max="498" width="13.140625" style="1970" bestFit="1" customWidth="1"/>
    <col min="499" max="499" width="1.85546875" style="1970" customWidth="1"/>
    <col min="500" max="500" width="12.28515625" style="1970" customWidth="1"/>
    <col min="501" max="501" width="1.85546875" style="1970" customWidth="1"/>
    <col min="502" max="502" width="10.5703125" style="1970" customWidth="1"/>
    <col min="503" max="503" width="4.42578125" style="1970" customWidth="1"/>
    <col min="504" max="504" width="13.28515625" style="1970" bestFit="1" customWidth="1"/>
    <col min="505" max="505" width="1" style="1970" customWidth="1"/>
    <col min="506" max="506" width="12.5703125" style="1970" customWidth="1"/>
    <col min="507" max="508" width="12.42578125" style="1970" customWidth="1"/>
    <col min="509" max="509" width="17.28515625" style="1970" customWidth="1"/>
    <col min="510" max="512" width="18.42578125" style="1970" customWidth="1"/>
    <col min="513" max="743" width="16.7109375" style="1970"/>
    <col min="744" max="744" width="6.5703125" style="1970" customWidth="1"/>
    <col min="745" max="745" width="41.85546875" style="1970" customWidth="1"/>
    <col min="746" max="746" width="9.85546875" style="1970" customWidth="1"/>
    <col min="747" max="747" width="1.85546875" style="1970" customWidth="1"/>
    <col min="748" max="748" width="11" style="1970" customWidth="1"/>
    <col min="749" max="749" width="5.28515625" style="1970" customWidth="1"/>
    <col min="750" max="750" width="11.5703125" style="1970" bestFit="1" customWidth="1"/>
    <col min="751" max="751" width="1.85546875" style="1970" customWidth="1"/>
    <col min="752" max="752" width="12.28515625" style="1970" customWidth="1"/>
    <col min="753" max="753" width="2.28515625" style="1970" customWidth="1"/>
    <col min="754" max="754" width="13.140625" style="1970" bestFit="1" customWidth="1"/>
    <col min="755" max="755" width="1.85546875" style="1970" customWidth="1"/>
    <col min="756" max="756" width="12.28515625" style="1970" customWidth="1"/>
    <col min="757" max="757" width="1.85546875" style="1970" customWidth="1"/>
    <col min="758" max="758" width="10.5703125" style="1970" customWidth="1"/>
    <col min="759" max="759" width="4.42578125" style="1970" customWidth="1"/>
    <col min="760" max="760" width="13.28515625" style="1970" bestFit="1" customWidth="1"/>
    <col min="761" max="761" width="1" style="1970" customWidth="1"/>
    <col min="762" max="762" width="12.5703125" style="1970" customWidth="1"/>
    <col min="763" max="764" width="12.42578125" style="1970" customWidth="1"/>
    <col min="765" max="765" width="17.28515625" style="1970" customWidth="1"/>
    <col min="766" max="768" width="18.42578125" style="1970" customWidth="1"/>
    <col min="769" max="999" width="16.7109375" style="1970"/>
    <col min="1000" max="1000" width="6.5703125" style="1970" customWidth="1"/>
    <col min="1001" max="1001" width="41.85546875" style="1970" customWidth="1"/>
    <col min="1002" max="1002" width="9.85546875" style="1970" customWidth="1"/>
    <col min="1003" max="1003" width="1.85546875" style="1970" customWidth="1"/>
    <col min="1004" max="1004" width="11" style="1970" customWidth="1"/>
    <col min="1005" max="1005" width="5.28515625" style="1970" customWidth="1"/>
    <col min="1006" max="1006" width="11.5703125" style="1970" bestFit="1" customWidth="1"/>
    <col min="1007" max="1007" width="1.85546875" style="1970" customWidth="1"/>
    <col min="1008" max="1008" width="12.28515625" style="1970" customWidth="1"/>
    <col min="1009" max="1009" width="2.28515625" style="1970" customWidth="1"/>
    <col min="1010" max="1010" width="13.140625" style="1970" bestFit="1" customWidth="1"/>
    <col min="1011" max="1011" width="1.85546875" style="1970" customWidth="1"/>
    <col min="1012" max="1012" width="12.28515625" style="1970" customWidth="1"/>
    <col min="1013" max="1013" width="1.85546875" style="1970" customWidth="1"/>
    <col min="1014" max="1014" width="10.5703125" style="1970" customWidth="1"/>
    <col min="1015" max="1015" width="4.42578125" style="1970" customWidth="1"/>
    <col min="1016" max="1016" width="13.28515625" style="1970" bestFit="1" customWidth="1"/>
    <col min="1017" max="1017" width="1" style="1970" customWidth="1"/>
    <col min="1018" max="1018" width="12.5703125" style="1970" customWidth="1"/>
    <col min="1019" max="1020" width="12.42578125" style="1970" customWidth="1"/>
    <col min="1021" max="1021" width="17.28515625" style="1970" customWidth="1"/>
    <col min="1022" max="1024" width="18.42578125" style="1970" customWidth="1"/>
    <col min="1025" max="1255" width="16.7109375" style="1970"/>
    <col min="1256" max="1256" width="6.5703125" style="1970" customWidth="1"/>
    <col min="1257" max="1257" width="41.85546875" style="1970" customWidth="1"/>
    <col min="1258" max="1258" width="9.85546875" style="1970" customWidth="1"/>
    <col min="1259" max="1259" width="1.85546875" style="1970" customWidth="1"/>
    <col min="1260" max="1260" width="11" style="1970" customWidth="1"/>
    <col min="1261" max="1261" width="5.28515625" style="1970" customWidth="1"/>
    <col min="1262" max="1262" width="11.5703125" style="1970" bestFit="1" customWidth="1"/>
    <col min="1263" max="1263" width="1.85546875" style="1970" customWidth="1"/>
    <col min="1264" max="1264" width="12.28515625" style="1970" customWidth="1"/>
    <col min="1265" max="1265" width="2.28515625" style="1970" customWidth="1"/>
    <col min="1266" max="1266" width="13.140625" style="1970" bestFit="1" customWidth="1"/>
    <col min="1267" max="1267" width="1.85546875" style="1970" customWidth="1"/>
    <col min="1268" max="1268" width="12.28515625" style="1970" customWidth="1"/>
    <col min="1269" max="1269" width="1.85546875" style="1970" customWidth="1"/>
    <col min="1270" max="1270" width="10.5703125" style="1970" customWidth="1"/>
    <col min="1271" max="1271" width="4.42578125" style="1970" customWidth="1"/>
    <col min="1272" max="1272" width="13.28515625" style="1970" bestFit="1" customWidth="1"/>
    <col min="1273" max="1273" width="1" style="1970" customWidth="1"/>
    <col min="1274" max="1274" width="12.5703125" style="1970" customWidth="1"/>
    <col min="1275" max="1276" width="12.42578125" style="1970" customWidth="1"/>
    <col min="1277" max="1277" width="17.28515625" style="1970" customWidth="1"/>
    <col min="1278" max="1280" width="18.42578125" style="1970" customWidth="1"/>
    <col min="1281" max="1511" width="16.7109375" style="1970"/>
    <col min="1512" max="1512" width="6.5703125" style="1970" customWidth="1"/>
    <col min="1513" max="1513" width="41.85546875" style="1970" customWidth="1"/>
    <col min="1514" max="1514" width="9.85546875" style="1970" customWidth="1"/>
    <col min="1515" max="1515" width="1.85546875" style="1970" customWidth="1"/>
    <col min="1516" max="1516" width="11" style="1970" customWidth="1"/>
    <col min="1517" max="1517" width="5.28515625" style="1970" customWidth="1"/>
    <col min="1518" max="1518" width="11.5703125" style="1970" bestFit="1" customWidth="1"/>
    <col min="1519" max="1519" width="1.85546875" style="1970" customWidth="1"/>
    <col min="1520" max="1520" width="12.28515625" style="1970" customWidth="1"/>
    <col min="1521" max="1521" width="2.28515625" style="1970" customWidth="1"/>
    <col min="1522" max="1522" width="13.140625" style="1970" bestFit="1" customWidth="1"/>
    <col min="1523" max="1523" width="1.85546875" style="1970" customWidth="1"/>
    <col min="1524" max="1524" width="12.28515625" style="1970" customWidth="1"/>
    <col min="1525" max="1525" width="1.85546875" style="1970" customWidth="1"/>
    <col min="1526" max="1526" width="10.5703125" style="1970" customWidth="1"/>
    <col min="1527" max="1527" width="4.42578125" style="1970" customWidth="1"/>
    <col min="1528" max="1528" width="13.28515625" style="1970" bestFit="1" customWidth="1"/>
    <col min="1529" max="1529" width="1" style="1970" customWidth="1"/>
    <col min="1530" max="1530" width="12.5703125" style="1970" customWidth="1"/>
    <col min="1531" max="1532" width="12.42578125" style="1970" customWidth="1"/>
    <col min="1533" max="1533" width="17.28515625" style="1970" customWidth="1"/>
    <col min="1534" max="1536" width="18.42578125" style="1970" customWidth="1"/>
    <col min="1537" max="1767" width="16.7109375" style="1970"/>
    <col min="1768" max="1768" width="6.5703125" style="1970" customWidth="1"/>
    <col min="1769" max="1769" width="41.85546875" style="1970" customWidth="1"/>
    <col min="1770" max="1770" width="9.85546875" style="1970" customWidth="1"/>
    <col min="1771" max="1771" width="1.85546875" style="1970" customWidth="1"/>
    <col min="1772" max="1772" width="11" style="1970" customWidth="1"/>
    <col min="1773" max="1773" width="5.28515625" style="1970" customWidth="1"/>
    <col min="1774" max="1774" width="11.5703125" style="1970" bestFit="1" customWidth="1"/>
    <col min="1775" max="1775" width="1.85546875" style="1970" customWidth="1"/>
    <col min="1776" max="1776" width="12.28515625" style="1970" customWidth="1"/>
    <col min="1777" max="1777" width="2.28515625" style="1970" customWidth="1"/>
    <col min="1778" max="1778" width="13.140625" style="1970" bestFit="1" customWidth="1"/>
    <col min="1779" max="1779" width="1.85546875" style="1970" customWidth="1"/>
    <col min="1780" max="1780" width="12.28515625" style="1970" customWidth="1"/>
    <col min="1781" max="1781" width="1.85546875" style="1970" customWidth="1"/>
    <col min="1782" max="1782" width="10.5703125" style="1970" customWidth="1"/>
    <col min="1783" max="1783" width="4.42578125" style="1970" customWidth="1"/>
    <col min="1784" max="1784" width="13.28515625" style="1970" bestFit="1" customWidth="1"/>
    <col min="1785" max="1785" width="1" style="1970" customWidth="1"/>
    <col min="1786" max="1786" width="12.5703125" style="1970" customWidth="1"/>
    <col min="1787" max="1788" width="12.42578125" style="1970" customWidth="1"/>
    <col min="1789" max="1789" width="17.28515625" style="1970" customWidth="1"/>
    <col min="1790" max="1792" width="18.42578125" style="1970" customWidth="1"/>
    <col min="1793" max="2023" width="16.7109375" style="1970"/>
    <col min="2024" max="2024" width="6.5703125" style="1970" customWidth="1"/>
    <col min="2025" max="2025" width="41.85546875" style="1970" customWidth="1"/>
    <col min="2026" max="2026" width="9.85546875" style="1970" customWidth="1"/>
    <col min="2027" max="2027" width="1.85546875" style="1970" customWidth="1"/>
    <col min="2028" max="2028" width="11" style="1970" customWidth="1"/>
    <col min="2029" max="2029" width="5.28515625" style="1970" customWidth="1"/>
    <col min="2030" max="2030" width="11.5703125" style="1970" bestFit="1" customWidth="1"/>
    <col min="2031" max="2031" width="1.85546875" style="1970" customWidth="1"/>
    <col min="2032" max="2032" width="12.28515625" style="1970" customWidth="1"/>
    <col min="2033" max="2033" width="2.28515625" style="1970" customWidth="1"/>
    <col min="2034" max="2034" width="13.140625" style="1970" bestFit="1" customWidth="1"/>
    <col min="2035" max="2035" width="1.85546875" style="1970" customWidth="1"/>
    <col min="2036" max="2036" width="12.28515625" style="1970" customWidth="1"/>
    <col min="2037" max="2037" width="1.85546875" style="1970" customWidth="1"/>
    <col min="2038" max="2038" width="10.5703125" style="1970" customWidth="1"/>
    <col min="2039" max="2039" width="4.42578125" style="1970" customWidth="1"/>
    <col min="2040" max="2040" width="13.28515625" style="1970" bestFit="1" customWidth="1"/>
    <col min="2041" max="2041" width="1" style="1970" customWidth="1"/>
    <col min="2042" max="2042" width="12.5703125" style="1970" customWidth="1"/>
    <col min="2043" max="2044" width="12.42578125" style="1970" customWidth="1"/>
    <col min="2045" max="2045" width="17.28515625" style="1970" customWidth="1"/>
    <col min="2046" max="2048" width="18.42578125" style="1970" customWidth="1"/>
    <col min="2049" max="2279" width="16.7109375" style="1970"/>
    <col min="2280" max="2280" width="6.5703125" style="1970" customWidth="1"/>
    <col min="2281" max="2281" width="41.85546875" style="1970" customWidth="1"/>
    <col min="2282" max="2282" width="9.85546875" style="1970" customWidth="1"/>
    <col min="2283" max="2283" width="1.85546875" style="1970" customWidth="1"/>
    <col min="2284" max="2284" width="11" style="1970" customWidth="1"/>
    <col min="2285" max="2285" width="5.28515625" style="1970" customWidth="1"/>
    <col min="2286" max="2286" width="11.5703125" style="1970" bestFit="1" customWidth="1"/>
    <col min="2287" max="2287" width="1.85546875" style="1970" customWidth="1"/>
    <col min="2288" max="2288" width="12.28515625" style="1970" customWidth="1"/>
    <col min="2289" max="2289" width="2.28515625" style="1970" customWidth="1"/>
    <col min="2290" max="2290" width="13.140625" style="1970" bestFit="1" customWidth="1"/>
    <col min="2291" max="2291" width="1.85546875" style="1970" customWidth="1"/>
    <col min="2292" max="2292" width="12.28515625" style="1970" customWidth="1"/>
    <col min="2293" max="2293" width="1.85546875" style="1970" customWidth="1"/>
    <col min="2294" max="2294" width="10.5703125" style="1970" customWidth="1"/>
    <col min="2295" max="2295" width="4.42578125" style="1970" customWidth="1"/>
    <col min="2296" max="2296" width="13.28515625" style="1970" bestFit="1" customWidth="1"/>
    <col min="2297" max="2297" width="1" style="1970" customWidth="1"/>
    <col min="2298" max="2298" width="12.5703125" style="1970" customWidth="1"/>
    <col min="2299" max="2300" width="12.42578125" style="1970" customWidth="1"/>
    <col min="2301" max="2301" width="17.28515625" style="1970" customWidth="1"/>
    <col min="2302" max="2304" width="18.42578125" style="1970" customWidth="1"/>
    <col min="2305" max="2535" width="16.7109375" style="1970"/>
    <col min="2536" max="2536" width="6.5703125" style="1970" customWidth="1"/>
    <col min="2537" max="2537" width="41.85546875" style="1970" customWidth="1"/>
    <col min="2538" max="2538" width="9.85546875" style="1970" customWidth="1"/>
    <col min="2539" max="2539" width="1.85546875" style="1970" customWidth="1"/>
    <col min="2540" max="2540" width="11" style="1970" customWidth="1"/>
    <col min="2541" max="2541" width="5.28515625" style="1970" customWidth="1"/>
    <col min="2542" max="2542" width="11.5703125" style="1970" bestFit="1" customWidth="1"/>
    <col min="2543" max="2543" width="1.85546875" style="1970" customWidth="1"/>
    <col min="2544" max="2544" width="12.28515625" style="1970" customWidth="1"/>
    <col min="2545" max="2545" width="2.28515625" style="1970" customWidth="1"/>
    <col min="2546" max="2546" width="13.140625" style="1970" bestFit="1" customWidth="1"/>
    <col min="2547" max="2547" width="1.85546875" style="1970" customWidth="1"/>
    <col min="2548" max="2548" width="12.28515625" style="1970" customWidth="1"/>
    <col min="2549" max="2549" width="1.85546875" style="1970" customWidth="1"/>
    <col min="2550" max="2550" width="10.5703125" style="1970" customWidth="1"/>
    <col min="2551" max="2551" width="4.42578125" style="1970" customWidth="1"/>
    <col min="2552" max="2552" width="13.28515625" style="1970" bestFit="1" customWidth="1"/>
    <col min="2553" max="2553" width="1" style="1970" customWidth="1"/>
    <col min="2554" max="2554" width="12.5703125" style="1970" customWidth="1"/>
    <col min="2555" max="2556" width="12.42578125" style="1970" customWidth="1"/>
    <col min="2557" max="2557" width="17.28515625" style="1970" customWidth="1"/>
    <col min="2558" max="2560" width="18.42578125" style="1970" customWidth="1"/>
    <col min="2561" max="2791" width="16.7109375" style="1970"/>
    <col min="2792" max="2792" width="6.5703125" style="1970" customWidth="1"/>
    <col min="2793" max="2793" width="41.85546875" style="1970" customWidth="1"/>
    <col min="2794" max="2794" width="9.85546875" style="1970" customWidth="1"/>
    <col min="2795" max="2795" width="1.85546875" style="1970" customWidth="1"/>
    <col min="2796" max="2796" width="11" style="1970" customWidth="1"/>
    <col min="2797" max="2797" width="5.28515625" style="1970" customWidth="1"/>
    <col min="2798" max="2798" width="11.5703125" style="1970" bestFit="1" customWidth="1"/>
    <col min="2799" max="2799" width="1.85546875" style="1970" customWidth="1"/>
    <col min="2800" max="2800" width="12.28515625" style="1970" customWidth="1"/>
    <col min="2801" max="2801" width="2.28515625" style="1970" customWidth="1"/>
    <col min="2802" max="2802" width="13.140625" style="1970" bestFit="1" customWidth="1"/>
    <col min="2803" max="2803" width="1.85546875" style="1970" customWidth="1"/>
    <col min="2804" max="2804" width="12.28515625" style="1970" customWidth="1"/>
    <col min="2805" max="2805" width="1.85546875" style="1970" customWidth="1"/>
    <col min="2806" max="2806" width="10.5703125" style="1970" customWidth="1"/>
    <col min="2807" max="2807" width="4.42578125" style="1970" customWidth="1"/>
    <col min="2808" max="2808" width="13.28515625" style="1970" bestFit="1" customWidth="1"/>
    <col min="2809" max="2809" width="1" style="1970" customWidth="1"/>
    <col min="2810" max="2810" width="12.5703125" style="1970" customWidth="1"/>
    <col min="2811" max="2812" width="12.42578125" style="1970" customWidth="1"/>
    <col min="2813" max="2813" width="17.28515625" style="1970" customWidth="1"/>
    <col min="2814" max="2816" width="18.42578125" style="1970" customWidth="1"/>
    <col min="2817" max="3047" width="16.7109375" style="1970"/>
    <col min="3048" max="3048" width="6.5703125" style="1970" customWidth="1"/>
    <col min="3049" max="3049" width="41.85546875" style="1970" customWidth="1"/>
    <col min="3050" max="3050" width="9.85546875" style="1970" customWidth="1"/>
    <col min="3051" max="3051" width="1.85546875" style="1970" customWidth="1"/>
    <col min="3052" max="3052" width="11" style="1970" customWidth="1"/>
    <col min="3053" max="3053" width="5.28515625" style="1970" customWidth="1"/>
    <col min="3054" max="3054" width="11.5703125" style="1970" bestFit="1" customWidth="1"/>
    <col min="3055" max="3055" width="1.85546875" style="1970" customWidth="1"/>
    <col min="3056" max="3056" width="12.28515625" style="1970" customWidth="1"/>
    <col min="3057" max="3057" width="2.28515625" style="1970" customWidth="1"/>
    <col min="3058" max="3058" width="13.140625" style="1970" bestFit="1" customWidth="1"/>
    <col min="3059" max="3059" width="1.85546875" style="1970" customWidth="1"/>
    <col min="3060" max="3060" width="12.28515625" style="1970" customWidth="1"/>
    <col min="3061" max="3061" width="1.85546875" style="1970" customWidth="1"/>
    <col min="3062" max="3062" width="10.5703125" style="1970" customWidth="1"/>
    <col min="3063" max="3063" width="4.42578125" style="1970" customWidth="1"/>
    <col min="3064" max="3064" width="13.28515625" style="1970" bestFit="1" customWidth="1"/>
    <col min="3065" max="3065" width="1" style="1970" customWidth="1"/>
    <col min="3066" max="3066" width="12.5703125" style="1970" customWidth="1"/>
    <col min="3067" max="3068" width="12.42578125" style="1970" customWidth="1"/>
    <col min="3069" max="3069" width="17.28515625" style="1970" customWidth="1"/>
    <col min="3070" max="3072" width="18.42578125" style="1970" customWidth="1"/>
    <col min="3073" max="3303" width="16.7109375" style="1970"/>
    <col min="3304" max="3304" width="6.5703125" style="1970" customWidth="1"/>
    <col min="3305" max="3305" width="41.85546875" style="1970" customWidth="1"/>
    <col min="3306" max="3306" width="9.85546875" style="1970" customWidth="1"/>
    <col min="3307" max="3307" width="1.85546875" style="1970" customWidth="1"/>
    <col min="3308" max="3308" width="11" style="1970" customWidth="1"/>
    <col min="3309" max="3309" width="5.28515625" style="1970" customWidth="1"/>
    <col min="3310" max="3310" width="11.5703125" style="1970" bestFit="1" customWidth="1"/>
    <col min="3311" max="3311" width="1.85546875" style="1970" customWidth="1"/>
    <col min="3312" max="3312" width="12.28515625" style="1970" customWidth="1"/>
    <col min="3313" max="3313" width="2.28515625" style="1970" customWidth="1"/>
    <col min="3314" max="3314" width="13.140625" style="1970" bestFit="1" customWidth="1"/>
    <col min="3315" max="3315" width="1.85546875" style="1970" customWidth="1"/>
    <col min="3316" max="3316" width="12.28515625" style="1970" customWidth="1"/>
    <col min="3317" max="3317" width="1.85546875" style="1970" customWidth="1"/>
    <col min="3318" max="3318" width="10.5703125" style="1970" customWidth="1"/>
    <col min="3319" max="3319" width="4.42578125" style="1970" customWidth="1"/>
    <col min="3320" max="3320" width="13.28515625" style="1970" bestFit="1" customWidth="1"/>
    <col min="3321" max="3321" width="1" style="1970" customWidth="1"/>
    <col min="3322" max="3322" width="12.5703125" style="1970" customWidth="1"/>
    <col min="3323" max="3324" width="12.42578125" style="1970" customWidth="1"/>
    <col min="3325" max="3325" width="17.28515625" style="1970" customWidth="1"/>
    <col min="3326" max="3328" width="18.42578125" style="1970" customWidth="1"/>
    <col min="3329" max="3559" width="16.7109375" style="1970"/>
    <col min="3560" max="3560" width="6.5703125" style="1970" customWidth="1"/>
    <col min="3561" max="3561" width="41.85546875" style="1970" customWidth="1"/>
    <col min="3562" max="3562" width="9.85546875" style="1970" customWidth="1"/>
    <col min="3563" max="3563" width="1.85546875" style="1970" customWidth="1"/>
    <col min="3564" max="3564" width="11" style="1970" customWidth="1"/>
    <col min="3565" max="3565" width="5.28515625" style="1970" customWidth="1"/>
    <col min="3566" max="3566" width="11.5703125" style="1970" bestFit="1" customWidth="1"/>
    <col min="3567" max="3567" width="1.85546875" style="1970" customWidth="1"/>
    <col min="3568" max="3568" width="12.28515625" style="1970" customWidth="1"/>
    <col min="3569" max="3569" width="2.28515625" style="1970" customWidth="1"/>
    <col min="3570" max="3570" width="13.140625" style="1970" bestFit="1" customWidth="1"/>
    <col min="3571" max="3571" width="1.85546875" style="1970" customWidth="1"/>
    <col min="3572" max="3572" width="12.28515625" style="1970" customWidth="1"/>
    <col min="3573" max="3573" width="1.85546875" style="1970" customWidth="1"/>
    <col min="3574" max="3574" width="10.5703125" style="1970" customWidth="1"/>
    <col min="3575" max="3575" width="4.42578125" style="1970" customWidth="1"/>
    <col min="3576" max="3576" width="13.28515625" style="1970" bestFit="1" customWidth="1"/>
    <col min="3577" max="3577" width="1" style="1970" customWidth="1"/>
    <col min="3578" max="3578" width="12.5703125" style="1970" customWidth="1"/>
    <col min="3579" max="3580" width="12.42578125" style="1970" customWidth="1"/>
    <col min="3581" max="3581" width="17.28515625" style="1970" customWidth="1"/>
    <col min="3582" max="3584" width="18.42578125" style="1970" customWidth="1"/>
    <col min="3585" max="3815" width="16.7109375" style="1970"/>
    <col min="3816" max="3816" width="6.5703125" style="1970" customWidth="1"/>
    <col min="3817" max="3817" width="41.85546875" style="1970" customWidth="1"/>
    <col min="3818" max="3818" width="9.85546875" style="1970" customWidth="1"/>
    <col min="3819" max="3819" width="1.85546875" style="1970" customWidth="1"/>
    <col min="3820" max="3820" width="11" style="1970" customWidth="1"/>
    <col min="3821" max="3821" width="5.28515625" style="1970" customWidth="1"/>
    <col min="3822" max="3822" width="11.5703125" style="1970" bestFit="1" customWidth="1"/>
    <col min="3823" max="3823" width="1.85546875" style="1970" customWidth="1"/>
    <col min="3824" max="3824" width="12.28515625" style="1970" customWidth="1"/>
    <col min="3825" max="3825" width="2.28515625" style="1970" customWidth="1"/>
    <col min="3826" max="3826" width="13.140625" style="1970" bestFit="1" customWidth="1"/>
    <col min="3827" max="3827" width="1.85546875" style="1970" customWidth="1"/>
    <col min="3828" max="3828" width="12.28515625" style="1970" customWidth="1"/>
    <col min="3829" max="3829" width="1.85546875" style="1970" customWidth="1"/>
    <col min="3830" max="3830" width="10.5703125" style="1970" customWidth="1"/>
    <col min="3831" max="3831" width="4.42578125" style="1970" customWidth="1"/>
    <col min="3832" max="3832" width="13.28515625" style="1970" bestFit="1" customWidth="1"/>
    <col min="3833" max="3833" width="1" style="1970" customWidth="1"/>
    <col min="3834" max="3834" width="12.5703125" style="1970" customWidth="1"/>
    <col min="3835" max="3836" width="12.42578125" style="1970" customWidth="1"/>
    <col min="3837" max="3837" width="17.28515625" style="1970" customWidth="1"/>
    <col min="3838" max="3840" width="18.42578125" style="1970" customWidth="1"/>
    <col min="3841" max="4071" width="16.7109375" style="1970"/>
    <col min="4072" max="4072" width="6.5703125" style="1970" customWidth="1"/>
    <col min="4073" max="4073" width="41.85546875" style="1970" customWidth="1"/>
    <col min="4074" max="4074" width="9.85546875" style="1970" customWidth="1"/>
    <col min="4075" max="4075" width="1.85546875" style="1970" customWidth="1"/>
    <col min="4076" max="4076" width="11" style="1970" customWidth="1"/>
    <col min="4077" max="4077" width="5.28515625" style="1970" customWidth="1"/>
    <col min="4078" max="4078" width="11.5703125" style="1970" bestFit="1" customWidth="1"/>
    <col min="4079" max="4079" width="1.85546875" style="1970" customWidth="1"/>
    <col min="4080" max="4080" width="12.28515625" style="1970" customWidth="1"/>
    <col min="4081" max="4081" width="2.28515625" style="1970" customWidth="1"/>
    <col min="4082" max="4082" width="13.140625" style="1970" bestFit="1" customWidth="1"/>
    <col min="4083" max="4083" width="1.85546875" style="1970" customWidth="1"/>
    <col min="4084" max="4084" width="12.28515625" style="1970" customWidth="1"/>
    <col min="4085" max="4085" width="1.85546875" style="1970" customWidth="1"/>
    <col min="4086" max="4086" width="10.5703125" style="1970" customWidth="1"/>
    <col min="4087" max="4087" width="4.42578125" style="1970" customWidth="1"/>
    <col min="4088" max="4088" width="13.28515625" style="1970" bestFit="1" customWidth="1"/>
    <col min="4089" max="4089" width="1" style="1970" customWidth="1"/>
    <col min="4090" max="4090" width="12.5703125" style="1970" customWidth="1"/>
    <col min="4091" max="4092" width="12.42578125" style="1970" customWidth="1"/>
    <col min="4093" max="4093" width="17.28515625" style="1970" customWidth="1"/>
    <col min="4094" max="4096" width="18.42578125" style="1970" customWidth="1"/>
    <col min="4097" max="4327" width="16.7109375" style="1970"/>
    <col min="4328" max="4328" width="6.5703125" style="1970" customWidth="1"/>
    <col min="4329" max="4329" width="41.85546875" style="1970" customWidth="1"/>
    <col min="4330" max="4330" width="9.85546875" style="1970" customWidth="1"/>
    <col min="4331" max="4331" width="1.85546875" style="1970" customWidth="1"/>
    <col min="4332" max="4332" width="11" style="1970" customWidth="1"/>
    <col min="4333" max="4333" width="5.28515625" style="1970" customWidth="1"/>
    <col min="4334" max="4334" width="11.5703125" style="1970" bestFit="1" customWidth="1"/>
    <col min="4335" max="4335" width="1.85546875" style="1970" customWidth="1"/>
    <col min="4336" max="4336" width="12.28515625" style="1970" customWidth="1"/>
    <col min="4337" max="4337" width="2.28515625" style="1970" customWidth="1"/>
    <col min="4338" max="4338" width="13.140625" style="1970" bestFit="1" customWidth="1"/>
    <col min="4339" max="4339" width="1.85546875" style="1970" customWidth="1"/>
    <col min="4340" max="4340" width="12.28515625" style="1970" customWidth="1"/>
    <col min="4341" max="4341" width="1.85546875" style="1970" customWidth="1"/>
    <col min="4342" max="4342" width="10.5703125" style="1970" customWidth="1"/>
    <col min="4343" max="4343" width="4.42578125" style="1970" customWidth="1"/>
    <col min="4344" max="4344" width="13.28515625" style="1970" bestFit="1" customWidth="1"/>
    <col min="4345" max="4345" width="1" style="1970" customWidth="1"/>
    <col min="4346" max="4346" width="12.5703125" style="1970" customWidth="1"/>
    <col min="4347" max="4348" width="12.42578125" style="1970" customWidth="1"/>
    <col min="4349" max="4349" width="17.28515625" style="1970" customWidth="1"/>
    <col min="4350" max="4352" width="18.42578125" style="1970" customWidth="1"/>
    <col min="4353" max="4583" width="16.7109375" style="1970"/>
    <col min="4584" max="4584" width="6.5703125" style="1970" customWidth="1"/>
    <col min="4585" max="4585" width="41.85546875" style="1970" customWidth="1"/>
    <col min="4586" max="4586" width="9.85546875" style="1970" customWidth="1"/>
    <col min="4587" max="4587" width="1.85546875" style="1970" customWidth="1"/>
    <col min="4588" max="4588" width="11" style="1970" customWidth="1"/>
    <col min="4589" max="4589" width="5.28515625" style="1970" customWidth="1"/>
    <col min="4590" max="4590" width="11.5703125" style="1970" bestFit="1" customWidth="1"/>
    <col min="4591" max="4591" width="1.85546875" style="1970" customWidth="1"/>
    <col min="4592" max="4592" width="12.28515625" style="1970" customWidth="1"/>
    <col min="4593" max="4593" width="2.28515625" style="1970" customWidth="1"/>
    <col min="4594" max="4594" width="13.140625" style="1970" bestFit="1" customWidth="1"/>
    <col min="4595" max="4595" width="1.85546875" style="1970" customWidth="1"/>
    <col min="4596" max="4596" width="12.28515625" style="1970" customWidth="1"/>
    <col min="4597" max="4597" width="1.85546875" style="1970" customWidth="1"/>
    <col min="4598" max="4598" width="10.5703125" style="1970" customWidth="1"/>
    <col min="4599" max="4599" width="4.42578125" style="1970" customWidth="1"/>
    <col min="4600" max="4600" width="13.28515625" style="1970" bestFit="1" customWidth="1"/>
    <col min="4601" max="4601" width="1" style="1970" customWidth="1"/>
    <col min="4602" max="4602" width="12.5703125" style="1970" customWidth="1"/>
    <col min="4603" max="4604" width="12.42578125" style="1970" customWidth="1"/>
    <col min="4605" max="4605" width="17.28515625" style="1970" customWidth="1"/>
    <col min="4606" max="4608" width="18.42578125" style="1970" customWidth="1"/>
    <col min="4609" max="4839" width="16.7109375" style="1970"/>
    <col min="4840" max="4840" width="6.5703125" style="1970" customWidth="1"/>
    <col min="4841" max="4841" width="41.85546875" style="1970" customWidth="1"/>
    <col min="4842" max="4842" width="9.85546875" style="1970" customWidth="1"/>
    <col min="4843" max="4843" width="1.85546875" style="1970" customWidth="1"/>
    <col min="4844" max="4844" width="11" style="1970" customWidth="1"/>
    <col min="4845" max="4845" width="5.28515625" style="1970" customWidth="1"/>
    <col min="4846" max="4846" width="11.5703125" style="1970" bestFit="1" customWidth="1"/>
    <col min="4847" max="4847" width="1.85546875" style="1970" customWidth="1"/>
    <col min="4848" max="4848" width="12.28515625" style="1970" customWidth="1"/>
    <col min="4849" max="4849" width="2.28515625" style="1970" customWidth="1"/>
    <col min="4850" max="4850" width="13.140625" style="1970" bestFit="1" customWidth="1"/>
    <col min="4851" max="4851" width="1.85546875" style="1970" customWidth="1"/>
    <col min="4852" max="4852" width="12.28515625" style="1970" customWidth="1"/>
    <col min="4853" max="4853" width="1.85546875" style="1970" customWidth="1"/>
    <col min="4854" max="4854" width="10.5703125" style="1970" customWidth="1"/>
    <col min="4855" max="4855" width="4.42578125" style="1970" customWidth="1"/>
    <col min="4856" max="4856" width="13.28515625" style="1970" bestFit="1" customWidth="1"/>
    <col min="4857" max="4857" width="1" style="1970" customWidth="1"/>
    <col min="4858" max="4858" width="12.5703125" style="1970" customWidth="1"/>
    <col min="4859" max="4860" width="12.42578125" style="1970" customWidth="1"/>
    <col min="4861" max="4861" width="17.28515625" style="1970" customWidth="1"/>
    <col min="4862" max="4864" width="18.42578125" style="1970" customWidth="1"/>
    <col min="4865" max="5095" width="16.7109375" style="1970"/>
    <col min="5096" max="5096" width="6.5703125" style="1970" customWidth="1"/>
    <col min="5097" max="5097" width="41.85546875" style="1970" customWidth="1"/>
    <col min="5098" max="5098" width="9.85546875" style="1970" customWidth="1"/>
    <col min="5099" max="5099" width="1.85546875" style="1970" customWidth="1"/>
    <col min="5100" max="5100" width="11" style="1970" customWidth="1"/>
    <col min="5101" max="5101" width="5.28515625" style="1970" customWidth="1"/>
    <col min="5102" max="5102" width="11.5703125" style="1970" bestFit="1" customWidth="1"/>
    <col min="5103" max="5103" width="1.85546875" style="1970" customWidth="1"/>
    <col min="5104" max="5104" width="12.28515625" style="1970" customWidth="1"/>
    <col min="5105" max="5105" width="2.28515625" style="1970" customWidth="1"/>
    <col min="5106" max="5106" width="13.140625" style="1970" bestFit="1" customWidth="1"/>
    <col min="5107" max="5107" width="1.85546875" style="1970" customWidth="1"/>
    <col min="5108" max="5108" width="12.28515625" style="1970" customWidth="1"/>
    <col min="5109" max="5109" width="1.85546875" style="1970" customWidth="1"/>
    <col min="5110" max="5110" width="10.5703125" style="1970" customWidth="1"/>
    <col min="5111" max="5111" width="4.42578125" style="1970" customWidth="1"/>
    <col min="5112" max="5112" width="13.28515625" style="1970" bestFit="1" customWidth="1"/>
    <col min="5113" max="5113" width="1" style="1970" customWidth="1"/>
    <col min="5114" max="5114" width="12.5703125" style="1970" customWidth="1"/>
    <col min="5115" max="5116" width="12.42578125" style="1970" customWidth="1"/>
    <col min="5117" max="5117" width="17.28515625" style="1970" customWidth="1"/>
    <col min="5118" max="5120" width="18.42578125" style="1970" customWidth="1"/>
    <col min="5121" max="5351" width="16.7109375" style="1970"/>
    <col min="5352" max="5352" width="6.5703125" style="1970" customWidth="1"/>
    <col min="5353" max="5353" width="41.85546875" style="1970" customWidth="1"/>
    <col min="5354" max="5354" width="9.85546875" style="1970" customWidth="1"/>
    <col min="5355" max="5355" width="1.85546875" style="1970" customWidth="1"/>
    <col min="5356" max="5356" width="11" style="1970" customWidth="1"/>
    <col min="5357" max="5357" width="5.28515625" style="1970" customWidth="1"/>
    <col min="5358" max="5358" width="11.5703125" style="1970" bestFit="1" customWidth="1"/>
    <col min="5359" max="5359" width="1.85546875" style="1970" customWidth="1"/>
    <col min="5360" max="5360" width="12.28515625" style="1970" customWidth="1"/>
    <col min="5361" max="5361" width="2.28515625" style="1970" customWidth="1"/>
    <col min="5362" max="5362" width="13.140625" style="1970" bestFit="1" customWidth="1"/>
    <col min="5363" max="5363" width="1.85546875" style="1970" customWidth="1"/>
    <col min="5364" max="5364" width="12.28515625" style="1970" customWidth="1"/>
    <col min="5365" max="5365" width="1.85546875" style="1970" customWidth="1"/>
    <col min="5366" max="5366" width="10.5703125" style="1970" customWidth="1"/>
    <col min="5367" max="5367" width="4.42578125" style="1970" customWidth="1"/>
    <col min="5368" max="5368" width="13.28515625" style="1970" bestFit="1" customWidth="1"/>
    <col min="5369" max="5369" width="1" style="1970" customWidth="1"/>
    <col min="5370" max="5370" width="12.5703125" style="1970" customWidth="1"/>
    <col min="5371" max="5372" width="12.42578125" style="1970" customWidth="1"/>
    <col min="5373" max="5373" width="17.28515625" style="1970" customWidth="1"/>
    <col min="5374" max="5376" width="18.42578125" style="1970" customWidth="1"/>
    <col min="5377" max="5607" width="16.7109375" style="1970"/>
    <col min="5608" max="5608" width="6.5703125" style="1970" customWidth="1"/>
    <col min="5609" max="5609" width="41.85546875" style="1970" customWidth="1"/>
    <col min="5610" max="5610" width="9.85546875" style="1970" customWidth="1"/>
    <col min="5611" max="5611" width="1.85546875" style="1970" customWidth="1"/>
    <col min="5612" max="5612" width="11" style="1970" customWidth="1"/>
    <col min="5613" max="5613" width="5.28515625" style="1970" customWidth="1"/>
    <col min="5614" max="5614" width="11.5703125" style="1970" bestFit="1" customWidth="1"/>
    <col min="5615" max="5615" width="1.85546875" style="1970" customWidth="1"/>
    <col min="5616" max="5616" width="12.28515625" style="1970" customWidth="1"/>
    <col min="5617" max="5617" width="2.28515625" style="1970" customWidth="1"/>
    <col min="5618" max="5618" width="13.140625" style="1970" bestFit="1" customWidth="1"/>
    <col min="5619" max="5619" width="1.85546875" style="1970" customWidth="1"/>
    <col min="5620" max="5620" width="12.28515625" style="1970" customWidth="1"/>
    <col min="5621" max="5621" width="1.85546875" style="1970" customWidth="1"/>
    <col min="5622" max="5622" width="10.5703125" style="1970" customWidth="1"/>
    <col min="5623" max="5623" width="4.42578125" style="1970" customWidth="1"/>
    <col min="5624" max="5624" width="13.28515625" style="1970" bestFit="1" customWidth="1"/>
    <col min="5625" max="5625" width="1" style="1970" customWidth="1"/>
    <col min="5626" max="5626" width="12.5703125" style="1970" customWidth="1"/>
    <col min="5627" max="5628" width="12.42578125" style="1970" customWidth="1"/>
    <col min="5629" max="5629" width="17.28515625" style="1970" customWidth="1"/>
    <col min="5630" max="5632" width="18.42578125" style="1970" customWidth="1"/>
    <col min="5633" max="5863" width="16.7109375" style="1970"/>
    <col min="5864" max="5864" width="6.5703125" style="1970" customWidth="1"/>
    <col min="5865" max="5865" width="41.85546875" style="1970" customWidth="1"/>
    <col min="5866" max="5866" width="9.85546875" style="1970" customWidth="1"/>
    <col min="5867" max="5867" width="1.85546875" style="1970" customWidth="1"/>
    <col min="5868" max="5868" width="11" style="1970" customWidth="1"/>
    <col min="5869" max="5869" width="5.28515625" style="1970" customWidth="1"/>
    <col min="5870" max="5870" width="11.5703125" style="1970" bestFit="1" customWidth="1"/>
    <col min="5871" max="5871" width="1.85546875" style="1970" customWidth="1"/>
    <col min="5872" max="5872" width="12.28515625" style="1970" customWidth="1"/>
    <col min="5873" max="5873" width="2.28515625" style="1970" customWidth="1"/>
    <col min="5874" max="5874" width="13.140625" style="1970" bestFit="1" customWidth="1"/>
    <col min="5875" max="5875" width="1.85546875" style="1970" customWidth="1"/>
    <col min="5876" max="5876" width="12.28515625" style="1970" customWidth="1"/>
    <col min="5877" max="5877" width="1.85546875" style="1970" customWidth="1"/>
    <col min="5878" max="5878" width="10.5703125" style="1970" customWidth="1"/>
    <col min="5879" max="5879" width="4.42578125" style="1970" customWidth="1"/>
    <col min="5880" max="5880" width="13.28515625" style="1970" bestFit="1" customWidth="1"/>
    <col min="5881" max="5881" width="1" style="1970" customWidth="1"/>
    <col min="5882" max="5882" width="12.5703125" style="1970" customWidth="1"/>
    <col min="5883" max="5884" width="12.42578125" style="1970" customWidth="1"/>
    <col min="5885" max="5885" width="17.28515625" style="1970" customWidth="1"/>
    <col min="5886" max="5888" width="18.42578125" style="1970" customWidth="1"/>
    <col min="5889" max="6119" width="16.7109375" style="1970"/>
    <col min="6120" max="6120" width="6.5703125" style="1970" customWidth="1"/>
    <col min="6121" max="6121" width="41.85546875" style="1970" customWidth="1"/>
    <col min="6122" max="6122" width="9.85546875" style="1970" customWidth="1"/>
    <col min="6123" max="6123" width="1.85546875" style="1970" customWidth="1"/>
    <col min="6124" max="6124" width="11" style="1970" customWidth="1"/>
    <col min="6125" max="6125" width="5.28515625" style="1970" customWidth="1"/>
    <col min="6126" max="6126" width="11.5703125" style="1970" bestFit="1" customWidth="1"/>
    <col min="6127" max="6127" width="1.85546875" style="1970" customWidth="1"/>
    <col min="6128" max="6128" width="12.28515625" style="1970" customWidth="1"/>
    <col min="6129" max="6129" width="2.28515625" style="1970" customWidth="1"/>
    <col min="6130" max="6130" width="13.140625" style="1970" bestFit="1" customWidth="1"/>
    <col min="6131" max="6131" width="1.85546875" style="1970" customWidth="1"/>
    <col min="6132" max="6132" width="12.28515625" style="1970" customWidth="1"/>
    <col min="6133" max="6133" width="1.85546875" style="1970" customWidth="1"/>
    <col min="6134" max="6134" width="10.5703125" style="1970" customWidth="1"/>
    <col min="6135" max="6135" width="4.42578125" style="1970" customWidth="1"/>
    <col min="6136" max="6136" width="13.28515625" style="1970" bestFit="1" customWidth="1"/>
    <col min="6137" max="6137" width="1" style="1970" customWidth="1"/>
    <col min="6138" max="6138" width="12.5703125" style="1970" customWidth="1"/>
    <col min="6139" max="6140" width="12.42578125" style="1970" customWidth="1"/>
    <col min="6141" max="6141" width="17.28515625" style="1970" customWidth="1"/>
    <col min="6142" max="6144" width="18.42578125" style="1970" customWidth="1"/>
    <col min="6145" max="6375" width="16.7109375" style="1970"/>
    <col min="6376" max="6376" width="6.5703125" style="1970" customWidth="1"/>
    <col min="6377" max="6377" width="41.85546875" style="1970" customWidth="1"/>
    <col min="6378" max="6378" width="9.85546875" style="1970" customWidth="1"/>
    <col min="6379" max="6379" width="1.85546875" style="1970" customWidth="1"/>
    <col min="6380" max="6380" width="11" style="1970" customWidth="1"/>
    <col min="6381" max="6381" width="5.28515625" style="1970" customWidth="1"/>
    <col min="6382" max="6382" width="11.5703125" style="1970" bestFit="1" customWidth="1"/>
    <col min="6383" max="6383" width="1.85546875" style="1970" customWidth="1"/>
    <col min="6384" max="6384" width="12.28515625" style="1970" customWidth="1"/>
    <col min="6385" max="6385" width="2.28515625" style="1970" customWidth="1"/>
    <col min="6386" max="6386" width="13.140625" style="1970" bestFit="1" customWidth="1"/>
    <col min="6387" max="6387" width="1.85546875" style="1970" customWidth="1"/>
    <col min="6388" max="6388" width="12.28515625" style="1970" customWidth="1"/>
    <col min="6389" max="6389" width="1.85546875" style="1970" customWidth="1"/>
    <col min="6390" max="6390" width="10.5703125" style="1970" customWidth="1"/>
    <col min="6391" max="6391" width="4.42578125" style="1970" customWidth="1"/>
    <col min="6392" max="6392" width="13.28515625" style="1970" bestFit="1" customWidth="1"/>
    <col min="6393" max="6393" width="1" style="1970" customWidth="1"/>
    <col min="6394" max="6394" width="12.5703125" style="1970" customWidth="1"/>
    <col min="6395" max="6396" width="12.42578125" style="1970" customWidth="1"/>
    <col min="6397" max="6397" width="17.28515625" style="1970" customWidth="1"/>
    <col min="6398" max="6400" width="18.42578125" style="1970" customWidth="1"/>
    <col min="6401" max="6631" width="16.7109375" style="1970"/>
    <col min="6632" max="6632" width="6.5703125" style="1970" customWidth="1"/>
    <col min="6633" max="6633" width="41.85546875" style="1970" customWidth="1"/>
    <col min="6634" max="6634" width="9.85546875" style="1970" customWidth="1"/>
    <col min="6635" max="6635" width="1.85546875" style="1970" customWidth="1"/>
    <col min="6636" max="6636" width="11" style="1970" customWidth="1"/>
    <col min="6637" max="6637" width="5.28515625" style="1970" customWidth="1"/>
    <col min="6638" max="6638" width="11.5703125" style="1970" bestFit="1" customWidth="1"/>
    <col min="6639" max="6639" width="1.85546875" style="1970" customWidth="1"/>
    <col min="6640" max="6640" width="12.28515625" style="1970" customWidth="1"/>
    <col min="6641" max="6641" width="2.28515625" style="1970" customWidth="1"/>
    <col min="6642" max="6642" width="13.140625" style="1970" bestFit="1" customWidth="1"/>
    <col min="6643" max="6643" width="1.85546875" style="1970" customWidth="1"/>
    <col min="6644" max="6644" width="12.28515625" style="1970" customWidth="1"/>
    <col min="6645" max="6645" width="1.85546875" style="1970" customWidth="1"/>
    <col min="6646" max="6646" width="10.5703125" style="1970" customWidth="1"/>
    <col min="6647" max="6647" width="4.42578125" style="1970" customWidth="1"/>
    <col min="6648" max="6648" width="13.28515625" style="1970" bestFit="1" customWidth="1"/>
    <col min="6649" max="6649" width="1" style="1970" customWidth="1"/>
    <col min="6650" max="6650" width="12.5703125" style="1970" customWidth="1"/>
    <col min="6651" max="6652" width="12.42578125" style="1970" customWidth="1"/>
    <col min="6653" max="6653" width="17.28515625" style="1970" customWidth="1"/>
    <col min="6654" max="6656" width="18.42578125" style="1970" customWidth="1"/>
    <col min="6657" max="6887" width="16.7109375" style="1970"/>
    <col min="6888" max="6888" width="6.5703125" style="1970" customWidth="1"/>
    <col min="6889" max="6889" width="41.85546875" style="1970" customWidth="1"/>
    <col min="6890" max="6890" width="9.85546875" style="1970" customWidth="1"/>
    <col min="6891" max="6891" width="1.85546875" style="1970" customWidth="1"/>
    <col min="6892" max="6892" width="11" style="1970" customWidth="1"/>
    <col min="6893" max="6893" width="5.28515625" style="1970" customWidth="1"/>
    <col min="6894" max="6894" width="11.5703125" style="1970" bestFit="1" customWidth="1"/>
    <col min="6895" max="6895" width="1.85546875" style="1970" customWidth="1"/>
    <col min="6896" max="6896" width="12.28515625" style="1970" customWidth="1"/>
    <col min="6897" max="6897" width="2.28515625" style="1970" customWidth="1"/>
    <col min="6898" max="6898" width="13.140625" style="1970" bestFit="1" customWidth="1"/>
    <col min="6899" max="6899" width="1.85546875" style="1970" customWidth="1"/>
    <col min="6900" max="6900" width="12.28515625" style="1970" customWidth="1"/>
    <col min="6901" max="6901" width="1.85546875" style="1970" customWidth="1"/>
    <col min="6902" max="6902" width="10.5703125" style="1970" customWidth="1"/>
    <col min="6903" max="6903" width="4.42578125" style="1970" customWidth="1"/>
    <col min="6904" max="6904" width="13.28515625" style="1970" bestFit="1" customWidth="1"/>
    <col min="6905" max="6905" width="1" style="1970" customWidth="1"/>
    <col min="6906" max="6906" width="12.5703125" style="1970" customWidth="1"/>
    <col min="6907" max="6908" width="12.42578125" style="1970" customWidth="1"/>
    <col min="6909" max="6909" width="17.28515625" style="1970" customWidth="1"/>
    <col min="6910" max="6912" width="18.42578125" style="1970" customWidth="1"/>
    <col min="6913" max="7143" width="16.7109375" style="1970"/>
    <col min="7144" max="7144" width="6.5703125" style="1970" customWidth="1"/>
    <col min="7145" max="7145" width="41.85546875" style="1970" customWidth="1"/>
    <col min="7146" max="7146" width="9.85546875" style="1970" customWidth="1"/>
    <col min="7147" max="7147" width="1.85546875" style="1970" customWidth="1"/>
    <col min="7148" max="7148" width="11" style="1970" customWidth="1"/>
    <col min="7149" max="7149" width="5.28515625" style="1970" customWidth="1"/>
    <col min="7150" max="7150" width="11.5703125" style="1970" bestFit="1" customWidth="1"/>
    <col min="7151" max="7151" width="1.85546875" style="1970" customWidth="1"/>
    <col min="7152" max="7152" width="12.28515625" style="1970" customWidth="1"/>
    <col min="7153" max="7153" width="2.28515625" style="1970" customWidth="1"/>
    <col min="7154" max="7154" width="13.140625" style="1970" bestFit="1" customWidth="1"/>
    <col min="7155" max="7155" width="1.85546875" style="1970" customWidth="1"/>
    <col min="7156" max="7156" width="12.28515625" style="1970" customWidth="1"/>
    <col min="7157" max="7157" width="1.85546875" style="1970" customWidth="1"/>
    <col min="7158" max="7158" width="10.5703125" style="1970" customWidth="1"/>
    <col min="7159" max="7159" width="4.42578125" style="1970" customWidth="1"/>
    <col min="7160" max="7160" width="13.28515625" style="1970" bestFit="1" customWidth="1"/>
    <col min="7161" max="7161" width="1" style="1970" customWidth="1"/>
    <col min="7162" max="7162" width="12.5703125" style="1970" customWidth="1"/>
    <col min="7163" max="7164" width="12.42578125" style="1970" customWidth="1"/>
    <col min="7165" max="7165" width="17.28515625" style="1970" customWidth="1"/>
    <col min="7166" max="7168" width="18.42578125" style="1970" customWidth="1"/>
    <col min="7169" max="7399" width="16.7109375" style="1970"/>
    <col min="7400" max="7400" width="6.5703125" style="1970" customWidth="1"/>
    <col min="7401" max="7401" width="41.85546875" style="1970" customWidth="1"/>
    <col min="7402" max="7402" width="9.85546875" style="1970" customWidth="1"/>
    <col min="7403" max="7403" width="1.85546875" style="1970" customWidth="1"/>
    <col min="7404" max="7404" width="11" style="1970" customWidth="1"/>
    <col min="7405" max="7405" width="5.28515625" style="1970" customWidth="1"/>
    <col min="7406" max="7406" width="11.5703125" style="1970" bestFit="1" customWidth="1"/>
    <col min="7407" max="7407" width="1.85546875" style="1970" customWidth="1"/>
    <col min="7408" max="7408" width="12.28515625" style="1970" customWidth="1"/>
    <col min="7409" max="7409" width="2.28515625" style="1970" customWidth="1"/>
    <col min="7410" max="7410" width="13.140625" style="1970" bestFit="1" customWidth="1"/>
    <col min="7411" max="7411" width="1.85546875" style="1970" customWidth="1"/>
    <col min="7412" max="7412" width="12.28515625" style="1970" customWidth="1"/>
    <col min="7413" max="7413" width="1.85546875" style="1970" customWidth="1"/>
    <col min="7414" max="7414" width="10.5703125" style="1970" customWidth="1"/>
    <col min="7415" max="7415" width="4.42578125" style="1970" customWidth="1"/>
    <col min="7416" max="7416" width="13.28515625" style="1970" bestFit="1" customWidth="1"/>
    <col min="7417" max="7417" width="1" style="1970" customWidth="1"/>
    <col min="7418" max="7418" width="12.5703125" style="1970" customWidth="1"/>
    <col min="7419" max="7420" width="12.42578125" style="1970" customWidth="1"/>
    <col min="7421" max="7421" width="17.28515625" style="1970" customWidth="1"/>
    <col min="7422" max="7424" width="18.42578125" style="1970" customWidth="1"/>
    <col min="7425" max="7655" width="16.7109375" style="1970"/>
    <col min="7656" max="7656" width="6.5703125" style="1970" customWidth="1"/>
    <col min="7657" max="7657" width="41.85546875" style="1970" customWidth="1"/>
    <col min="7658" max="7658" width="9.85546875" style="1970" customWidth="1"/>
    <col min="7659" max="7659" width="1.85546875" style="1970" customWidth="1"/>
    <col min="7660" max="7660" width="11" style="1970" customWidth="1"/>
    <col min="7661" max="7661" width="5.28515625" style="1970" customWidth="1"/>
    <col min="7662" max="7662" width="11.5703125" style="1970" bestFit="1" customWidth="1"/>
    <col min="7663" max="7663" width="1.85546875" style="1970" customWidth="1"/>
    <col min="7664" max="7664" width="12.28515625" style="1970" customWidth="1"/>
    <col min="7665" max="7665" width="2.28515625" style="1970" customWidth="1"/>
    <col min="7666" max="7666" width="13.140625" style="1970" bestFit="1" customWidth="1"/>
    <col min="7667" max="7667" width="1.85546875" style="1970" customWidth="1"/>
    <col min="7668" max="7668" width="12.28515625" style="1970" customWidth="1"/>
    <col min="7669" max="7669" width="1.85546875" style="1970" customWidth="1"/>
    <col min="7670" max="7670" width="10.5703125" style="1970" customWidth="1"/>
    <col min="7671" max="7671" width="4.42578125" style="1970" customWidth="1"/>
    <col min="7672" max="7672" width="13.28515625" style="1970" bestFit="1" customWidth="1"/>
    <col min="7673" max="7673" width="1" style="1970" customWidth="1"/>
    <col min="7674" max="7674" width="12.5703125" style="1970" customWidth="1"/>
    <col min="7675" max="7676" width="12.42578125" style="1970" customWidth="1"/>
    <col min="7677" max="7677" width="17.28515625" style="1970" customWidth="1"/>
    <col min="7678" max="7680" width="18.42578125" style="1970" customWidth="1"/>
    <col min="7681" max="7911" width="16.7109375" style="1970"/>
    <col min="7912" max="7912" width="6.5703125" style="1970" customWidth="1"/>
    <col min="7913" max="7913" width="41.85546875" style="1970" customWidth="1"/>
    <col min="7914" max="7914" width="9.85546875" style="1970" customWidth="1"/>
    <col min="7915" max="7915" width="1.85546875" style="1970" customWidth="1"/>
    <col min="7916" max="7916" width="11" style="1970" customWidth="1"/>
    <col min="7917" max="7917" width="5.28515625" style="1970" customWidth="1"/>
    <col min="7918" max="7918" width="11.5703125" style="1970" bestFit="1" customWidth="1"/>
    <col min="7919" max="7919" width="1.85546875" style="1970" customWidth="1"/>
    <col min="7920" max="7920" width="12.28515625" style="1970" customWidth="1"/>
    <col min="7921" max="7921" width="2.28515625" style="1970" customWidth="1"/>
    <col min="7922" max="7922" width="13.140625" style="1970" bestFit="1" customWidth="1"/>
    <col min="7923" max="7923" width="1.85546875" style="1970" customWidth="1"/>
    <col min="7924" max="7924" width="12.28515625" style="1970" customWidth="1"/>
    <col min="7925" max="7925" width="1.85546875" style="1970" customWidth="1"/>
    <col min="7926" max="7926" width="10.5703125" style="1970" customWidth="1"/>
    <col min="7927" max="7927" width="4.42578125" style="1970" customWidth="1"/>
    <col min="7928" max="7928" width="13.28515625" style="1970" bestFit="1" customWidth="1"/>
    <col min="7929" max="7929" width="1" style="1970" customWidth="1"/>
    <col min="7930" max="7930" width="12.5703125" style="1970" customWidth="1"/>
    <col min="7931" max="7932" width="12.42578125" style="1970" customWidth="1"/>
    <col min="7933" max="7933" width="17.28515625" style="1970" customWidth="1"/>
    <col min="7934" max="7936" width="18.42578125" style="1970" customWidth="1"/>
    <col min="7937" max="8167" width="16.7109375" style="1970"/>
    <col min="8168" max="8168" width="6.5703125" style="1970" customWidth="1"/>
    <col min="8169" max="8169" width="41.85546875" style="1970" customWidth="1"/>
    <col min="8170" max="8170" width="9.85546875" style="1970" customWidth="1"/>
    <col min="8171" max="8171" width="1.85546875" style="1970" customWidth="1"/>
    <col min="8172" max="8172" width="11" style="1970" customWidth="1"/>
    <col min="8173" max="8173" width="5.28515625" style="1970" customWidth="1"/>
    <col min="8174" max="8174" width="11.5703125" style="1970" bestFit="1" customWidth="1"/>
    <col min="8175" max="8175" width="1.85546875" style="1970" customWidth="1"/>
    <col min="8176" max="8176" width="12.28515625" style="1970" customWidth="1"/>
    <col min="8177" max="8177" width="2.28515625" style="1970" customWidth="1"/>
    <col min="8178" max="8178" width="13.140625" style="1970" bestFit="1" customWidth="1"/>
    <col min="8179" max="8179" width="1.85546875" style="1970" customWidth="1"/>
    <col min="8180" max="8180" width="12.28515625" style="1970" customWidth="1"/>
    <col min="8181" max="8181" width="1.85546875" style="1970" customWidth="1"/>
    <col min="8182" max="8182" width="10.5703125" style="1970" customWidth="1"/>
    <col min="8183" max="8183" width="4.42578125" style="1970" customWidth="1"/>
    <col min="8184" max="8184" width="13.28515625" style="1970" bestFit="1" customWidth="1"/>
    <col min="8185" max="8185" width="1" style="1970" customWidth="1"/>
    <col min="8186" max="8186" width="12.5703125" style="1970" customWidth="1"/>
    <col min="8187" max="8188" width="12.42578125" style="1970" customWidth="1"/>
    <col min="8189" max="8189" width="17.28515625" style="1970" customWidth="1"/>
    <col min="8190" max="8192" width="18.42578125" style="1970" customWidth="1"/>
    <col min="8193" max="8423" width="16.7109375" style="1970"/>
    <col min="8424" max="8424" width="6.5703125" style="1970" customWidth="1"/>
    <col min="8425" max="8425" width="41.85546875" style="1970" customWidth="1"/>
    <col min="8426" max="8426" width="9.85546875" style="1970" customWidth="1"/>
    <col min="8427" max="8427" width="1.85546875" style="1970" customWidth="1"/>
    <col min="8428" max="8428" width="11" style="1970" customWidth="1"/>
    <col min="8429" max="8429" width="5.28515625" style="1970" customWidth="1"/>
    <col min="8430" max="8430" width="11.5703125" style="1970" bestFit="1" customWidth="1"/>
    <col min="8431" max="8431" width="1.85546875" style="1970" customWidth="1"/>
    <col min="8432" max="8432" width="12.28515625" style="1970" customWidth="1"/>
    <col min="8433" max="8433" width="2.28515625" style="1970" customWidth="1"/>
    <col min="8434" max="8434" width="13.140625" style="1970" bestFit="1" customWidth="1"/>
    <col min="8435" max="8435" width="1.85546875" style="1970" customWidth="1"/>
    <col min="8436" max="8436" width="12.28515625" style="1970" customWidth="1"/>
    <col min="8437" max="8437" width="1.85546875" style="1970" customWidth="1"/>
    <col min="8438" max="8438" width="10.5703125" style="1970" customWidth="1"/>
    <col min="8439" max="8439" width="4.42578125" style="1970" customWidth="1"/>
    <col min="8440" max="8440" width="13.28515625" style="1970" bestFit="1" customWidth="1"/>
    <col min="8441" max="8441" width="1" style="1970" customWidth="1"/>
    <col min="8442" max="8442" width="12.5703125" style="1970" customWidth="1"/>
    <col min="8443" max="8444" width="12.42578125" style="1970" customWidth="1"/>
    <col min="8445" max="8445" width="17.28515625" style="1970" customWidth="1"/>
    <col min="8446" max="8448" width="18.42578125" style="1970" customWidth="1"/>
    <col min="8449" max="8679" width="16.7109375" style="1970"/>
    <col min="8680" max="8680" width="6.5703125" style="1970" customWidth="1"/>
    <col min="8681" max="8681" width="41.85546875" style="1970" customWidth="1"/>
    <col min="8682" max="8682" width="9.85546875" style="1970" customWidth="1"/>
    <col min="8683" max="8683" width="1.85546875" style="1970" customWidth="1"/>
    <col min="8684" max="8684" width="11" style="1970" customWidth="1"/>
    <col min="8685" max="8685" width="5.28515625" style="1970" customWidth="1"/>
    <col min="8686" max="8686" width="11.5703125" style="1970" bestFit="1" customWidth="1"/>
    <col min="8687" max="8687" width="1.85546875" style="1970" customWidth="1"/>
    <col min="8688" max="8688" width="12.28515625" style="1970" customWidth="1"/>
    <col min="8689" max="8689" width="2.28515625" style="1970" customWidth="1"/>
    <col min="8690" max="8690" width="13.140625" style="1970" bestFit="1" customWidth="1"/>
    <col min="8691" max="8691" width="1.85546875" style="1970" customWidth="1"/>
    <col min="8692" max="8692" width="12.28515625" style="1970" customWidth="1"/>
    <col min="8693" max="8693" width="1.85546875" style="1970" customWidth="1"/>
    <col min="8694" max="8694" width="10.5703125" style="1970" customWidth="1"/>
    <col min="8695" max="8695" width="4.42578125" style="1970" customWidth="1"/>
    <col min="8696" max="8696" width="13.28515625" style="1970" bestFit="1" customWidth="1"/>
    <col min="8697" max="8697" width="1" style="1970" customWidth="1"/>
    <col min="8698" max="8698" width="12.5703125" style="1970" customWidth="1"/>
    <col min="8699" max="8700" width="12.42578125" style="1970" customWidth="1"/>
    <col min="8701" max="8701" width="17.28515625" style="1970" customWidth="1"/>
    <col min="8702" max="8704" width="18.42578125" style="1970" customWidth="1"/>
    <col min="8705" max="8935" width="16.7109375" style="1970"/>
    <col min="8936" max="8936" width="6.5703125" style="1970" customWidth="1"/>
    <col min="8937" max="8937" width="41.85546875" style="1970" customWidth="1"/>
    <col min="8938" max="8938" width="9.85546875" style="1970" customWidth="1"/>
    <col min="8939" max="8939" width="1.85546875" style="1970" customWidth="1"/>
    <col min="8940" max="8940" width="11" style="1970" customWidth="1"/>
    <col min="8941" max="8941" width="5.28515625" style="1970" customWidth="1"/>
    <col min="8942" max="8942" width="11.5703125" style="1970" bestFit="1" customWidth="1"/>
    <col min="8943" max="8943" width="1.85546875" style="1970" customWidth="1"/>
    <col min="8944" max="8944" width="12.28515625" style="1970" customWidth="1"/>
    <col min="8945" max="8945" width="2.28515625" style="1970" customWidth="1"/>
    <col min="8946" max="8946" width="13.140625" style="1970" bestFit="1" customWidth="1"/>
    <col min="8947" max="8947" width="1.85546875" style="1970" customWidth="1"/>
    <col min="8948" max="8948" width="12.28515625" style="1970" customWidth="1"/>
    <col min="8949" max="8949" width="1.85546875" style="1970" customWidth="1"/>
    <col min="8950" max="8950" width="10.5703125" style="1970" customWidth="1"/>
    <col min="8951" max="8951" width="4.42578125" style="1970" customWidth="1"/>
    <col min="8952" max="8952" width="13.28515625" style="1970" bestFit="1" customWidth="1"/>
    <col min="8953" max="8953" width="1" style="1970" customWidth="1"/>
    <col min="8954" max="8954" width="12.5703125" style="1970" customWidth="1"/>
    <col min="8955" max="8956" width="12.42578125" style="1970" customWidth="1"/>
    <col min="8957" max="8957" width="17.28515625" style="1970" customWidth="1"/>
    <col min="8958" max="8960" width="18.42578125" style="1970" customWidth="1"/>
    <col min="8961" max="9191" width="16.7109375" style="1970"/>
    <col min="9192" max="9192" width="6.5703125" style="1970" customWidth="1"/>
    <col min="9193" max="9193" width="41.85546875" style="1970" customWidth="1"/>
    <col min="9194" max="9194" width="9.85546875" style="1970" customWidth="1"/>
    <col min="9195" max="9195" width="1.85546875" style="1970" customWidth="1"/>
    <col min="9196" max="9196" width="11" style="1970" customWidth="1"/>
    <col min="9197" max="9197" width="5.28515625" style="1970" customWidth="1"/>
    <col min="9198" max="9198" width="11.5703125" style="1970" bestFit="1" customWidth="1"/>
    <col min="9199" max="9199" width="1.85546875" style="1970" customWidth="1"/>
    <col min="9200" max="9200" width="12.28515625" style="1970" customWidth="1"/>
    <col min="9201" max="9201" width="2.28515625" style="1970" customWidth="1"/>
    <col min="9202" max="9202" width="13.140625" style="1970" bestFit="1" customWidth="1"/>
    <col min="9203" max="9203" width="1.85546875" style="1970" customWidth="1"/>
    <col min="9204" max="9204" width="12.28515625" style="1970" customWidth="1"/>
    <col min="9205" max="9205" width="1.85546875" style="1970" customWidth="1"/>
    <col min="9206" max="9206" width="10.5703125" style="1970" customWidth="1"/>
    <col min="9207" max="9207" width="4.42578125" style="1970" customWidth="1"/>
    <col min="9208" max="9208" width="13.28515625" style="1970" bestFit="1" customWidth="1"/>
    <col min="9209" max="9209" width="1" style="1970" customWidth="1"/>
    <col min="9210" max="9210" width="12.5703125" style="1970" customWidth="1"/>
    <col min="9211" max="9212" width="12.42578125" style="1970" customWidth="1"/>
    <col min="9213" max="9213" width="17.28515625" style="1970" customWidth="1"/>
    <col min="9214" max="9216" width="18.42578125" style="1970" customWidth="1"/>
    <col min="9217" max="9447" width="16.7109375" style="1970"/>
    <col min="9448" max="9448" width="6.5703125" style="1970" customWidth="1"/>
    <col min="9449" max="9449" width="41.85546875" style="1970" customWidth="1"/>
    <col min="9450" max="9450" width="9.85546875" style="1970" customWidth="1"/>
    <col min="9451" max="9451" width="1.85546875" style="1970" customWidth="1"/>
    <col min="9452" max="9452" width="11" style="1970" customWidth="1"/>
    <col min="9453" max="9453" width="5.28515625" style="1970" customWidth="1"/>
    <col min="9454" max="9454" width="11.5703125" style="1970" bestFit="1" customWidth="1"/>
    <col min="9455" max="9455" width="1.85546875" style="1970" customWidth="1"/>
    <col min="9456" max="9456" width="12.28515625" style="1970" customWidth="1"/>
    <col min="9457" max="9457" width="2.28515625" style="1970" customWidth="1"/>
    <col min="9458" max="9458" width="13.140625" style="1970" bestFit="1" customWidth="1"/>
    <col min="9459" max="9459" width="1.85546875" style="1970" customWidth="1"/>
    <col min="9460" max="9460" width="12.28515625" style="1970" customWidth="1"/>
    <col min="9461" max="9461" width="1.85546875" style="1970" customWidth="1"/>
    <col min="9462" max="9462" width="10.5703125" style="1970" customWidth="1"/>
    <col min="9463" max="9463" width="4.42578125" style="1970" customWidth="1"/>
    <col min="9464" max="9464" width="13.28515625" style="1970" bestFit="1" customWidth="1"/>
    <col min="9465" max="9465" width="1" style="1970" customWidth="1"/>
    <col min="9466" max="9466" width="12.5703125" style="1970" customWidth="1"/>
    <col min="9467" max="9468" width="12.42578125" style="1970" customWidth="1"/>
    <col min="9469" max="9469" width="17.28515625" style="1970" customWidth="1"/>
    <col min="9470" max="9472" width="18.42578125" style="1970" customWidth="1"/>
    <col min="9473" max="9703" width="16.7109375" style="1970"/>
    <col min="9704" max="9704" width="6.5703125" style="1970" customWidth="1"/>
    <col min="9705" max="9705" width="41.85546875" style="1970" customWidth="1"/>
    <col min="9706" max="9706" width="9.85546875" style="1970" customWidth="1"/>
    <col min="9707" max="9707" width="1.85546875" style="1970" customWidth="1"/>
    <col min="9708" max="9708" width="11" style="1970" customWidth="1"/>
    <col min="9709" max="9709" width="5.28515625" style="1970" customWidth="1"/>
    <col min="9710" max="9710" width="11.5703125" style="1970" bestFit="1" customWidth="1"/>
    <col min="9711" max="9711" width="1.85546875" style="1970" customWidth="1"/>
    <col min="9712" max="9712" width="12.28515625" style="1970" customWidth="1"/>
    <col min="9713" max="9713" width="2.28515625" style="1970" customWidth="1"/>
    <col min="9714" max="9714" width="13.140625" style="1970" bestFit="1" customWidth="1"/>
    <col min="9715" max="9715" width="1.85546875" style="1970" customWidth="1"/>
    <col min="9716" max="9716" width="12.28515625" style="1970" customWidth="1"/>
    <col min="9717" max="9717" width="1.85546875" style="1970" customWidth="1"/>
    <col min="9718" max="9718" width="10.5703125" style="1970" customWidth="1"/>
    <col min="9719" max="9719" width="4.42578125" style="1970" customWidth="1"/>
    <col min="9720" max="9720" width="13.28515625" style="1970" bestFit="1" customWidth="1"/>
    <col min="9721" max="9721" width="1" style="1970" customWidth="1"/>
    <col min="9722" max="9722" width="12.5703125" style="1970" customWidth="1"/>
    <col min="9723" max="9724" width="12.42578125" style="1970" customWidth="1"/>
    <col min="9725" max="9725" width="17.28515625" style="1970" customWidth="1"/>
    <col min="9726" max="9728" width="18.42578125" style="1970" customWidth="1"/>
    <col min="9729" max="9959" width="16.7109375" style="1970"/>
    <col min="9960" max="9960" width="6.5703125" style="1970" customWidth="1"/>
    <col min="9961" max="9961" width="41.85546875" style="1970" customWidth="1"/>
    <col min="9962" max="9962" width="9.85546875" style="1970" customWidth="1"/>
    <col min="9963" max="9963" width="1.85546875" style="1970" customWidth="1"/>
    <col min="9964" max="9964" width="11" style="1970" customWidth="1"/>
    <col min="9965" max="9965" width="5.28515625" style="1970" customWidth="1"/>
    <col min="9966" max="9966" width="11.5703125" style="1970" bestFit="1" customWidth="1"/>
    <col min="9967" max="9967" width="1.85546875" style="1970" customWidth="1"/>
    <col min="9968" max="9968" width="12.28515625" style="1970" customWidth="1"/>
    <col min="9969" max="9969" width="2.28515625" style="1970" customWidth="1"/>
    <col min="9970" max="9970" width="13.140625" style="1970" bestFit="1" customWidth="1"/>
    <col min="9971" max="9971" width="1.85546875" style="1970" customWidth="1"/>
    <col min="9972" max="9972" width="12.28515625" style="1970" customWidth="1"/>
    <col min="9973" max="9973" width="1.85546875" style="1970" customWidth="1"/>
    <col min="9974" max="9974" width="10.5703125" style="1970" customWidth="1"/>
    <col min="9975" max="9975" width="4.42578125" style="1970" customWidth="1"/>
    <col min="9976" max="9976" width="13.28515625" style="1970" bestFit="1" customWidth="1"/>
    <col min="9977" max="9977" width="1" style="1970" customWidth="1"/>
    <col min="9978" max="9978" width="12.5703125" style="1970" customWidth="1"/>
    <col min="9979" max="9980" width="12.42578125" style="1970" customWidth="1"/>
    <col min="9981" max="9981" width="17.28515625" style="1970" customWidth="1"/>
    <col min="9982" max="9984" width="18.42578125" style="1970" customWidth="1"/>
    <col min="9985" max="10215" width="16.7109375" style="1970"/>
    <col min="10216" max="10216" width="6.5703125" style="1970" customWidth="1"/>
    <col min="10217" max="10217" width="41.85546875" style="1970" customWidth="1"/>
    <col min="10218" max="10218" width="9.85546875" style="1970" customWidth="1"/>
    <col min="10219" max="10219" width="1.85546875" style="1970" customWidth="1"/>
    <col min="10220" max="10220" width="11" style="1970" customWidth="1"/>
    <col min="10221" max="10221" width="5.28515625" style="1970" customWidth="1"/>
    <col min="10222" max="10222" width="11.5703125" style="1970" bestFit="1" customWidth="1"/>
    <col min="10223" max="10223" width="1.85546875" style="1970" customWidth="1"/>
    <col min="10224" max="10224" width="12.28515625" style="1970" customWidth="1"/>
    <col min="10225" max="10225" width="2.28515625" style="1970" customWidth="1"/>
    <col min="10226" max="10226" width="13.140625" style="1970" bestFit="1" customWidth="1"/>
    <col min="10227" max="10227" width="1.85546875" style="1970" customWidth="1"/>
    <col min="10228" max="10228" width="12.28515625" style="1970" customWidth="1"/>
    <col min="10229" max="10229" width="1.85546875" style="1970" customWidth="1"/>
    <col min="10230" max="10230" width="10.5703125" style="1970" customWidth="1"/>
    <col min="10231" max="10231" width="4.42578125" style="1970" customWidth="1"/>
    <col min="10232" max="10232" width="13.28515625" style="1970" bestFit="1" customWidth="1"/>
    <col min="10233" max="10233" width="1" style="1970" customWidth="1"/>
    <col min="10234" max="10234" width="12.5703125" style="1970" customWidth="1"/>
    <col min="10235" max="10236" width="12.42578125" style="1970" customWidth="1"/>
    <col min="10237" max="10237" width="17.28515625" style="1970" customWidth="1"/>
    <col min="10238" max="10240" width="18.42578125" style="1970" customWidth="1"/>
    <col min="10241" max="10471" width="16.7109375" style="1970"/>
    <col min="10472" max="10472" width="6.5703125" style="1970" customWidth="1"/>
    <col min="10473" max="10473" width="41.85546875" style="1970" customWidth="1"/>
    <col min="10474" max="10474" width="9.85546875" style="1970" customWidth="1"/>
    <col min="10475" max="10475" width="1.85546875" style="1970" customWidth="1"/>
    <col min="10476" max="10476" width="11" style="1970" customWidth="1"/>
    <col min="10477" max="10477" width="5.28515625" style="1970" customWidth="1"/>
    <col min="10478" max="10478" width="11.5703125" style="1970" bestFit="1" customWidth="1"/>
    <col min="10479" max="10479" width="1.85546875" style="1970" customWidth="1"/>
    <col min="10480" max="10480" width="12.28515625" style="1970" customWidth="1"/>
    <col min="10481" max="10481" width="2.28515625" style="1970" customWidth="1"/>
    <col min="10482" max="10482" width="13.140625" style="1970" bestFit="1" customWidth="1"/>
    <col min="10483" max="10483" width="1.85546875" style="1970" customWidth="1"/>
    <col min="10484" max="10484" width="12.28515625" style="1970" customWidth="1"/>
    <col min="10485" max="10485" width="1.85546875" style="1970" customWidth="1"/>
    <col min="10486" max="10486" width="10.5703125" style="1970" customWidth="1"/>
    <col min="10487" max="10487" width="4.42578125" style="1970" customWidth="1"/>
    <col min="10488" max="10488" width="13.28515625" style="1970" bestFit="1" customWidth="1"/>
    <col min="10489" max="10489" width="1" style="1970" customWidth="1"/>
    <col min="10490" max="10490" width="12.5703125" style="1970" customWidth="1"/>
    <col min="10491" max="10492" width="12.42578125" style="1970" customWidth="1"/>
    <col min="10493" max="10493" width="17.28515625" style="1970" customWidth="1"/>
    <col min="10494" max="10496" width="18.42578125" style="1970" customWidth="1"/>
    <col min="10497" max="10727" width="16.7109375" style="1970"/>
    <col min="10728" max="10728" width="6.5703125" style="1970" customWidth="1"/>
    <col min="10729" max="10729" width="41.85546875" style="1970" customWidth="1"/>
    <col min="10730" max="10730" width="9.85546875" style="1970" customWidth="1"/>
    <col min="10731" max="10731" width="1.85546875" style="1970" customWidth="1"/>
    <col min="10732" max="10732" width="11" style="1970" customWidth="1"/>
    <col min="10733" max="10733" width="5.28515625" style="1970" customWidth="1"/>
    <col min="10734" max="10734" width="11.5703125" style="1970" bestFit="1" customWidth="1"/>
    <col min="10735" max="10735" width="1.85546875" style="1970" customWidth="1"/>
    <col min="10736" max="10736" width="12.28515625" style="1970" customWidth="1"/>
    <col min="10737" max="10737" width="2.28515625" style="1970" customWidth="1"/>
    <col min="10738" max="10738" width="13.140625" style="1970" bestFit="1" customWidth="1"/>
    <col min="10739" max="10739" width="1.85546875" style="1970" customWidth="1"/>
    <col min="10740" max="10740" width="12.28515625" style="1970" customWidth="1"/>
    <col min="10741" max="10741" width="1.85546875" style="1970" customWidth="1"/>
    <col min="10742" max="10742" width="10.5703125" style="1970" customWidth="1"/>
    <col min="10743" max="10743" width="4.42578125" style="1970" customWidth="1"/>
    <col min="10744" max="10744" width="13.28515625" style="1970" bestFit="1" customWidth="1"/>
    <col min="10745" max="10745" width="1" style="1970" customWidth="1"/>
    <col min="10746" max="10746" width="12.5703125" style="1970" customWidth="1"/>
    <col min="10747" max="10748" width="12.42578125" style="1970" customWidth="1"/>
    <col min="10749" max="10749" width="17.28515625" style="1970" customWidth="1"/>
    <col min="10750" max="10752" width="18.42578125" style="1970" customWidth="1"/>
    <col min="10753" max="10983" width="16.7109375" style="1970"/>
    <col min="10984" max="10984" width="6.5703125" style="1970" customWidth="1"/>
    <col min="10985" max="10985" width="41.85546875" style="1970" customWidth="1"/>
    <col min="10986" max="10986" width="9.85546875" style="1970" customWidth="1"/>
    <col min="10987" max="10987" width="1.85546875" style="1970" customWidth="1"/>
    <col min="10988" max="10988" width="11" style="1970" customWidth="1"/>
    <col min="10989" max="10989" width="5.28515625" style="1970" customWidth="1"/>
    <col min="10990" max="10990" width="11.5703125" style="1970" bestFit="1" customWidth="1"/>
    <col min="10991" max="10991" width="1.85546875" style="1970" customWidth="1"/>
    <col min="10992" max="10992" width="12.28515625" style="1970" customWidth="1"/>
    <col min="10993" max="10993" width="2.28515625" style="1970" customWidth="1"/>
    <col min="10994" max="10994" width="13.140625" style="1970" bestFit="1" customWidth="1"/>
    <col min="10995" max="10995" width="1.85546875" style="1970" customWidth="1"/>
    <col min="10996" max="10996" width="12.28515625" style="1970" customWidth="1"/>
    <col min="10997" max="10997" width="1.85546875" style="1970" customWidth="1"/>
    <col min="10998" max="10998" width="10.5703125" style="1970" customWidth="1"/>
    <col min="10999" max="10999" width="4.42578125" style="1970" customWidth="1"/>
    <col min="11000" max="11000" width="13.28515625" style="1970" bestFit="1" customWidth="1"/>
    <col min="11001" max="11001" width="1" style="1970" customWidth="1"/>
    <col min="11002" max="11002" width="12.5703125" style="1970" customWidth="1"/>
    <col min="11003" max="11004" width="12.42578125" style="1970" customWidth="1"/>
    <col min="11005" max="11005" width="17.28515625" style="1970" customWidth="1"/>
    <col min="11006" max="11008" width="18.42578125" style="1970" customWidth="1"/>
    <col min="11009" max="11239" width="16.7109375" style="1970"/>
    <col min="11240" max="11240" width="6.5703125" style="1970" customWidth="1"/>
    <col min="11241" max="11241" width="41.85546875" style="1970" customWidth="1"/>
    <col min="11242" max="11242" width="9.85546875" style="1970" customWidth="1"/>
    <col min="11243" max="11243" width="1.85546875" style="1970" customWidth="1"/>
    <col min="11244" max="11244" width="11" style="1970" customWidth="1"/>
    <col min="11245" max="11245" width="5.28515625" style="1970" customWidth="1"/>
    <col min="11246" max="11246" width="11.5703125" style="1970" bestFit="1" customWidth="1"/>
    <col min="11247" max="11247" width="1.85546875" style="1970" customWidth="1"/>
    <col min="11248" max="11248" width="12.28515625" style="1970" customWidth="1"/>
    <col min="11249" max="11249" width="2.28515625" style="1970" customWidth="1"/>
    <col min="11250" max="11250" width="13.140625" style="1970" bestFit="1" customWidth="1"/>
    <col min="11251" max="11251" width="1.85546875" style="1970" customWidth="1"/>
    <col min="11252" max="11252" width="12.28515625" style="1970" customWidth="1"/>
    <col min="11253" max="11253" width="1.85546875" style="1970" customWidth="1"/>
    <col min="11254" max="11254" width="10.5703125" style="1970" customWidth="1"/>
    <col min="11255" max="11255" width="4.42578125" style="1970" customWidth="1"/>
    <col min="11256" max="11256" width="13.28515625" style="1970" bestFit="1" customWidth="1"/>
    <col min="11257" max="11257" width="1" style="1970" customWidth="1"/>
    <col min="11258" max="11258" width="12.5703125" style="1970" customWidth="1"/>
    <col min="11259" max="11260" width="12.42578125" style="1970" customWidth="1"/>
    <col min="11261" max="11261" width="17.28515625" style="1970" customWidth="1"/>
    <col min="11262" max="11264" width="18.42578125" style="1970" customWidth="1"/>
    <col min="11265" max="11495" width="16.7109375" style="1970"/>
    <col min="11496" max="11496" width="6.5703125" style="1970" customWidth="1"/>
    <col min="11497" max="11497" width="41.85546875" style="1970" customWidth="1"/>
    <col min="11498" max="11498" width="9.85546875" style="1970" customWidth="1"/>
    <col min="11499" max="11499" width="1.85546875" style="1970" customWidth="1"/>
    <col min="11500" max="11500" width="11" style="1970" customWidth="1"/>
    <col min="11501" max="11501" width="5.28515625" style="1970" customWidth="1"/>
    <col min="11502" max="11502" width="11.5703125" style="1970" bestFit="1" customWidth="1"/>
    <col min="11503" max="11503" width="1.85546875" style="1970" customWidth="1"/>
    <col min="11504" max="11504" width="12.28515625" style="1970" customWidth="1"/>
    <col min="11505" max="11505" width="2.28515625" style="1970" customWidth="1"/>
    <col min="11506" max="11506" width="13.140625" style="1970" bestFit="1" customWidth="1"/>
    <col min="11507" max="11507" width="1.85546875" style="1970" customWidth="1"/>
    <col min="11508" max="11508" width="12.28515625" style="1970" customWidth="1"/>
    <col min="11509" max="11509" width="1.85546875" style="1970" customWidth="1"/>
    <col min="11510" max="11510" width="10.5703125" style="1970" customWidth="1"/>
    <col min="11511" max="11511" width="4.42578125" style="1970" customWidth="1"/>
    <col min="11512" max="11512" width="13.28515625" style="1970" bestFit="1" customWidth="1"/>
    <col min="11513" max="11513" width="1" style="1970" customWidth="1"/>
    <col min="11514" max="11514" width="12.5703125" style="1970" customWidth="1"/>
    <col min="11515" max="11516" width="12.42578125" style="1970" customWidth="1"/>
    <col min="11517" max="11517" width="17.28515625" style="1970" customWidth="1"/>
    <col min="11518" max="11520" width="18.42578125" style="1970" customWidth="1"/>
    <col min="11521" max="11751" width="16.7109375" style="1970"/>
    <col min="11752" max="11752" width="6.5703125" style="1970" customWidth="1"/>
    <col min="11753" max="11753" width="41.85546875" style="1970" customWidth="1"/>
    <col min="11754" max="11754" width="9.85546875" style="1970" customWidth="1"/>
    <col min="11755" max="11755" width="1.85546875" style="1970" customWidth="1"/>
    <col min="11756" max="11756" width="11" style="1970" customWidth="1"/>
    <col min="11757" max="11757" width="5.28515625" style="1970" customWidth="1"/>
    <col min="11758" max="11758" width="11.5703125" style="1970" bestFit="1" customWidth="1"/>
    <col min="11759" max="11759" width="1.85546875" style="1970" customWidth="1"/>
    <col min="11760" max="11760" width="12.28515625" style="1970" customWidth="1"/>
    <col min="11761" max="11761" width="2.28515625" style="1970" customWidth="1"/>
    <col min="11762" max="11762" width="13.140625" style="1970" bestFit="1" customWidth="1"/>
    <col min="11763" max="11763" width="1.85546875" style="1970" customWidth="1"/>
    <col min="11764" max="11764" width="12.28515625" style="1970" customWidth="1"/>
    <col min="11765" max="11765" width="1.85546875" style="1970" customWidth="1"/>
    <col min="11766" max="11766" width="10.5703125" style="1970" customWidth="1"/>
    <col min="11767" max="11767" width="4.42578125" style="1970" customWidth="1"/>
    <col min="11768" max="11768" width="13.28515625" style="1970" bestFit="1" customWidth="1"/>
    <col min="11769" max="11769" width="1" style="1970" customWidth="1"/>
    <col min="11770" max="11770" width="12.5703125" style="1970" customWidth="1"/>
    <col min="11771" max="11772" width="12.42578125" style="1970" customWidth="1"/>
    <col min="11773" max="11773" width="17.28515625" style="1970" customWidth="1"/>
    <col min="11774" max="11776" width="18.42578125" style="1970" customWidth="1"/>
    <col min="11777" max="12007" width="16.7109375" style="1970"/>
    <col min="12008" max="12008" width="6.5703125" style="1970" customWidth="1"/>
    <col min="12009" max="12009" width="41.85546875" style="1970" customWidth="1"/>
    <col min="12010" max="12010" width="9.85546875" style="1970" customWidth="1"/>
    <col min="12011" max="12011" width="1.85546875" style="1970" customWidth="1"/>
    <col min="12012" max="12012" width="11" style="1970" customWidth="1"/>
    <col min="12013" max="12013" width="5.28515625" style="1970" customWidth="1"/>
    <col min="12014" max="12014" width="11.5703125" style="1970" bestFit="1" customWidth="1"/>
    <col min="12015" max="12015" width="1.85546875" style="1970" customWidth="1"/>
    <col min="12016" max="12016" width="12.28515625" style="1970" customWidth="1"/>
    <col min="12017" max="12017" width="2.28515625" style="1970" customWidth="1"/>
    <col min="12018" max="12018" width="13.140625" style="1970" bestFit="1" customWidth="1"/>
    <col min="12019" max="12019" width="1.85546875" style="1970" customWidth="1"/>
    <col min="12020" max="12020" width="12.28515625" style="1970" customWidth="1"/>
    <col min="12021" max="12021" width="1.85546875" style="1970" customWidth="1"/>
    <col min="12022" max="12022" width="10.5703125" style="1970" customWidth="1"/>
    <col min="12023" max="12023" width="4.42578125" style="1970" customWidth="1"/>
    <col min="12024" max="12024" width="13.28515625" style="1970" bestFit="1" customWidth="1"/>
    <col min="12025" max="12025" width="1" style="1970" customWidth="1"/>
    <col min="12026" max="12026" width="12.5703125" style="1970" customWidth="1"/>
    <col min="12027" max="12028" width="12.42578125" style="1970" customWidth="1"/>
    <col min="12029" max="12029" width="17.28515625" style="1970" customWidth="1"/>
    <col min="12030" max="12032" width="18.42578125" style="1970" customWidth="1"/>
    <col min="12033" max="12263" width="16.7109375" style="1970"/>
    <col min="12264" max="12264" width="6.5703125" style="1970" customWidth="1"/>
    <col min="12265" max="12265" width="41.85546875" style="1970" customWidth="1"/>
    <col min="12266" max="12266" width="9.85546875" style="1970" customWidth="1"/>
    <col min="12267" max="12267" width="1.85546875" style="1970" customWidth="1"/>
    <col min="12268" max="12268" width="11" style="1970" customWidth="1"/>
    <col min="12269" max="12269" width="5.28515625" style="1970" customWidth="1"/>
    <col min="12270" max="12270" width="11.5703125" style="1970" bestFit="1" customWidth="1"/>
    <col min="12271" max="12271" width="1.85546875" style="1970" customWidth="1"/>
    <col min="12272" max="12272" width="12.28515625" style="1970" customWidth="1"/>
    <col min="12273" max="12273" width="2.28515625" style="1970" customWidth="1"/>
    <col min="12274" max="12274" width="13.140625" style="1970" bestFit="1" customWidth="1"/>
    <col min="12275" max="12275" width="1.85546875" style="1970" customWidth="1"/>
    <col min="12276" max="12276" width="12.28515625" style="1970" customWidth="1"/>
    <col min="12277" max="12277" width="1.85546875" style="1970" customWidth="1"/>
    <col min="12278" max="12278" width="10.5703125" style="1970" customWidth="1"/>
    <col min="12279" max="12279" width="4.42578125" style="1970" customWidth="1"/>
    <col min="12280" max="12280" width="13.28515625" style="1970" bestFit="1" customWidth="1"/>
    <col min="12281" max="12281" width="1" style="1970" customWidth="1"/>
    <col min="12282" max="12282" width="12.5703125" style="1970" customWidth="1"/>
    <col min="12283" max="12284" width="12.42578125" style="1970" customWidth="1"/>
    <col min="12285" max="12285" width="17.28515625" style="1970" customWidth="1"/>
    <col min="12286" max="12288" width="18.42578125" style="1970" customWidth="1"/>
    <col min="12289" max="12519" width="16.7109375" style="1970"/>
    <col min="12520" max="12520" width="6.5703125" style="1970" customWidth="1"/>
    <col min="12521" max="12521" width="41.85546875" style="1970" customWidth="1"/>
    <col min="12522" max="12522" width="9.85546875" style="1970" customWidth="1"/>
    <col min="12523" max="12523" width="1.85546875" style="1970" customWidth="1"/>
    <col min="12524" max="12524" width="11" style="1970" customWidth="1"/>
    <col min="12525" max="12525" width="5.28515625" style="1970" customWidth="1"/>
    <col min="12526" max="12526" width="11.5703125" style="1970" bestFit="1" customWidth="1"/>
    <col min="12527" max="12527" width="1.85546875" style="1970" customWidth="1"/>
    <col min="12528" max="12528" width="12.28515625" style="1970" customWidth="1"/>
    <col min="12529" max="12529" width="2.28515625" style="1970" customWidth="1"/>
    <col min="12530" max="12530" width="13.140625" style="1970" bestFit="1" customWidth="1"/>
    <col min="12531" max="12531" width="1.85546875" style="1970" customWidth="1"/>
    <col min="12532" max="12532" width="12.28515625" style="1970" customWidth="1"/>
    <col min="12533" max="12533" width="1.85546875" style="1970" customWidth="1"/>
    <col min="12534" max="12534" width="10.5703125" style="1970" customWidth="1"/>
    <col min="12535" max="12535" width="4.42578125" style="1970" customWidth="1"/>
    <col min="12536" max="12536" width="13.28515625" style="1970" bestFit="1" customWidth="1"/>
    <col min="12537" max="12537" width="1" style="1970" customWidth="1"/>
    <col min="12538" max="12538" width="12.5703125" style="1970" customWidth="1"/>
    <col min="12539" max="12540" width="12.42578125" style="1970" customWidth="1"/>
    <col min="12541" max="12541" width="17.28515625" style="1970" customWidth="1"/>
    <col min="12542" max="12544" width="18.42578125" style="1970" customWidth="1"/>
    <col min="12545" max="12775" width="16.7109375" style="1970"/>
    <col min="12776" max="12776" width="6.5703125" style="1970" customWidth="1"/>
    <col min="12777" max="12777" width="41.85546875" style="1970" customWidth="1"/>
    <col min="12778" max="12778" width="9.85546875" style="1970" customWidth="1"/>
    <col min="12779" max="12779" width="1.85546875" style="1970" customWidth="1"/>
    <col min="12780" max="12780" width="11" style="1970" customWidth="1"/>
    <col min="12781" max="12781" width="5.28515625" style="1970" customWidth="1"/>
    <col min="12782" max="12782" width="11.5703125" style="1970" bestFit="1" customWidth="1"/>
    <col min="12783" max="12783" width="1.85546875" style="1970" customWidth="1"/>
    <col min="12784" max="12784" width="12.28515625" style="1970" customWidth="1"/>
    <col min="12785" max="12785" width="2.28515625" style="1970" customWidth="1"/>
    <col min="12786" max="12786" width="13.140625" style="1970" bestFit="1" customWidth="1"/>
    <col min="12787" max="12787" width="1.85546875" style="1970" customWidth="1"/>
    <col min="12788" max="12788" width="12.28515625" style="1970" customWidth="1"/>
    <col min="12789" max="12789" width="1.85546875" style="1970" customWidth="1"/>
    <col min="12790" max="12790" width="10.5703125" style="1970" customWidth="1"/>
    <col min="12791" max="12791" width="4.42578125" style="1970" customWidth="1"/>
    <col min="12792" max="12792" width="13.28515625" style="1970" bestFit="1" customWidth="1"/>
    <col min="12793" max="12793" width="1" style="1970" customWidth="1"/>
    <col min="12794" max="12794" width="12.5703125" style="1970" customWidth="1"/>
    <col min="12795" max="12796" width="12.42578125" style="1970" customWidth="1"/>
    <col min="12797" max="12797" width="17.28515625" style="1970" customWidth="1"/>
    <col min="12798" max="12800" width="18.42578125" style="1970" customWidth="1"/>
    <col min="12801" max="13031" width="16.7109375" style="1970"/>
    <col min="13032" max="13032" width="6.5703125" style="1970" customWidth="1"/>
    <col min="13033" max="13033" width="41.85546875" style="1970" customWidth="1"/>
    <col min="13034" max="13034" width="9.85546875" style="1970" customWidth="1"/>
    <col min="13035" max="13035" width="1.85546875" style="1970" customWidth="1"/>
    <col min="13036" max="13036" width="11" style="1970" customWidth="1"/>
    <col min="13037" max="13037" width="5.28515625" style="1970" customWidth="1"/>
    <col min="13038" max="13038" width="11.5703125" style="1970" bestFit="1" customWidth="1"/>
    <col min="13039" max="13039" width="1.85546875" style="1970" customWidth="1"/>
    <col min="13040" max="13040" width="12.28515625" style="1970" customWidth="1"/>
    <col min="13041" max="13041" width="2.28515625" style="1970" customWidth="1"/>
    <col min="13042" max="13042" width="13.140625" style="1970" bestFit="1" customWidth="1"/>
    <col min="13043" max="13043" width="1.85546875" style="1970" customWidth="1"/>
    <col min="13044" max="13044" width="12.28515625" style="1970" customWidth="1"/>
    <col min="13045" max="13045" width="1.85546875" style="1970" customWidth="1"/>
    <col min="13046" max="13046" width="10.5703125" style="1970" customWidth="1"/>
    <col min="13047" max="13047" width="4.42578125" style="1970" customWidth="1"/>
    <col min="13048" max="13048" width="13.28515625" style="1970" bestFit="1" customWidth="1"/>
    <col min="13049" max="13049" width="1" style="1970" customWidth="1"/>
    <col min="13050" max="13050" width="12.5703125" style="1970" customWidth="1"/>
    <col min="13051" max="13052" width="12.42578125" style="1970" customWidth="1"/>
    <col min="13053" max="13053" width="17.28515625" style="1970" customWidth="1"/>
    <col min="13054" max="13056" width="18.42578125" style="1970" customWidth="1"/>
    <col min="13057" max="13287" width="16.7109375" style="1970"/>
    <col min="13288" max="13288" width="6.5703125" style="1970" customWidth="1"/>
    <col min="13289" max="13289" width="41.85546875" style="1970" customWidth="1"/>
    <col min="13290" max="13290" width="9.85546875" style="1970" customWidth="1"/>
    <col min="13291" max="13291" width="1.85546875" style="1970" customWidth="1"/>
    <col min="13292" max="13292" width="11" style="1970" customWidth="1"/>
    <col min="13293" max="13293" width="5.28515625" style="1970" customWidth="1"/>
    <col min="13294" max="13294" width="11.5703125" style="1970" bestFit="1" customWidth="1"/>
    <col min="13295" max="13295" width="1.85546875" style="1970" customWidth="1"/>
    <col min="13296" max="13296" width="12.28515625" style="1970" customWidth="1"/>
    <col min="13297" max="13297" width="2.28515625" style="1970" customWidth="1"/>
    <col min="13298" max="13298" width="13.140625" style="1970" bestFit="1" customWidth="1"/>
    <col min="13299" max="13299" width="1.85546875" style="1970" customWidth="1"/>
    <col min="13300" max="13300" width="12.28515625" style="1970" customWidth="1"/>
    <col min="13301" max="13301" width="1.85546875" style="1970" customWidth="1"/>
    <col min="13302" max="13302" width="10.5703125" style="1970" customWidth="1"/>
    <col min="13303" max="13303" width="4.42578125" style="1970" customWidth="1"/>
    <col min="13304" max="13304" width="13.28515625" style="1970" bestFit="1" customWidth="1"/>
    <col min="13305" max="13305" width="1" style="1970" customWidth="1"/>
    <col min="13306" max="13306" width="12.5703125" style="1970" customWidth="1"/>
    <col min="13307" max="13308" width="12.42578125" style="1970" customWidth="1"/>
    <col min="13309" max="13309" width="17.28515625" style="1970" customWidth="1"/>
    <col min="13310" max="13312" width="18.42578125" style="1970" customWidth="1"/>
    <col min="13313" max="13543" width="16.7109375" style="1970"/>
    <col min="13544" max="13544" width="6.5703125" style="1970" customWidth="1"/>
    <col min="13545" max="13545" width="41.85546875" style="1970" customWidth="1"/>
    <col min="13546" max="13546" width="9.85546875" style="1970" customWidth="1"/>
    <col min="13547" max="13547" width="1.85546875" style="1970" customWidth="1"/>
    <col min="13548" max="13548" width="11" style="1970" customWidth="1"/>
    <col min="13549" max="13549" width="5.28515625" style="1970" customWidth="1"/>
    <col min="13550" max="13550" width="11.5703125" style="1970" bestFit="1" customWidth="1"/>
    <col min="13551" max="13551" width="1.85546875" style="1970" customWidth="1"/>
    <col min="13552" max="13552" width="12.28515625" style="1970" customWidth="1"/>
    <col min="13553" max="13553" width="2.28515625" style="1970" customWidth="1"/>
    <col min="13554" max="13554" width="13.140625" style="1970" bestFit="1" customWidth="1"/>
    <col min="13555" max="13555" width="1.85546875" style="1970" customWidth="1"/>
    <col min="13556" max="13556" width="12.28515625" style="1970" customWidth="1"/>
    <col min="13557" max="13557" width="1.85546875" style="1970" customWidth="1"/>
    <col min="13558" max="13558" width="10.5703125" style="1970" customWidth="1"/>
    <col min="13559" max="13559" width="4.42578125" style="1970" customWidth="1"/>
    <col min="13560" max="13560" width="13.28515625" style="1970" bestFit="1" customWidth="1"/>
    <col min="13561" max="13561" width="1" style="1970" customWidth="1"/>
    <col min="13562" max="13562" width="12.5703125" style="1970" customWidth="1"/>
    <col min="13563" max="13564" width="12.42578125" style="1970" customWidth="1"/>
    <col min="13565" max="13565" width="17.28515625" style="1970" customWidth="1"/>
    <col min="13566" max="13568" width="18.42578125" style="1970" customWidth="1"/>
    <col min="13569" max="13799" width="16.7109375" style="1970"/>
    <col min="13800" max="13800" width="6.5703125" style="1970" customWidth="1"/>
    <col min="13801" max="13801" width="41.85546875" style="1970" customWidth="1"/>
    <col min="13802" max="13802" width="9.85546875" style="1970" customWidth="1"/>
    <col min="13803" max="13803" width="1.85546875" style="1970" customWidth="1"/>
    <col min="13804" max="13804" width="11" style="1970" customWidth="1"/>
    <col min="13805" max="13805" width="5.28515625" style="1970" customWidth="1"/>
    <col min="13806" max="13806" width="11.5703125" style="1970" bestFit="1" customWidth="1"/>
    <col min="13807" max="13807" width="1.85546875" style="1970" customWidth="1"/>
    <col min="13808" max="13808" width="12.28515625" style="1970" customWidth="1"/>
    <col min="13809" max="13809" width="2.28515625" style="1970" customWidth="1"/>
    <col min="13810" max="13810" width="13.140625" style="1970" bestFit="1" customWidth="1"/>
    <col min="13811" max="13811" width="1.85546875" style="1970" customWidth="1"/>
    <col min="13812" max="13812" width="12.28515625" style="1970" customWidth="1"/>
    <col min="13813" max="13813" width="1.85546875" style="1970" customWidth="1"/>
    <col min="13814" max="13814" width="10.5703125" style="1970" customWidth="1"/>
    <col min="13815" max="13815" width="4.42578125" style="1970" customWidth="1"/>
    <col min="13816" max="13816" width="13.28515625" style="1970" bestFit="1" customWidth="1"/>
    <col min="13817" max="13817" width="1" style="1970" customWidth="1"/>
    <col min="13818" max="13818" width="12.5703125" style="1970" customWidth="1"/>
    <col min="13819" max="13820" width="12.42578125" style="1970" customWidth="1"/>
    <col min="13821" max="13821" width="17.28515625" style="1970" customWidth="1"/>
    <col min="13822" max="13824" width="18.42578125" style="1970" customWidth="1"/>
    <col min="13825" max="14055" width="16.7109375" style="1970"/>
    <col min="14056" max="14056" width="6.5703125" style="1970" customWidth="1"/>
    <col min="14057" max="14057" width="41.85546875" style="1970" customWidth="1"/>
    <col min="14058" max="14058" width="9.85546875" style="1970" customWidth="1"/>
    <col min="14059" max="14059" width="1.85546875" style="1970" customWidth="1"/>
    <col min="14060" max="14060" width="11" style="1970" customWidth="1"/>
    <col min="14061" max="14061" width="5.28515625" style="1970" customWidth="1"/>
    <col min="14062" max="14062" width="11.5703125" style="1970" bestFit="1" customWidth="1"/>
    <col min="14063" max="14063" width="1.85546875" style="1970" customWidth="1"/>
    <col min="14064" max="14064" width="12.28515625" style="1970" customWidth="1"/>
    <col min="14065" max="14065" width="2.28515625" style="1970" customWidth="1"/>
    <col min="14066" max="14066" width="13.140625" style="1970" bestFit="1" customWidth="1"/>
    <col min="14067" max="14067" width="1.85546875" style="1970" customWidth="1"/>
    <col min="14068" max="14068" width="12.28515625" style="1970" customWidth="1"/>
    <col min="14069" max="14069" width="1.85546875" style="1970" customWidth="1"/>
    <col min="14070" max="14070" width="10.5703125" style="1970" customWidth="1"/>
    <col min="14071" max="14071" width="4.42578125" style="1970" customWidth="1"/>
    <col min="14072" max="14072" width="13.28515625" style="1970" bestFit="1" customWidth="1"/>
    <col min="14073" max="14073" width="1" style="1970" customWidth="1"/>
    <col min="14074" max="14074" width="12.5703125" style="1970" customWidth="1"/>
    <col min="14075" max="14076" width="12.42578125" style="1970" customWidth="1"/>
    <col min="14077" max="14077" width="17.28515625" style="1970" customWidth="1"/>
    <col min="14078" max="14080" width="18.42578125" style="1970" customWidth="1"/>
    <col min="14081" max="14311" width="16.7109375" style="1970"/>
    <col min="14312" max="14312" width="6.5703125" style="1970" customWidth="1"/>
    <col min="14313" max="14313" width="41.85546875" style="1970" customWidth="1"/>
    <col min="14314" max="14314" width="9.85546875" style="1970" customWidth="1"/>
    <col min="14315" max="14315" width="1.85546875" style="1970" customWidth="1"/>
    <col min="14316" max="14316" width="11" style="1970" customWidth="1"/>
    <col min="14317" max="14317" width="5.28515625" style="1970" customWidth="1"/>
    <col min="14318" max="14318" width="11.5703125" style="1970" bestFit="1" customWidth="1"/>
    <col min="14319" max="14319" width="1.85546875" style="1970" customWidth="1"/>
    <col min="14320" max="14320" width="12.28515625" style="1970" customWidth="1"/>
    <col min="14321" max="14321" width="2.28515625" style="1970" customWidth="1"/>
    <col min="14322" max="14322" width="13.140625" style="1970" bestFit="1" customWidth="1"/>
    <col min="14323" max="14323" width="1.85546875" style="1970" customWidth="1"/>
    <col min="14324" max="14324" width="12.28515625" style="1970" customWidth="1"/>
    <col min="14325" max="14325" width="1.85546875" style="1970" customWidth="1"/>
    <col min="14326" max="14326" width="10.5703125" style="1970" customWidth="1"/>
    <col min="14327" max="14327" width="4.42578125" style="1970" customWidth="1"/>
    <col min="14328" max="14328" width="13.28515625" style="1970" bestFit="1" customWidth="1"/>
    <col min="14329" max="14329" width="1" style="1970" customWidth="1"/>
    <col min="14330" max="14330" width="12.5703125" style="1970" customWidth="1"/>
    <col min="14331" max="14332" width="12.42578125" style="1970" customWidth="1"/>
    <col min="14333" max="14333" width="17.28515625" style="1970" customWidth="1"/>
    <col min="14334" max="14336" width="18.42578125" style="1970" customWidth="1"/>
    <col min="14337" max="14567" width="16.7109375" style="1970"/>
    <col min="14568" max="14568" width="6.5703125" style="1970" customWidth="1"/>
    <col min="14569" max="14569" width="41.85546875" style="1970" customWidth="1"/>
    <col min="14570" max="14570" width="9.85546875" style="1970" customWidth="1"/>
    <col min="14571" max="14571" width="1.85546875" style="1970" customWidth="1"/>
    <col min="14572" max="14572" width="11" style="1970" customWidth="1"/>
    <col min="14573" max="14573" width="5.28515625" style="1970" customWidth="1"/>
    <col min="14574" max="14574" width="11.5703125" style="1970" bestFit="1" customWidth="1"/>
    <col min="14575" max="14575" width="1.85546875" style="1970" customWidth="1"/>
    <col min="14576" max="14576" width="12.28515625" style="1970" customWidth="1"/>
    <col min="14577" max="14577" width="2.28515625" style="1970" customWidth="1"/>
    <col min="14578" max="14578" width="13.140625" style="1970" bestFit="1" customWidth="1"/>
    <col min="14579" max="14579" width="1.85546875" style="1970" customWidth="1"/>
    <col min="14580" max="14580" width="12.28515625" style="1970" customWidth="1"/>
    <col min="14581" max="14581" width="1.85546875" style="1970" customWidth="1"/>
    <col min="14582" max="14582" width="10.5703125" style="1970" customWidth="1"/>
    <col min="14583" max="14583" width="4.42578125" style="1970" customWidth="1"/>
    <col min="14584" max="14584" width="13.28515625" style="1970" bestFit="1" customWidth="1"/>
    <col min="14585" max="14585" width="1" style="1970" customWidth="1"/>
    <col min="14586" max="14586" width="12.5703125" style="1970" customWidth="1"/>
    <col min="14587" max="14588" width="12.42578125" style="1970" customWidth="1"/>
    <col min="14589" max="14589" width="17.28515625" style="1970" customWidth="1"/>
    <col min="14590" max="14592" width="18.42578125" style="1970" customWidth="1"/>
    <col min="14593" max="14823" width="16.7109375" style="1970"/>
    <col min="14824" max="14824" width="6.5703125" style="1970" customWidth="1"/>
    <col min="14825" max="14825" width="41.85546875" style="1970" customWidth="1"/>
    <col min="14826" max="14826" width="9.85546875" style="1970" customWidth="1"/>
    <col min="14827" max="14827" width="1.85546875" style="1970" customWidth="1"/>
    <col min="14828" max="14828" width="11" style="1970" customWidth="1"/>
    <col min="14829" max="14829" width="5.28515625" style="1970" customWidth="1"/>
    <col min="14830" max="14830" width="11.5703125" style="1970" bestFit="1" customWidth="1"/>
    <col min="14831" max="14831" width="1.85546875" style="1970" customWidth="1"/>
    <col min="14832" max="14832" width="12.28515625" style="1970" customWidth="1"/>
    <col min="14833" max="14833" width="2.28515625" style="1970" customWidth="1"/>
    <col min="14834" max="14834" width="13.140625" style="1970" bestFit="1" customWidth="1"/>
    <col min="14835" max="14835" width="1.85546875" style="1970" customWidth="1"/>
    <col min="14836" max="14836" width="12.28515625" style="1970" customWidth="1"/>
    <col min="14837" max="14837" width="1.85546875" style="1970" customWidth="1"/>
    <col min="14838" max="14838" width="10.5703125" style="1970" customWidth="1"/>
    <col min="14839" max="14839" width="4.42578125" style="1970" customWidth="1"/>
    <col min="14840" max="14840" width="13.28515625" style="1970" bestFit="1" customWidth="1"/>
    <col min="14841" max="14841" width="1" style="1970" customWidth="1"/>
    <col min="14842" max="14842" width="12.5703125" style="1970" customWidth="1"/>
    <col min="14843" max="14844" width="12.42578125" style="1970" customWidth="1"/>
    <col min="14845" max="14845" width="17.28515625" style="1970" customWidth="1"/>
    <col min="14846" max="14848" width="18.42578125" style="1970" customWidth="1"/>
    <col min="14849" max="15079" width="16.7109375" style="1970"/>
    <col min="15080" max="15080" width="6.5703125" style="1970" customWidth="1"/>
    <col min="15081" max="15081" width="41.85546875" style="1970" customWidth="1"/>
    <col min="15082" max="15082" width="9.85546875" style="1970" customWidth="1"/>
    <col min="15083" max="15083" width="1.85546875" style="1970" customWidth="1"/>
    <col min="15084" max="15084" width="11" style="1970" customWidth="1"/>
    <col min="15085" max="15085" width="5.28515625" style="1970" customWidth="1"/>
    <col min="15086" max="15086" width="11.5703125" style="1970" bestFit="1" customWidth="1"/>
    <col min="15087" max="15087" width="1.85546875" style="1970" customWidth="1"/>
    <col min="15088" max="15088" width="12.28515625" style="1970" customWidth="1"/>
    <col min="15089" max="15089" width="2.28515625" style="1970" customWidth="1"/>
    <col min="15090" max="15090" width="13.140625" style="1970" bestFit="1" customWidth="1"/>
    <col min="15091" max="15091" width="1.85546875" style="1970" customWidth="1"/>
    <col min="15092" max="15092" width="12.28515625" style="1970" customWidth="1"/>
    <col min="15093" max="15093" width="1.85546875" style="1970" customWidth="1"/>
    <col min="15094" max="15094" width="10.5703125" style="1970" customWidth="1"/>
    <col min="15095" max="15095" width="4.42578125" style="1970" customWidth="1"/>
    <col min="15096" max="15096" width="13.28515625" style="1970" bestFit="1" customWidth="1"/>
    <col min="15097" max="15097" width="1" style="1970" customWidth="1"/>
    <col min="15098" max="15098" width="12.5703125" style="1970" customWidth="1"/>
    <col min="15099" max="15100" width="12.42578125" style="1970" customWidth="1"/>
    <col min="15101" max="15101" width="17.28515625" style="1970" customWidth="1"/>
    <col min="15102" max="15104" width="18.42578125" style="1970" customWidth="1"/>
    <col min="15105" max="15335" width="16.7109375" style="1970"/>
    <col min="15336" max="15336" width="6.5703125" style="1970" customWidth="1"/>
    <col min="15337" max="15337" width="41.85546875" style="1970" customWidth="1"/>
    <col min="15338" max="15338" width="9.85546875" style="1970" customWidth="1"/>
    <col min="15339" max="15339" width="1.85546875" style="1970" customWidth="1"/>
    <col min="15340" max="15340" width="11" style="1970" customWidth="1"/>
    <col min="15341" max="15341" width="5.28515625" style="1970" customWidth="1"/>
    <col min="15342" max="15342" width="11.5703125" style="1970" bestFit="1" customWidth="1"/>
    <col min="15343" max="15343" width="1.85546875" style="1970" customWidth="1"/>
    <col min="15344" max="15344" width="12.28515625" style="1970" customWidth="1"/>
    <col min="15345" max="15345" width="2.28515625" style="1970" customWidth="1"/>
    <col min="15346" max="15346" width="13.140625" style="1970" bestFit="1" customWidth="1"/>
    <col min="15347" max="15347" width="1.85546875" style="1970" customWidth="1"/>
    <col min="15348" max="15348" width="12.28515625" style="1970" customWidth="1"/>
    <col min="15349" max="15349" width="1.85546875" style="1970" customWidth="1"/>
    <col min="15350" max="15350" width="10.5703125" style="1970" customWidth="1"/>
    <col min="15351" max="15351" width="4.42578125" style="1970" customWidth="1"/>
    <col min="15352" max="15352" width="13.28515625" style="1970" bestFit="1" customWidth="1"/>
    <col min="15353" max="15353" width="1" style="1970" customWidth="1"/>
    <col min="15354" max="15354" width="12.5703125" style="1970" customWidth="1"/>
    <col min="15355" max="15356" width="12.42578125" style="1970" customWidth="1"/>
    <col min="15357" max="15357" width="17.28515625" style="1970" customWidth="1"/>
    <col min="15358" max="15360" width="18.42578125" style="1970" customWidth="1"/>
    <col min="15361" max="15591" width="16.7109375" style="1970"/>
    <col min="15592" max="15592" width="6.5703125" style="1970" customWidth="1"/>
    <col min="15593" max="15593" width="41.85546875" style="1970" customWidth="1"/>
    <col min="15594" max="15594" width="9.85546875" style="1970" customWidth="1"/>
    <col min="15595" max="15595" width="1.85546875" style="1970" customWidth="1"/>
    <col min="15596" max="15596" width="11" style="1970" customWidth="1"/>
    <col min="15597" max="15597" width="5.28515625" style="1970" customWidth="1"/>
    <col min="15598" max="15598" width="11.5703125" style="1970" bestFit="1" customWidth="1"/>
    <col min="15599" max="15599" width="1.85546875" style="1970" customWidth="1"/>
    <col min="15600" max="15600" width="12.28515625" style="1970" customWidth="1"/>
    <col min="15601" max="15601" width="2.28515625" style="1970" customWidth="1"/>
    <col min="15602" max="15602" width="13.140625" style="1970" bestFit="1" customWidth="1"/>
    <col min="15603" max="15603" width="1.85546875" style="1970" customWidth="1"/>
    <col min="15604" max="15604" width="12.28515625" style="1970" customWidth="1"/>
    <col min="15605" max="15605" width="1.85546875" style="1970" customWidth="1"/>
    <col min="15606" max="15606" width="10.5703125" style="1970" customWidth="1"/>
    <col min="15607" max="15607" width="4.42578125" style="1970" customWidth="1"/>
    <col min="15608" max="15608" width="13.28515625" style="1970" bestFit="1" customWidth="1"/>
    <col min="15609" max="15609" width="1" style="1970" customWidth="1"/>
    <col min="15610" max="15610" width="12.5703125" style="1970" customWidth="1"/>
    <col min="15611" max="15612" width="12.42578125" style="1970" customWidth="1"/>
    <col min="15613" max="15613" width="17.28515625" style="1970" customWidth="1"/>
    <col min="15614" max="15616" width="18.42578125" style="1970" customWidth="1"/>
    <col min="15617" max="15847" width="16.7109375" style="1970"/>
    <col min="15848" max="15848" width="6.5703125" style="1970" customWidth="1"/>
    <col min="15849" max="15849" width="41.85546875" style="1970" customWidth="1"/>
    <col min="15850" max="15850" width="9.85546875" style="1970" customWidth="1"/>
    <col min="15851" max="15851" width="1.85546875" style="1970" customWidth="1"/>
    <col min="15852" max="15852" width="11" style="1970" customWidth="1"/>
    <col min="15853" max="15853" width="5.28515625" style="1970" customWidth="1"/>
    <col min="15854" max="15854" width="11.5703125" style="1970" bestFit="1" customWidth="1"/>
    <col min="15855" max="15855" width="1.85546875" style="1970" customWidth="1"/>
    <col min="15856" max="15856" width="12.28515625" style="1970" customWidth="1"/>
    <col min="15857" max="15857" width="2.28515625" style="1970" customWidth="1"/>
    <col min="15858" max="15858" width="13.140625" style="1970" bestFit="1" customWidth="1"/>
    <col min="15859" max="15859" width="1.85546875" style="1970" customWidth="1"/>
    <col min="15860" max="15860" width="12.28515625" style="1970" customWidth="1"/>
    <col min="15861" max="15861" width="1.85546875" style="1970" customWidth="1"/>
    <col min="15862" max="15862" width="10.5703125" style="1970" customWidth="1"/>
    <col min="15863" max="15863" width="4.42578125" style="1970" customWidth="1"/>
    <col min="15864" max="15864" width="13.28515625" style="1970" bestFit="1" customWidth="1"/>
    <col min="15865" max="15865" width="1" style="1970" customWidth="1"/>
    <col min="15866" max="15866" width="12.5703125" style="1970" customWidth="1"/>
    <col min="15867" max="15868" width="12.42578125" style="1970" customWidth="1"/>
    <col min="15869" max="15869" width="17.28515625" style="1970" customWidth="1"/>
    <col min="15870" max="15872" width="18.42578125" style="1970" customWidth="1"/>
    <col min="15873" max="16103" width="16.7109375" style="1970"/>
    <col min="16104" max="16104" width="6.5703125" style="1970" customWidth="1"/>
    <col min="16105" max="16105" width="41.85546875" style="1970" customWidth="1"/>
    <col min="16106" max="16106" width="9.85546875" style="1970" customWidth="1"/>
    <col min="16107" max="16107" width="1.85546875" style="1970" customWidth="1"/>
    <col min="16108" max="16108" width="11" style="1970" customWidth="1"/>
    <col min="16109" max="16109" width="5.28515625" style="1970" customWidth="1"/>
    <col min="16110" max="16110" width="11.5703125" style="1970" bestFit="1" customWidth="1"/>
    <col min="16111" max="16111" width="1.85546875" style="1970" customWidth="1"/>
    <col min="16112" max="16112" width="12.28515625" style="1970" customWidth="1"/>
    <col min="16113" max="16113" width="2.28515625" style="1970" customWidth="1"/>
    <col min="16114" max="16114" width="13.140625" style="1970" bestFit="1" customWidth="1"/>
    <col min="16115" max="16115" width="1.85546875" style="1970" customWidth="1"/>
    <col min="16116" max="16116" width="12.28515625" style="1970" customWidth="1"/>
    <col min="16117" max="16117" width="1.85546875" style="1970" customWidth="1"/>
    <col min="16118" max="16118" width="10.5703125" style="1970" customWidth="1"/>
    <col min="16119" max="16119" width="4.42578125" style="1970" customWidth="1"/>
    <col min="16120" max="16120" width="13.28515625" style="1970" bestFit="1" customWidth="1"/>
    <col min="16121" max="16121" width="1" style="1970" customWidth="1"/>
    <col min="16122" max="16122" width="12.5703125" style="1970" customWidth="1"/>
    <col min="16123" max="16124" width="12.42578125" style="1970" customWidth="1"/>
    <col min="16125" max="16125" width="17.28515625" style="1970" customWidth="1"/>
    <col min="16126" max="16128" width="18.42578125" style="1970" customWidth="1"/>
    <col min="16129" max="16384" width="16.7109375" style="1970"/>
  </cols>
  <sheetData>
    <row r="1" spans="1:19" s="1965" customFormat="1" ht="12.75" customHeight="1" x14ac:dyDescent="0.2">
      <c r="A1" s="1960"/>
      <c r="B1" s="1961"/>
      <c r="C1" s="1961"/>
      <c r="D1" s="1961"/>
      <c r="E1" s="1961"/>
      <c r="F1" s="1960"/>
      <c r="G1" s="1961"/>
      <c r="H1" s="1961"/>
      <c r="I1" s="1960"/>
      <c r="J1" s="1960"/>
      <c r="K1" s="1961"/>
      <c r="L1" s="1961"/>
      <c r="M1" s="1962"/>
      <c r="N1" s="1962"/>
      <c r="O1" s="1962"/>
      <c r="P1" s="1963"/>
      <c r="Q1" s="1962"/>
      <c r="R1" s="1962"/>
      <c r="S1" s="1964"/>
    </row>
    <row r="2" spans="1:19" ht="12.75" hidden="1" customHeight="1" x14ac:dyDescent="0.2">
      <c r="A2" s="1966"/>
      <c r="B2" s="1967"/>
      <c r="C2" s="1966"/>
      <c r="D2" s="1966"/>
      <c r="E2" s="1966"/>
      <c r="F2" s="1966"/>
      <c r="G2" s="1966"/>
      <c r="H2" s="1966"/>
      <c r="I2" s="1968"/>
      <c r="J2" s="1969"/>
      <c r="M2" s="1971"/>
      <c r="N2" s="1972"/>
      <c r="P2" s="1972"/>
      <c r="Q2" s="1972"/>
      <c r="R2" s="1973"/>
      <c r="S2" s="1972" t="s">
        <v>1231</v>
      </c>
    </row>
    <row r="3" spans="1:19" ht="12.75" hidden="1" customHeight="1" x14ac:dyDescent="0.2">
      <c r="A3" s="1966"/>
      <c r="B3" s="1974"/>
      <c r="C3" s="1966"/>
      <c r="D3" s="1966"/>
      <c r="E3" s="1966"/>
      <c r="F3" s="1966"/>
      <c r="G3" s="1966"/>
      <c r="H3" s="1966"/>
      <c r="I3" s="1968"/>
      <c r="J3" s="1969"/>
      <c r="M3" s="1971"/>
      <c r="N3" s="1971"/>
      <c r="O3" s="1971"/>
      <c r="P3" s="1972"/>
      <c r="Q3" s="1972"/>
      <c r="R3" s="1973"/>
      <c r="S3" s="1972"/>
    </row>
    <row r="4" spans="1:19" ht="15" hidden="1" customHeight="1" x14ac:dyDescent="0.2">
      <c r="A4" s="1966"/>
      <c r="B4" s="1974"/>
      <c r="C4" s="1966"/>
      <c r="D4" s="1966"/>
      <c r="E4" s="1966"/>
      <c r="F4" s="1966"/>
      <c r="G4" s="1966"/>
      <c r="H4" s="1966"/>
      <c r="I4" s="1968"/>
      <c r="J4" s="1968"/>
      <c r="K4" s="1968"/>
      <c r="M4" s="1975"/>
      <c r="N4" s="1972"/>
      <c r="O4" s="1972"/>
      <c r="P4" s="1972"/>
      <c r="Q4" s="1972"/>
      <c r="R4" s="1973"/>
      <c r="S4" s="1972"/>
    </row>
    <row r="5" spans="1:19" ht="15.75" x14ac:dyDescent="0.2">
      <c r="A5" s="2570" t="s">
        <v>2084</v>
      </c>
      <c r="B5" s="2570"/>
      <c r="C5" s="2570"/>
      <c r="D5" s="2570"/>
      <c r="E5" s="2570"/>
      <c r="F5" s="2570"/>
      <c r="G5" s="2570"/>
      <c r="H5" s="2570"/>
      <c r="I5" s="2570"/>
      <c r="J5" s="2570"/>
      <c r="K5" s="2570"/>
      <c r="L5" s="2570"/>
      <c r="M5" s="2570"/>
      <c r="N5" s="2570"/>
      <c r="O5" s="2570"/>
      <c r="P5" s="2570"/>
      <c r="Q5" s="2570"/>
      <c r="R5" s="2570"/>
      <c r="S5" s="2570"/>
    </row>
    <row r="6" spans="1:19" ht="15.75" x14ac:dyDescent="0.2">
      <c r="A6" s="2570" t="s">
        <v>2090</v>
      </c>
      <c r="B6" s="2570"/>
      <c r="C6" s="2570"/>
      <c r="D6" s="2570"/>
      <c r="E6" s="2570"/>
      <c r="F6" s="2570"/>
      <c r="G6" s="2570"/>
      <c r="H6" s="2570"/>
      <c r="I6" s="2570"/>
      <c r="J6" s="2570"/>
      <c r="K6" s="2570"/>
      <c r="L6" s="2570"/>
      <c r="M6" s="2570"/>
      <c r="N6" s="2570"/>
      <c r="O6" s="2570"/>
      <c r="P6" s="2570"/>
      <c r="Q6" s="2570"/>
      <c r="R6" s="2570"/>
      <c r="S6" s="2570"/>
    </row>
    <row r="7" spans="1:19" ht="14.25" customHeight="1" x14ac:dyDescent="0.2">
      <c r="A7" s="2570" t="s">
        <v>1281</v>
      </c>
      <c r="B7" s="2570"/>
      <c r="C7" s="2570"/>
      <c r="D7" s="2570"/>
      <c r="E7" s="2570"/>
      <c r="F7" s="2570"/>
      <c r="G7" s="2570"/>
      <c r="H7" s="2570"/>
      <c r="I7" s="2570"/>
      <c r="J7" s="2570"/>
      <c r="K7" s="2570"/>
      <c r="L7" s="2570"/>
      <c r="M7" s="2570"/>
      <c r="N7" s="2570"/>
      <c r="O7" s="2570"/>
      <c r="P7" s="2570"/>
      <c r="Q7" s="2570"/>
      <c r="R7" s="2570"/>
      <c r="S7" s="2570"/>
    </row>
    <row r="8" spans="1:19" ht="15" customHeight="1" x14ac:dyDescent="0.2">
      <c r="A8" s="2571" t="s">
        <v>2179</v>
      </c>
      <c r="B8" s="2571"/>
      <c r="C8" s="2571"/>
      <c r="D8" s="2571"/>
      <c r="E8" s="2571"/>
      <c r="F8" s="2571"/>
      <c r="G8" s="2571"/>
      <c r="H8" s="2571"/>
      <c r="I8" s="2571"/>
      <c r="J8" s="2571"/>
      <c r="K8" s="2571"/>
      <c r="L8" s="2571"/>
      <c r="M8" s="2571"/>
      <c r="N8" s="2571"/>
      <c r="O8" s="2571"/>
      <c r="P8" s="2571"/>
      <c r="Q8" s="2571"/>
      <c r="R8" s="2571"/>
      <c r="S8" s="2571"/>
    </row>
    <row r="9" spans="1:19" ht="10.15" customHeight="1" x14ac:dyDescent="0.2">
      <c r="A9" s="1966"/>
      <c r="B9" s="1966"/>
      <c r="C9" s="1966"/>
      <c r="D9" s="1966"/>
      <c r="E9" s="1966"/>
      <c r="F9" s="1966"/>
      <c r="G9" s="1976"/>
      <c r="H9" s="1968"/>
      <c r="I9" s="1976"/>
      <c r="J9" s="1969"/>
      <c r="K9" s="1976"/>
      <c r="L9" s="1968"/>
      <c r="M9" s="1968"/>
      <c r="N9" s="1968"/>
      <c r="O9" s="1968"/>
      <c r="P9" s="1969"/>
      <c r="Q9" s="1968"/>
      <c r="R9" s="1968"/>
      <c r="S9" s="1968"/>
    </row>
    <row r="10" spans="1:19" ht="15" customHeight="1" x14ac:dyDescent="0.2">
      <c r="A10" s="1977"/>
      <c r="B10" s="1977"/>
      <c r="C10" s="1977"/>
      <c r="D10" s="1977"/>
      <c r="E10" s="1977"/>
      <c r="F10" s="1977"/>
      <c r="G10" s="1978"/>
      <c r="H10" s="1979"/>
      <c r="I10" s="1978"/>
      <c r="J10" s="1980"/>
      <c r="K10" s="1978"/>
      <c r="L10" s="1979"/>
      <c r="M10" s="1979"/>
      <c r="N10" s="1979"/>
      <c r="O10" s="1979"/>
      <c r="P10" s="1980"/>
      <c r="Q10" s="1979"/>
      <c r="R10" s="1979"/>
      <c r="S10" s="1979"/>
    </row>
    <row r="11" spans="1:19" ht="17.45" customHeight="1" x14ac:dyDescent="0.2">
      <c r="A11" s="1973"/>
      <c r="B11" s="1981"/>
      <c r="C11" s="1972"/>
      <c r="D11" s="1972"/>
      <c r="E11" s="1973" t="s">
        <v>2180</v>
      </c>
      <c r="F11" s="1973"/>
      <c r="G11" s="1982" t="s">
        <v>2181</v>
      </c>
      <c r="H11" s="1982"/>
      <c r="I11" s="1982"/>
      <c r="J11" s="1973"/>
      <c r="K11" s="1982" t="s">
        <v>2182</v>
      </c>
      <c r="L11" s="1982"/>
      <c r="M11" s="1982"/>
      <c r="N11" s="1972"/>
      <c r="O11" s="1972"/>
      <c r="P11" s="1973"/>
      <c r="Q11" s="1972"/>
      <c r="R11" s="1972"/>
      <c r="S11" s="1972"/>
    </row>
    <row r="12" spans="1:19" ht="18.75" customHeight="1" x14ac:dyDescent="0.2">
      <c r="B12" s="1976"/>
      <c r="C12" s="1969" t="s">
        <v>1326</v>
      </c>
      <c r="D12" s="1968"/>
      <c r="E12" s="1969" t="s">
        <v>2183</v>
      </c>
      <c r="F12" s="1969"/>
      <c r="G12" s="1969" t="s">
        <v>2184</v>
      </c>
      <c r="H12" s="1968"/>
      <c r="I12" s="1983" t="s">
        <v>2185</v>
      </c>
      <c r="J12" s="1969"/>
      <c r="K12" s="1969" t="s">
        <v>2184</v>
      </c>
      <c r="L12" s="1968"/>
      <c r="M12" s="1983" t="str">
        <f>+I12</f>
        <v>7/01/17 -</v>
      </c>
      <c r="N12" s="1968"/>
      <c r="O12" s="1969" t="s">
        <v>1323</v>
      </c>
      <c r="P12" s="1969"/>
      <c r="Q12" s="1969" t="s">
        <v>2186</v>
      </c>
      <c r="R12" s="1968"/>
      <c r="S12" s="1976" t="s">
        <v>1231</v>
      </c>
    </row>
    <row r="13" spans="1:19" ht="15.75" customHeight="1" x14ac:dyDescent="0.2">
      <c r="A13" s="1976" t="s">
        <v>2187</v>
      </c>
      <c r="B13" s="1976"/>
      <c r="C13" s="1969" t="s">
        <v>2188</v>
      </c>
      <c r="D13" s="1968"/>
      <c r="E13" s="1969" t="s">
        <v>2188</v>
      </c>
      <c r="F13" s="1969"/>
      <c r="G13" s="1984" t="s">
        <v>2189</v>
      </c>
      <c r="H13" s="1968"/>
      <c r="I13" s="1984" t="s">
        <v>2190</v>
      </c>
      <c r="J13" s="1969"/>
      <c r="K13" s="1985" t="str">
        <f>+G13</f>
        <v>6/30/17</v>
      </c>
      <c r="L13" s="1968"/>
      <c r="M13" s="1985" t="str">
        <f>+I13</f>
        <v>6/30/18</v>
      </c>
      <c r="N13" s="1968"/>
      <c r="O13" s="1969" t="s">
        <v>2191</v>
      </c>
      <c r="P13" s="1969"/>
      <c r="Q13" s="1969" t="s">
        <v>1319</v>
      </c>
      <c r="R13" s="1968"/>
      <c r="S13" s="1969" t="s">
        <v>30</v>
      </c>
    </row>
    <row r="14" spans="1:19" ht="18" customHeight="1" x14ac:dyDescent="0.2">
      <c r="A14" s="1986" t="s">
        <v>2192</v>
      </c>
      <c r="B14" s="1968"/>
      <c r="C14" s="1987" t="s">
        <v>2193</v>
      </c>
      <c r="D14" s="1968"/>
      <c r="E14" s="1987" t="s">
        <v>2194</v>
      </c>
      <c r="F14" s="1969"/>
      <c r="G14" s="1988" t="s">
        <v>2195</v>
      </c>
      <c r="H14" s="1989"/>
      <c r="I14" s="1988" t="s">
        <v>2196</v>
      </c>
      <c r="J14" s="1990"/>
      <c r="K14" s="1988" t="s">
        <v>2197</v>
      </c>
      <c r="L14" s="1989"/>
      <c r="M14" s="1988" t="s">
        <v>2198</v>
      </c>
      <c r="N14" s="1989"/>
      <c r="O14" s="1988" t="s">
        <v>2199</v>
      </c>
      <c r="P14" s="1990" t="s">
        <v>2200</v>
      </c>
      <c r="Q14" s="1988" t="s">
        <v>2201</v>
      </c>
      <c r="R14" s="1989"/>
      <c r="S14" s="1988" t="s">
        <v>2202</v>
      </c>
    </row>
    <row r="15" spans="1:19" ht="8.25" customHeight="1" x14ac:dyDescent="0.2">
      <c r="A15" s="1986"/>
      <c r="B15" s="1968"/>
      <c r="C15" s="1987"/>
      <c r="D15" s="1968"/>
      <c r="E15" s="1987"/>
      <c r="F15" s="1969"/>
      <c r="G15" s="1988"/>
      <c r="H15" s="1989"/>
      <c r="I15" s="1988"/>
      <c r="J15" s="1990"/>
      <c r="K15" s="1988"/>
      <c r="L15" s="1989"/>
      <c r="M15" s="1988"/>
      <c r="N15" s="1989"/>
      <c r="O15" s="1988"/>
      <c r="P15" s="1990"/>
      <c r="Q15" s="1988"/>
      <c r="R15" s="1989"/>
      <c r="S15" s="1988"/>
    </row>
    <row r="16" spans="1:19" ht="15" customHeight="1" x14ac:dyDescent="0.2">
      <c r="A16" s="1991" t="s">
        <v>2203</v>
      </c>
      <c r="B16" s="1968"/>
      <c r="C16" s="1969"/>
      <c r="D16" s="1968"/>
      <c r="E16" s="1969"/>
      <c r="F16" s="1969"/>
      <c r="G16" s="1990"/>
      <c r="H16" s="1989"/>
      <c r="I16" s="1990"/>
      <c r="J16" s="1990"/>
      <c r="K16" s="1990"/>
      <c r="L16" s="1989"/>
      <c r="M16" s="1990"/>
      <c r="N16" s="1989"/>
      <c r="O16" s="1990"/>
      <c r="P16" s="1990"/>
      <c r="Q16" s="1990"/>
      <c r="R16" s="1989"/>
      <c r="S16" s="1990"/>
    </row>
    <row r="17" spans="1:19" ht="15" customHeight="1" x14ac:dyDescent="0.2">
      <c r="A17" s="1991" t="s">
        <v>2204</v>
      </c>
      <c r="B17" s="1968"/>
      <c r="C17" s="1987"/>
      <c r="D17" s="1968"/>
      <c r="E17" s="1987"/>
      <c r="F17" s="1969"/>
      <c r="G17" s="1988"/>
      <c r="H17" s="1989"/>
      <c r="I17" s="1988"/>
      <c r="J17" s="1990"/>
      <c r="K17" s="1988"/>
      <c r="L17" s="1989"/>
      <c r="M17" s="1988"/>
      <c r="N17" s="1989"/>
      <c r="O17" s="1988"/>
      <c r="P17" s="1990"/>
      <c r="Q17" s="1988"/>
      <c r="R17" s="1989"/>
      <c r="S17" s="1988"/>
    </row>
    <row r="18" spans="1:19" ht="15" customHeight="1" x14ac:dyDescent="0.2">
      <c r="A18" s="1992" t="s">
        <v>2205</v>
      </c>
      <c r="C18" s="1968"/>
      <c r="D18" s="1968"/>
      <c r="E18" s="1968"/>
      <c r="F18" s="1969"/>
      <c r="G18" s="1989"/>
      <c r="H18" s="1989"/>
      <c r="I18" s="1989" t="s">
        <v>1231</v>
      </c>
      <c r="J18" s="1990"/>
      <c r="K18" s="1989"/>
      <c r="L18" s="1989"/>
      <c r="M18" s="1989"/>
      <c r="N18" s="1989"/>
      <c r="O18" s="1989"/>
      <c r="P18" s="1990"/>
      <c r="Q18" s="1989"/>
      <c r="R18" s="1989"/>
      <c r="S18" s="1989"/>
    </row>
    <row r="19" spans="1:19" ht="6.75" customHeight="1" x14ac:dyDescent="0.2">
      <c r="B19" s="1968"/>
      <c r="C19" s="1968"/>
      <c r="D19" s="1968"/>
      <c r="E19" s="1968"/>
      <c r="F19" s="1969"/>
      <c r="G19" s="1968"/>
      <c r="H19" s="1968"/>
      <c r="I19" s="1968"/>
      <c r="J19" s="1969"/>
      <c r="K19" s="1968"/>
      <c r="L19" s="1968"/>
      <c r="M19" s="1968"/>
      <c r="N19" s="1968"/>
      <c r="O19" s="1968"/>
      <c r="P19" s="1969"/>
      <c r="Q19" s="1968"/>
      <c r="R19" s="1968"/>
      <c r="S19" s="1968"/>
    </row>
    <row r="20" spans="1:19" ht="15" customHeight="1" x14ac:dyDescent="0.2">
      <c r="A20" s="1993" t="s">
        <v>2206</v>
      </c>
      <c r="B20" s="1976" t="s">
        <v>2207</v>
      </c>
      <c r="C20" s="1994" t="s">
        <v>2208</v>
      </c>
      <c r="D20" s="1968"/>
      <c r="E20" s="1995" t="s">
        <v>2209</v>
      </c>
      <c r="F20" s="1969"/>
      <c r="G20" s="1996">
        <v>544162</v>
      </c>
      <c r="H20" s="1997"/>
      <c r="I20" s="1996">
        <v>129299</v>
      </c>
      <c r="J20" s="1996"/>
      <c r="K20" s="1996">
        <v>544162</v>
      </c>
      <c r="L20" s="1996"/>
      <c r="M20" s="1996">
        <v>129299</v>
      </c>
      <c r="N20" s="1998"/>
      <c r="O20" s="1998"/>
      <c r="P20" s="1999"/>
      <c r="Q20" s="2000">
        <f>K20+M20+O20</f>
        <v>673461</v>
      </c>
      <c r="R20" s="1998"/>
      <c r="S20" s="2001" t="s">
        <v>2210</v>
      </c>
    </row>
    <row r="21" spans="1:19" ht="15" customHeight="1" x14ac:dyDescent="0.2">
      <c r="A21" s="1993" t="s">
        <v>2206</v>
      </c>
      <c r="B21" s="1976" t="s">
        <v>2207</v>
      </c>
      <c r="C21" s="1994">
        <v>10.555</v>
      </c>
      <c r="D21" s="1968"/>
      <c r="E21" s="1995" t="s">
        <v>2211</v>
      </c>
      <c r="F21" s="1969"/>
      <c r="G21" s="1996"/>
      <c r="H21" s="1996"/>
      <c r="I21" s="1996">
        <v>557972</v>
      </c>
      <c r="J21" s="1997"/>
      <c r="K21" s="1996"/>
      <c r="L21" s="1996"/>
      <c r="M21" s="1996">
        <v>557972</v>
      </c>
      <c r="N21" s="1996"/>
      <c r="O21" s="1996"/>
      <c r="P21" s="1997">
        <v>-2</v>
      </c>
      <c r="Q21" s="2003">
        <f>K21+M21+O21</f>
        <v>557972</v>
      </c>
      <c r="R21" s="1998"/>
      <c r="S21" s="2001" t="s">
        <v>2210</v>
      </c>
    </row>
    <row r="22" spans="1:19" ht="15" customHeight="1" x14ac:dyDescent="0.2">
      <c r="A22" s="1993" t="s">
        <v>1231</v>
      </c>
      <c r="B22" s="1976"/>
      <c r="C22" s="1994"/>
      <c r="D22" s="1968"/>
      <c r="E22" s="1969"/>
      <c r="F22" s="1969"/>
      <c r="G22" s="1998"/>
      <c r="H22" s="1998"/>
      <c r="I22" s="1998"/>
      <c r="J22" s="1999"/>
      <c r="K22" s="1998"/>
      <c r="L22" s="1998"/>
      <c r="M22" s="1998"/>
      <c r="N22" s="1998"/>
      <c r="O22" s="1998"/>
      <c r="P22" s="1999"/>
      <c r="Q22" s="2000"/>
      <c r="R22" s="1998"/>
      <c r="S22" s="2001"/>
    </row>
    <row r="23" spans="1:19" ht="15" customHeight="1" x14ac:dyDescent="0.2">
      <c r="A23" s="1993"/>
      <c r="B23" s="1976" t="s">
        <v>2212</v>
      </c>
      <c r="C23" s="1994">
        <v>10.555</v>
      </c>
      <c r="D23" s="1968"/>
      <c r="E23" s="1969" t="s">
        <v>2213</v>
      </c>
      <c r="F23" s="1969"/>
      <c r="G23" s="1998"/>
      <c r="H23" s="1998"/>
      <c r="I23" s="1998"/>
      <c r="J23" s="1999"/>
      <c r="K23" s="1996">
        <v>55124</v>
      </c>
      <c r="L23" s="1998"/>
      <c r="M23" s="1996"/>
      <c r="N23" s="1998"/>
      <c r="O23" s="1998"/>
      <c r="P23" s="1999"/>
      <c r="Q23" s="2000">
        <f>K23+M23+O23</f>
        <v>55124</v>
      </c>
      <c r="R23" s="1998"/>
      <c r="S23" s="2001" t="s">
        <v>2210</v>
      </c>
    </row>
    <row r="24" spans="1:19" ht="15" customHeight="1" x14ac:dyDescent="0.2">
      <c r="A24" s="1993" t="s">
        <v>2206</v>
      </c>
      <c r="B24" s="1976" t="s">
        <v>2212</v>
      </c>
      <c r="C24" s="1994">
        <v>10.555</v>
      </c>
      <c r="D24" s="1968"/>
      <c r="E24" s="1969" t="s">
        <v>2214</v>
      </c>
      <c r="F24" s="1969"/>
      <c r="G24" s="1998"/>
      <c r="H24" s="1998"/>
      <c r="I24" s="1998"/>
      <c r="J24" s="1999"/>
      <c r="K24" s="1996"/>
      <c r="L24" s="1998"/>
      <c r="M24" s="1996">
        <v>39407</v>
      </c>
      <c r="N24" s="1998"/>
      <c r="O24" s="1998"/>
      <c r="P24" s="1999"/>
      <c r="Q24" s="2000">
        <f>K24+M24+O24</f>
        <v>39407</v>
      </c>
      <c r="R24" s="1998"/>
      <c r="S24" s="2001" t="s">
        <v>2210</v>
      </c>
    </row>
    <row r="25" spans="1:19" ht="15" customHeight="1" x14ac:dyDescent="0.2">
      <c r="A25" s="1993" t="s">
        <v>1231</v>
      </c>
      <c r="B25" s="1976"/>
      <c r="C25" s="1994"/>
      <c r="D25" s="1968"/>
      <c r="E25" s="1969"/>
      <c r="F25" s="1969"/>
      <c r="G25" s="1998"/>
      <c r="H25" s="1998"/>
      <c r="I25" s="1998"/>
      <c r="J25" s="1999"/>
      <c r="K25" s="1996"/>
      <c r="L25" s="1998"/>
      <c r="M25" s="1996"/>
      <c r="N25" s="1998"/>
      <c r="O25" s="1998"/>
      <c r="P25" s="1999"/>
      <c r="Q25" s="2000"/>
      <c r="R25" s="1998"/>
      <c r="S25" s="2001"/>
    </row>
    <row r="26" spans="1:19" ht="15" customHeight="1" x14ac:dyDescent="0.2">
      <c r="A26" s="1993"/>
      <c r="B26" s="1976" t="s">
        <v>2215</v>
      </c>
      <c r="C26" s="1994">
        <v>10.555</v>
      </c>
      <c r="D26" s="1968"/>
      <c r="E26" s="1969" t="s">
        <v>2213</v>
      </c>
      <c r="F26" s="1969"/>
      <c r="G26" s="1998"/>
      <c r="H26" s="1998"/>
      <c r="I26" s="1998"/>
      <c r="J26" s="1999"/>
      <c r="K26" s="1996">
        <v>60408</v>
      </c>
      <c r="L26" s="1998"/>
      <c r="M26" s="1996"/>
      <c r="N26" s="1998"/>
      <c r="O26" s="1998"/>
      <c r="P26" s="1999"/>
      <c r="Q26" s="2000">
        <f>K26+M26+O26</f>
        <v>60408</v>
      </c>
      <c r="R26" s="1998"/>
      <c r="S26" s="2001" t="s">
        <v>2210</v>
      </c>
    </row>
    <row r="27" spans="1:19" ht="15" customHeight="1" x14ac:dyDescent="0.2">
      <c r="A27" s="1993" t="s">
        <v>2206</v>
      </c>
      <c r="B27" s="1976" t="s">
        <v>2215</v>
      </c>
      <c r="C27" s="1994">
        <v>10.555</v>
      </c>
      <c r="D27" s="1968"/>
      <c r="E27" s="1969" t="s">
        <v>2214</v>
      </c>
      <c r="F27" s="1969"/>
      <c r="G27" s="1998"/>
      <c r="H27" s="1998"/>
      <c r="I27" s="1998"/>
      <c r="J27" s="1999"/>
      <c r="K27" s="1998"/>
      <c r="L27" s="1998"/>
      <c r="M27" s="1996">
        <v>54357</v>
      </c>
      <c r="N27" s="1998"/>
      <c r="O27" s="1998"/>
      <c r="P27" s="1999"/>
      <c r="Q27" s="2000">
        <f>K27+M27+O27</f>
        <v>54357</v>
      </c>
      <c r="R27" s="1998"/>
      <c r="S27" s="2001" t="s">
        <v>2210</v>
      </c>
    </row>
    <row r="28" spans="1:19" ht="6.75" customHeight="1" x14ac:dyDescent="0.2">
      <c r="A28" s="1993" t="s">
        <v>1231</v>
      </c>
      <c r="B28" s="1976"/>
      <c r="C28" s="1994"/>
      <c r="D28" s="1968"/>
      <c r="E28" s="1969"/>
      <c r="F28" s="1969"/>
      <c r="G28" s="1998"/>
      <c r="H28" s="1998"/>
      <c r="I28" s="1998"/>
      <c r="J28" s="1999"/>
      <c r="K28" s="1998"/>
      <c r="L28" s="1998"/>
      <c r="M28" s="1996"/>
      <c r="N28" s="1998"/>
      <c r="O28" s="1998"/>
      <c r="P28" s="1999"/>
      <c r="Q28" s="2000"/>
      <c r="R28" s="1998"/>
      <c r="S28" s="2001"/>
    </row>
    <row r="29" spans="1:19" ht="15" customHeight="1" x14ac:dyDescent="0.2">
      <c r="A29" s="1993" t="s">
        <v>2206</v>
      </c>
      <c r="B29" s="1976" t="s">
        <v>1119</v>
      </c>
      <c r="C29" s="1994">
        <v>10.553000000000001</v>
      </c>
      <c r="D29" s="1968"/>
      <c r="E29" s="1995" t="s">
        <v>2216</v>
      </c>
      <c r="F29" s="1969"/>
      <c r="G29" s="1996">
        <v>189589</v>
      </c>
      <c r="H29" s="1999"/>
      <c r="I29" s="1998">
        <v>47202</v>
      </c>
      <c r="J29" s="1998"/>
      <c r="K29" s="1996">
        <v>189589</v>
      </c>
      <c r="L29" s="1998"/>
      <c r="M29" s="1998">
        <v>47202</v>
      </c>
      <c r="N29" s="2004"/>
      <c r="O29" s="2004" t="s">
        <v>1231</v>
      </c>
      <c r="P29" s="2004"/>
      <c r="Q29" s="2000">
        <f>K29+M29+O29</f>
        <v>236791</v>
      </c>
      <c r="R29" s="1998"/>
      <c r="S29" s="2001" t="s">
        <v>2210</v>
      </c>
    </row>
    <row r="30" spans="1:19" ht="15" customHeight="1" x14ac:dyDescent="0.2">
      <c r="A30" s="1993" t="s">
        <v>2206</v>
      </c>
      <c r="B30" s="1976" t="s">
        <v>1119</v>
      </c>
      <c r="C30" s="1994">
        <v>10.553000000000001</v>
      </c>
      <c r="D30" s="1968"/>
      <c r="E30" s="1995" t="s">
        <v>2217</v>
      </c>
      <c r="F30" s="1969"/>
      <c r="G30" s="1998"/>
      <c r="H30" s="1998"/>
      <c r="I30" s="1996">
        <v>204975</v>
      </c>
      <c r="J30" s="1999"/>
      <c r="K30" s="1998"/>
      <c r="L30" s="1998"/>
      <c r="M30" s="1996">
        <v>204975</v>
      </c>
      <c r="N30" s="1998"/>
      <c r="O30" s="1998"/>
      <c r="P30" s="1999">
        <v>-2</v>
      </c>
      <c r="Q30" s="2000">
        <f>K30+M30+O30</f>
        <v>204975</v>
      </c>
      <c r="R30" s="1998"/>
      <c r="S30" s="2001" t="s">
        <v>2210</v>
      </c>
    </row>
    <row r="31" spans="1:19" ht="8.25" customHeight="1" x14ac:dyDescent="0.2">
      <c r="A31" s="1993" t="s">
        <v>1231</v>
      </c>
      <c r="B31" s="1976" t="s">
        <v>1231</v>
      </c>
      <c r="C31" s="1994" t="s">
        <v>1231</v>
      </c>
      <c r="D31" s="1968" t="s">
        <v>1231</v>
      </c>
      <c r="E31" s="1995" t="s">
        <v>1231</v>
      </c>
      <c r="F31" s="1969" t="s">
        <v>1231</v>
      </c>
      <c r="G31" s="2004" t="s">
        <v>1231</v>
      </c>
      <c r="H31" s="1998" t="s">
        <v>1231</v>
      </c>
      <c r="I31" s="2005" t="s">
        <v>1231</v>
      </c>
      <c r="J31" s="2004" t="s">
        <v>1231</v>
      </c>
      <c r="K31" s="2004" t="s">
        <v>1231</v>
      </c>
      <c r="L31" s="2004" t="s">
        <v>1231</v>
      </c>
      <c r="M31" s="2005" t="s">
        <v>1231</v>
      </c>
      <c r="N31" s="2004" t="s">
        <v>1231</v>
      </c>
      <c r="O31" s="2004" t="s">
        <v>1231</v>
      </c>
      <c r="P31" s="2004"/>
      <c r="Q31" s="2000" t="s">
        <v>1231</v>
      </c>
      <c r="R31" s="1998"/>
      <c r="S31" s="2001" t="s">
        <v>1231</v>
      </c>
    </row>
    <row r="32" spans="1:19" ht="15" customHeight="1" x14ac:dyDescent="0.2">
      <c r="A32" s="1993" t="s">
        <v>2206</v>
      </c>
      <c r="B32" s="1976" t="s">
        <v>1526</v>
      </c>
      <c r="C32" s="1994">
        <v>10.558999999999999</v>
      </c>
      <c r="D32" s="1968"/>
      <c r="E32" s="1995" t="s">
        <v>2218</v>
      </c>
      <c r="F32" s="1969"/>
      <c r="G32" s="1996">
        <v>10856</v>
      </c>
      <c r="H32" s="1996"/>
      <c r="I32" s="1996">
        <v>46308</v>
      </c>
      <c r="J32" s="1999"/>
      <c r="K32" s="1996">
        <v>43346</v>
      </c>
      <c r="L32" s="1998"/>
      <c r="M32" s="1996">
        <v>13818</v>
      </c>
      <c r="N32" s="1998"/>
      <c r="O32" s="1998"/>
      <c r="P32" s="1999"/>
      <c r="Q32" s="2000">
        <f>K32+M32+O32</f>
        <v>57164</v>
      </c>
      <c r="R32" s="1998"/>
      <c r="S32" s="2001" t="s">
        <v>2210</v>
      </c>
    </row>
    <row r="33" spans="1:19" ht="15" customHeight="1" x14ac:dyDescent="0.2">
      <c r="A33" s="1993" t="s">
        <v>2206</v>
      </c>
      <c r="B33" s="1976" t="s">
        <v>1526</v>
      </c>
      <c r="C33" s="1994">
        <v>10.558999999999999</v>
      </c>
      <c r="D33" s="1968"/>
      <c r="E33" s="1995" t="s">
        <v>2219</v>
      </c>
      <c r="F33" s="1969"/>
      <c r="G33" s="2003" t="s">
        <v>1231</v>
      </c>
      <c r="H33" s="2006"/>
      <c r="I33" s="2003">
        <f>7294+754</f>
        <v>8048</v>
      </c>
      <c r="J33" s="1997"/>
      <c r="K33" s="2003" t="s">
        <v>1231</v>
      </c>
      <c r="L33" s="2006"/>
      <c r="M33" s="2003">
        <v>40120</v>
      </c>
      <c r="N33" s="1996"/>
      <c r="O33" s="2003" t="s">
        <v>1231</v>
      </c>
      <c r="P33" s="1999">
        <v>-2</v>
      </c>
      <c r="Q33" s="2003">
        <f>K33+M33+O33</f>
        <v>40120</v>
      </c>
      <c r="R33" s="1998"/>
      <c r="S33" s="2001" t="s">
        <v>2210</v>
      </c>
    </row>
    <row r="34" spans="1:19" ht="10.5" customHeight="1" x14ac:dyDescent="0.2">
      <c r="A34" s="1993"/>
      <c r="B34" s="1976"/>
      <c r="C34" s="1994"/>
      <c r="D34" s="1968"/>
      <c r="E34" s="1995"/>
      <c r="F34" s="1969"/>
      <c r="G34" s="2004"/>
      <c r="H34" s="1998"/>
      <c r="I34" s="2005"/>
      <c r="J34" s="2004"/>
      <c r="K34" s="2004"/>
      <c r="L34" s="2004"/>
      <c r="M34" s="2005"/>
      <c r="N34" s="2004"/>
      <c r="O34" s="2004"/>
      <c r="P34" s="2004"/>
      <c r="Q34" s="2000"/>
      <c r="R34" s="1998"/>
      <c r="S34" s="2001"/>
    </row>
    <row r="35" spans="1:19" ht="15" customHeight="1" x14ac:dyDescent="0.2">
      <c r="A35" s="1993"/>
      <c r="B35" s="1976" t="s">
        <v>2220</v>
      </c>
      <c r="C35" s="1994">
        <v>10.579000000000001</v>
      </c>
      <c r="D35" s="1968"/>
      <c r="E35" s="1995" t="s">
        <v>2221</v>
      </c>
      <c r="F35" s="1969"/>
      <c r="G35" s="2007" t="s">
        <v>1231</v>
      </c>
      <c r="H35" s="2007"/>
      <c r="I35" s="2007">
        <v>47431</v>
      </c>
      <c r="J35" s="2007"/>
      <c r="K35" s="2007" t="s">
        <v>1231</v>
      </c>
      <c r="L35" s="2007"/>
      <c r="M35" s="2007">
        <v>47431</v>
      </c>
      <c r="N35" s="2007"/>
      <c r="O35" s="2007" t="s">
        <v>1231</v>
      </c>
      <c r="P35" s="2007"/>
      <c r="Q35" s="2007">
        <f>K35+M35+O35</f>
        <v>47431</v>
      </c>
      <c r="R35" s="1998"/>
      <c r="S35" s="2001" t="s">
        <v>2210</v>
      </c>
    </row>
    <row r="36" spans="1:19" ht="15" hidden="1" customHeight="1" x14ac:dyDescent="0.2">
      <c r="A36" s="1993"/>
      <c r="B36" s="1976"/>
      <c r="C36" s="1994"/>
      <c r="D36" s="1968"/>
      <c r="E36" s="1995"/>
      <c r="F36" s="1995"/>
      <c r="G36" s="2005"/>
      <c r="H36" s="1996"/>
      <c r="I36" s="2005"/>
      <c r="J36" s="2008"/>
      <c r="K36" s="2005"/>
      <c r="L36" s="2005"/>
      <c r="M36" s="2005"/>
      <c r="N36" s="2008"/>
      <c r="O36" s="2005"/>
      <c r="P36" s="2005"/>
      <c r="Q36" s="2003"/>
      <c r="R36" s="1998"/>
      <c r="S36" s="2001"/>
    </row>
    <row r="37" spans="1:19" ht="15" hidden="1" customHeight="1" x14ac:dyDescent="0.2">
      <c r="A37" s="1993" t="s">
        <v>2206</v>
      </c>
      <c r="B37" s="1976" t="s">
        <v>2222</v>
      </c>
      <c r="C37" s="1994">
        <v>10.582000000000001</v>
      </c>
      <c r="D37" s="1968"/>
      <c r="E37" s="1995" t="s">
        <v>2223</v>
      </c>
      <c r="F37" s="1995"/>
      <c r="G37" s="2009">
        <v>0</v>
      </c>
      <c r="H37" s="1996"/>
      <c r="I37" s="2009">
        <v>0</v>
      </c>
      <c r="J37" s="2008"/>
      <c r="K37" s="2009">
        <v>0</v>
      </c>
      <c r="L37" s="2008"/>
      <c r="M37" s="2009">
        <v>0</v>
      </c>
      <c r="N37" s="2008"/>
      <c r="O37" s="2009">
        <v>0</v>
      </c>
      <c r="P37" s="2005"/>
      <c r="Q37" s="2010">
        <f>K37+M37+O37</f>
        <v>0</v>
      </c>
      <c r="R37" s="1998"/>
      <c r="S37" s="2001" t="s">
        <v>2210</v>
      </c>
    </row>
    <row r="38" spans="1:19" ht="18.75" hidden="1" customHeight="1" x14ac:dyDescent="0.2">
      <c r="A38" s="1993" t="s">
        <v>2206</v>
      </c>
      <c r="B38" s="1976" t="s">
        <v>2222</v>
      </c>
      <c r="C38" s="1994">
        <v>10.582000000000001</v>
      </c>
      <c r="D38" s="1968"/>
      <c r="E38" s="1995" t="s">
        <v>2224</v>
      </c>
      <c r="F38" s="1969"/>
      <c r="G38" s="2011">
        <v>0</v>
      </c>
      <c r="H38" s="1998"/>
      <c r="I38" s="2009">
        <v>0</v>
      </c>
      <c r="J38" s="2008"/>
      <c r="K38" s="2009">
        <v>0</v>
      </c>
      <c r="L38" s="2008"/>
      <c r="M38" s="2009">
        <v>0</v>
      </c>
      <c r="N38" s="2012"/>
      <c r="O38" s="2011">
        <v>0</v>
      </c>
      <c r="P38" s="2004">
        <v>-2</v>
      </c>
      <c r="Q38" s="2013">
        <f>K38+M38+O38</f>
        <v>0</v>
      </c>
      <c r="R38" s="1998"/>
      <c r="S38" s="2001" t="s">
        <v>2210</v>
      </c>
    </row>
    <row r="39" spans="1:19" ht="7.5" customHeight="1" x14ac:dyDescent="0.2">
      <c r="A39" s="1993"/>
      <c r="B39" s="1968"/>
      <c r="C39" s="1968"/>
      <c r="D39" s="1968"/>
      <c r="E39" s="2002"/>
      <c r="F39" s="1969"/>
      <c r="G39" s="1998"/>
      <c r="H39" s="1998"/>
      <c r="I39" s="1998"/>
      <c r="J39" s="1999"/>
      <c r="K39" s="1998"/>
      <c r="L39" s="1998"/>
      <c r="M39" s="1998"/>
      <c r="N39" s="1998"/>
      <c r="O39" s="1998"/>
      <c r="P39" s="1999"/>
      <c r="Q39" s="1998"/>
      <c r="R39" s="1998"/>
      <c r="S39" s="1998"/>
    </row>
    <row r="40" spans="1:19" ht="15.75" customHeight="1" x14ac:dyDescent="0.2">
      <c r="A40" s="1991" t="s">
        <v>2225</v>
      </c>
      <c r="B40" s="1968"/>
      <c r="C40" s="1968"/>
      <c r="D40" s="1968"/>
      <c r="E40" s="2002"/>
      <c r="F40" s="1969"/>
      <c r="G40" s="2014">
        <f>SUM(G20:G39)</f>
        <v>744607</v>
      </c>
      <c r="H40" s="2014"/>
      <c r="I40" s="2014">
        <f>SUM(I20:I38)</f>
        <v>1041235</v>
      </c>
      <c r="J40" s="2014"/>
      <c r="K40" s="2014">
        <f>SUM(K20:K39)</f>
        <v>892629</v>
      </c>
      <c r="L40" s="2014"/>
      <c r="M40" s="2014">
        <f>SUM(M20:M39)</f>
        <v>1134581</v>
      </c>
      <c r="N40" s="2014"/>
      <c r="O40" s="2014">
        <f>SUM(O20:O39)</f>
        <v>0</v>
      </c>
      <c r="P40" s="2014"/>
      <c r="Q40" s="2014">
        <f>SUM(Q20:Q39)</f>
        <v>2027210</v>
      </c>
      <c r="R40" s="1998"/>
      <c r="S40" s="1998"/>
    </row>
    <row r="41" spans="1:19" ht="9" customHeight="1" x14ac:dyDescent="0.2">
      <c r="A41" s="1993"/>
      <c r="B41" s="1968"/>
      <c r="C41" s="1968"/>
      <c r="D41" s="1968"/>
      <c r="E41" s="1968"/>
      <c r="F41" s="1969"/>
      <c r="G41" s="1998"/>
      <c r="H41" s="1998"/>
      <c r="I41" s="1998"/>
      <c r="J41" s="1999"/>
      <c r="K41" s="1998"/>
      <c r="L41" s="1998"/>
      <c r="M41" s="1998"/>
      <c r="N41" s="1998"/>
      <c r="O41" s="1998"/>
      <c r="P41" s="1999"/>
      <c r="Q41" s="1998"/>
      <c r="R41" s="1998"/>
      <c r="S41" s="1998"/>
    </row>
    <row r="42" spans="1:19" ht="15" customHeight="1" x14ac:dyDescent="0.2">
      <c r="A42" s="1991" t="s">
        <v>2226</v>
      </c>
      <c r="B42" s="1968"/>
      <c r="C42" s="1968"/>
      <c r="D42" s="1968"/>
      <c r="E42" s="1968"/>
      <c r="F42" s="1969"/>
      <c r="G42" s="1998"/>
      <c r="H42" s="1998"/>
      <c r="I42" s="1998" t="s">
        <v>1231</v>
      </c>
      <c r="J42" s="1999"/>
      <c r="K42" s="1998"/>
      <c r="L42" s="1998"/>
      <c r="M42" s="1998"/>
      <c r="N42" s="1998"/>
      <c r="O42" s="1998"/>
      <c r="P42" s="1999"/>
      <c r="Q42" s="1998"/>
      <c r="R42" s="1998"/>
      <c r="S42" s="1998"/>
    </row>
    <row r="43" spans="1:19" ht="15" customHeight="1" x14ac:dyDescent="0.2">
      <c r="A43" s="1991" t="s">
        <v>2204</v>
      </c>
      <c r="B43" s="1968"/>
      <c r="C43" s="1968"/>
      <c r="D43" s="1968"/>
      <c r="E43" s="1968"/>
      <c r="F43" s="1969"/>
      <c r="G43" s="1998"/>
      <c r="H43" s="1998"/>
      <c r="I43" s="1998" t="s">
        <v>1231</v>
      </c>
      <c r="J43" s="1999"/>
      <c r="K43" s="1998"/>
      <c r="L43" s="1998"/>
      <c r="M43" s="1998"/>
      <c r="N43" s="1998"/>
      <c r="O43" s="1998"/>
      <c r="P43" s="1999"/>
      <c r="Q43" s="1998"/>
      <c r="R43" s="1998"/>
      <c r="S43" s="1998"/>
    </row>
    <row r="44" spans="1:19" ht="15" customHeight="1" x14ac:dyDescent="0.2">
      <c r="A44" s="1991" t="s">
        <v>2205</v>
      </c>
      <c r="B44" s="1968"/>
      <c r="C44" s="1968"/>
      <c r="D44" s="1968"/>
      <c r="E44" s="2002"/>
      <c r="F44" s="1969"/>
      <c r="G44" s="1998"/>
      <c r="H44" s="1998"/>
      <c r="I44" s="1998" t="s">
        <v>1231</v>
      </c>
      <c r="J44" s="1999"/>
      <c r="K44" s="1998"/>
      <c r="L44" s="1998"/>
      <c r="M44" s="1998"/>
      <c r="N44" s="1998"/>
      <c r="O44" s="1998"/>
      <c r="P44" s="1999"/>
      <c r="Q44" s="1998"/>
      <c r="R44" s="1998"/>
      <c r="S44" s="1998"/>
    </row>
    <row r="45" spans="1:19" ht="6.75" customHeight="1" x14ac:dyDescent="0.2">
      <c r="A45" s="1993"/>
      <c r="B45" s="1968"/>
      <c r="C45" s="1968"/>
      <c r="D45" s="1968"/>
      <c r="E45" s="2002"/>
      <c r="F45" s="1969"/>
      <c r="G45" s="1998"/>
      <c r="H45" s="1998"/>
      <c r="I45" s="1998"/>
      <c r="J45" s="1999"/>
      <c r="K45" s="1998"/>
      <c r="L45" s="1998"/>
      <c r="M45" s="1998"/>
      <c r="N45" s="1998"/>
      <c r="O45" s="1998" t="s">
        <v>1231</v>
      </c>
      <c r="P45" s="1999"/>
      <c r="Q45" s="1998"/>
      <c r="R45" s="1998"/>
      <c r="S45" s="1998"/>
    </row>
    <row r="46" spans="1:19" ht="15" customHeight="1" x14ac:dyDescent="0.2">
      <c r="A46" s="1993"/>
      <c r="B46" s="1968" t="s">
        <v>2227</v>
      </c>
      <c r="C46" s="1995" t="s">
        <v>2228</v>
      </c>
      <c r="D46" s="1968"/>
      <c r="E46" s="1995" t="s">
        <v>2229</v>
      </c>
      <c r="F46" s="1969"/>
      <c r="G46" s="1998"/>
      <c r="H46" s="1998"/>
      <c r="I46" s="1998">
        <v>31060</v>
      </c>
      <c r="J46" s="1999"/>
      <c r="K46" s="1998"/>
      <c r="L46" s="1998"/>
      <c r="M46" s="1998">
        <v>31060</v>
      </c>
      <c r="N46" s="1998"/>
      <c r="O46" s="1998"/>
      <c r="P46" s="1999"/>
      <c r="Q46" s="2000">
        <f>O46+M46+K46</f>
        <v>31060</v>
      </c>
      <c r="R46" s="1998"/>
      <c r="S46" s="1996">
        <v>31060</v>
      </c>
    </row>
    <row r="47" spans="1:19" ht="15" customHeight="1" x14ac:dyDescent="0.2">
      <c r="A47" s="1993"/>
      <c r="B47" s="1968"/>
      <c r="C47" s="1968"/>
      <c r="D47" s="1968"/>
      <c r="E47" s="2002"/>
      <c r="F47" s="1969"/>
      <c r="G47" s="1998"/>
      <c r="H47" s="1998"/>
      <c r="I47" s="1998"/>
      <c r="J47" s="1999"/>
      <c r="K47" s="1998"/>
      <c r="L47" s="1998"/>
      <c r="M47" s="1998"/>
      <c r="N47" s="1998"/>
      <c r="O47" s="1998"/>
      <c r="P47" s="1999"/>
      <c r="Q47" s="1998"/>
      <c r="R47" s="1998"/>
      <c r="S47" s="1998"/>
    </row>
    <row r="48" spans="1:19" ht="15" customHeight="1" x14ac:dyDescent="0.2">
      <c r="A48" s="1993"/>
      <c r="B48" s="1976" t="s">
        <v>974</v>
      </c>
      <c r="C48" s="1994" t="s">
        <v>2230</v>
      </c>
      <c r="D48" s="1968"/>
      <c r="E48" s="2015" t="s">
        <v>2231</v>
      </c>
      <c r="F48" s="1969"/>
      <c r="G48" s="2005">
        <v>393793</v>
      </c>
      <c r="H48" s="2016"/>
      <c r="I48" s="2005">
        <v>218282</v>
      </c>
      <c r="J48" s="2005"/>
      <c r="K48" s="2005">
        <v>586944</v>
      </c>
      <c r="L48" s="2005"/>
      <c r="M48" s="2005">
        <v>25131</v>
      </c>
      <c r="N48" s="2016"/>
      <c r="O48" s="2004" t="s">
        <v>1231</v>
      </c>
      <c r="Q48" s="2000">
        <f>O48+M48+K48</f>
        <v>612075</v>
      </c>
      <c r="R48" s="2004"/>
      <c r="S48" s="2005">
        <v>612075</v>
      </c>
    </row>
    <row r="49" spans="1:19" ht="15" customHeight="1" x14ac:dyDescent="0.2">
      <c r="A49" s="1993"/>
      <c r="B49" s="1976" t="s">
        <v>974</v>
      </c>
      <c r="C49" s="1994" t="s">
        <v>2230</v>
      </c>
      <c r="D49" s="1968"/>
      <c r="E49" s="2015" t="s">
        <v>2232</v>
      </c>
      <c r="G49" s="2005"/>
      <c r="H49" s="2005"/>
      <c r="I49" s="2005">
        <v>316345</v>
      </c>
      <c r="J49" s="2016"/>
      <c r="K49" s="2005" t="s">
        <v>1231</v>
      </c>
      <c r="L49" s="2005"/>
      <c r="M49" s="2005">
        <v>522032</v>
      </c>
      <c r="N49" s="2005"/>
      <c r="O49" s="2005">
        <v>95480</v>
      </c>
      <c r="P49" s="2016"/>
      <c r="Q49" s="2003">
        <f>O49+M49+K49</f>
        <v>617512</v>
      </c>
      <c r="R49" s="2005"/>
      <c r="S49" s="2005">
        <v>617512</v>
      </c>
    </row>
    <row r="50" spans="1:19" ht="7.5" customHeight="1" x14ac:dyDescent="0.2">
      <c r="A50" s="1993"/>
      <c r="B50" s="1976"/>
      <c r="C50" s="1994"/>
      <c r="D50" s="1968"/>
      <c r="E50" s="2015"/>
      <c r="F50" s="1969"/>
      <c r="G50" s="1998"/>
      <c r="H50" s="1998"/>
      <c r="I50" s="1998"/>
      <c r="J50" s="1999"/>
      <c r="K50" s="1998"/>
      <c r="L50" s="1998"/>
      <c r="M50" s="1998"/>
      <c r="N50" s="1998"/>
      <c r="O50" s="1998"/>
      <c r="P50" s="1999"/>
      <c r="Q50" s="2000"/>
      <c r="R50" s="1998"/>
      <c r="S50" s="1998"/>
    </row>
    <row r="51" spans="1:19" ht="15" customHeight="1" x14ac:dyDescent="0.2">
      <c r="A51" s="1993"/>
      <c r="B51" s="1976" t="s">
        <v>2233</v>
      </c>
      <c r="C51" s="1994">
        <v>84.027000000000001</v>
      </c>
      <c r="D51" s="1968"/>
      <c r="E51" s="1995" t="s">
        <v>2234</v>
      </c>
      <c r="F51" s="1969"/>
      <c r="G51" s="1996">
        <v>223328</v>
      </c>
      <c r="H51" s="1997"/>
      <c r="I51" s="1996">
        <v>127629</v>
      </c>
      <c r="J51" s="1996"/>
      <c r="K51" s="2018">
        <v>238458</v>
      </c>
      <c r="L51" s="1996"/>
      <c r="M51" s="1996">
        <v>112499</v>
      </c>
      <c r="N51" s="1998"/>
      <c r="O51" s="1998"/>
      <c r="P51" s="2019"/>
      <c r="Q51" s="2020">
        <f>O51+M51+K51</f>
        <v>350957</v>
      </c>
      <c r="R51" s="1998"/>
      <c r="S51" s="2001" t="s">
        <v>2210</v>
      </c>
    </row>
    <row r="52" spans="1:19" ht="15" customHeight="1" x14ac:dyDescent="0.2">
      <c r="A52" s="1993"/>
      <c r="B52" s="1976" t="s">
        <v>2233</v>
      </c>
      <c r="C52" s="1994">
        <v>84.027000000000001</v>
      </c>
      <c r="D52" s="1968"/>
      <c r="E52" s="1995" t="s">
        <v>2235</v>
      </c>
      <c r="F52" s="1969"/>
      <c r="G52" s="1996"/>
      <c r="H52" s="1996"/>
      <c r="I52" s="1996">
        <v>324598</v>
      </c>
      <c r="J52" s="1997"/>
      <c r="K52" s="1996"/>
      <c r="L52" s="1996"/>
      <c r="M52" s="2018">
        <v>455364</v>
      </c>
      <c r="N52" s="1996"/>
      <c r="O52" s="1996"/>
      <c r="P52" s="2016">
        <v>-2</v>
      </c>
      <c r="Q52" s="2021">
        <f>O52+M52+K52</f>
        <v>455364</v>
      </c>
      <c r="R52" s="1998"/>
      <c r="S52" s="2001" t="s">
        <v>2210</v>
      </c>
    </row>
    <row r="53" spans="1:19" ht="3.75" customHeight="1" x14ac:dyDescent="0.2">
      <c r="A53" s="1993"/>
      <c r="B53" s="1976"/>
      <c r="C53" s="1994"/>
      <c r="D53" s="1968"/>
      <c r="E53" s="1995"/>
      <c r="F53" s="1969"/>
      <c r="G53" s="1998"/>
      <c r="H53" s="1998"/>
      <c r="I53" s="1996"/>
      <c r="J53" s="1999"/>
      <c r="K53" s="1998"/>
      <c r="L53" s="1998"/>
      <c r="M53" s="2018"/>
      <c r="N53" s="1998"/>
      <c r="O53" s="1998"/>
      <c r="P53" s="2019"/>
      <c r="Q53" s="2020"/>
      <c r="R53" s="1998"/>
      <c r="S53" s="2001"/>
    </row>
    <row r="54" spans="1:19" ht="15" hidden="1" customHeight="1" x14ac:dyDescent="0.2">
      <c r="A54" s="1993"/>
      <c r="B54" s="1976" t="s">
        <v>2233</v>
      </c>
      <c r="C54" s="1994">
        <v>84.027000000000001</v>
      </c>
      <c r="D54" s="1968"/>
      <c r="E54" s="1995" t="s">
        <v>2236</v>
      </c>
      <c r="F54" s="1969"/>
      <c r="G54" s="1998"/>
      <c r="H54" s="1998"/>
      <c r="I54" s="2022"/>
      <c r="J54" s="2023"/>
      <c r="K54" s="2022"/>
      <c r="L54" s="1998"/>
      <c r="M54" s="2018"/>
      <c r="N54" s="1998"/>
      <c r="O54" s="1998"/>
      <c r="P54" s="2019"/>
      <c r="Q54" s="2020">
        <f>O54+M54+K54</f>
        <v>0</v>
      </c>
      <c r="R54" s="1998"/>
      <c r="S54" s="2001" t="s">
        <v>2210</v>
      </c>
    </row>
    <row r="55" spans="1:19" ht="15" hidden="1" customHeight="1" x14ac:dyDescent="0.2">
      <c r="A55" s="1993"/>
      <c r="B55" s="1976" t="s">
        <v>2233</v>
      </c>
      <c r="C55" s="1994">
        <v>84.027000000000001</v>
      </c>
      <c r="D55" s="1968"/>
      <c r="E55" s="1995" t="s">
        <v>2237</v>
      </c>
      <c r="F55" s="1969"/>
      <c r="G55" s="1998"/>
      <c r="H55" s="1998"/>
      <c r="I55" s="1996"/>
      <c r="J55" s="1999"/>
      <c r="K55" s="1998"/>
      <c r="L55" s="1998"/>
      <c r="M55" s="2024"/>
      <c r="N55" s="1998"/>
      <c r="O55" s="1998"/>
      <c r="P55" s="2019"/>
      <c r="Q55" s="2020">
        <f>O55+M55+K55</f>
        <v>0</v>
      </c>
      <c r="R55" s="1998"/>
      <c r="S55" s="2001" t="s">
        <v>2210</v>
      </c>
    </row>
    <row r="56" spans="1:19" ht="15" hidden="1" customHeight="1" x14ac:dyDescent="0.2">
      <c r="A56" s="1993"/>
      <c r="B56" s="1976"/>
      <c r="C56" s="1994"/>
      <c r="D56" s="1968"/>
      <c r="E56" s="1995"/>
      <c r="F56" s="1969"/>
      <c r="G56" s="1998" t="s">
        <v>1231</v>
      </c>
      <c r="H56" s="1998"/>
      <c r="I56" s="1998"/>
      <c r="J56" s="1999"/>
      <c r="K56" s="1998"/>
      <c r="L56" s="1998"/>
      <c r="M56" s="1998"/>
      <c r="N56" s="1998"/>
      <c r="O56" s="1998"/>
      <c r="P56" s="2019"/>
      <c r="Q56" s="2000"/>
      <c r="R56" s="1998"/>
      <c r="S56" s="1998"/>
    </row>
    <row r="57" spans="1:19" ht="15" customHeight="1" x14ac:dyDescent="0.2">
      <c r="A57" s="1993"/>
      <c r="B57" s="1976" t="s">
        <v>2238</v>
      </c>
      <c r="C57" s="1994">
        <v>84.367000000000004</v>
      </c>
      <c r="D57" s="1968"/>
      <c r="E57" s="1995" t="s">
        <v>2239</v>
      </c>
      <c r="F57" s="1969"/>
      <c r="G57" s="1996">
        <v>72504</v>
      </c>
      <c r="H57" s="1997"/>
      <c r="I57" s="1996">
        <v>31201</v>
      </c>
      <c r="J57" s="1996"/>
      <c r="K57" s="1996">
        <v>92373</v>
      </c>
      <c r="L57" s="1996"/>
      <c r="M57" s="1996">
        <v>11332</v>
      </c>
      <c r="N57" s="1998"/>
      <c r="O57" s="1998"/>
      <c r="P57" s="1999"/>
      <c r="Q57" s="2000">
        <f>O57+M57+K57</f>
        <v>103705</v>
      </c>
      <c r="R57" s="1998"/>
      <c r="S57" s="1996">
        <v>103705</v>
      </c>
    </row>
    <row r="58" spans="1:19" ht="15" customHeight="1" x14ac:dyDescent="0.2">
      <c r="A58" s="1993"/>
      <c r="B58" s="1976" t="s">
        <v>2238</v>
      </c>
      <c r="C58" s="1994">
        <v>84.367000000000004</v>
      </c>
      <c r="D58" s="1968"/>
      <c r="E58" s="1995" t="s">
        <v>2240</v>
      </c>
      <c r="F58" s="1969"/>
      <c r="G58" s="1996"/>
      <c r="H58" s="1996"/>
      <c r="I58" s="1996">
        <v>50916</v>
      </c>
      <c r="J58" s="1997"/>
      <c r="K58" s="1996">
        <v>0</v>
      </c>
      <c r="L58" s="1996"/>
      <c r="M58" s="1996">
        <v>73126</v>
      </c>
      <c r="N58" s="1996"/>
      <c r="O58" s="1996">
        <v>18577</v>
      </c>
      <c r="P58" s="1997"/>
      <c r="Q58" s="2003">
        <f>O58+M58+K58</f>
        <v>91703</v>
      </c>
      <c r="R58" s="1996"/>
      <c r="S58" s="1996">
        <v>91703</v>
      </c>
    </row>
    <row r="59" spans="1:19" ht="7.5" customHeight="1" x14ac:dyDescent="0.2">
      <c r="A59" s="1993"/>
      <c r="B59" s="1976"/>
      <c r="C59" s="1994"/>
      <c r="D59" s="1968"/>
      <c r="E59" s="1995"/>
      <c r="F59" s="1969"/>
      <c r="G59" s="1998"/>
      <c r="H59" s="1998"/>
      <c r="I59" s="1998"/>
      <c r="J59" s="1999"/>
      <c r="K59" s="1998"/>
      <c r="L59" s="1998"/>
      <c r="M59" s="1998"/>
      <c r="N59" s="1998"/>
      <c r="O59" s="1998"/>
      <c r="P59" s="2019"/>
      <c r="Q59" s="2000"/>
      <c r="R59" s="1998"/>
      <c r="S59" s="1998"/>
    </row>
    <row r="60" spans="1:19" ht="15" customHeight="1" x14ac:dyDescent="0.2">
      <c r="A60" s="1993"/>
      <c r="B60" s="1976" t="s">
        <v>2241</v>
      </c>
      <c r="C60" s="1994">
        <v>84.364999999999995</v>
      </c>
      <c r="D60" s="1968"/>
      <c r="E60" s="1995" t="s">
        <v>2242</v>
      </c>
      <c r="F60" s="1969"/>
      <c r="G60" s="1996">
        <f>500+13172</f>
        <v>13672</v>
      </c>
      <c r="H60" s="2006"/>
      <c r="I60" s="1996">
        <v>225</v>
      </c>
      <c r="J60" s="1999"/>
      <c r="K60" s="1996">
        <v>13397</v>
      </c>
      <c r="L60" s="1998"/>
      <c r="M60" s="1996">
        <v>500</v>
      </c>
      <c r="N60" s="1998"/>
      <c r="O60" s="1998"/>
      <c r="Q60" s="2000">
        <f>O60+M60+K60</f>
        <v>13897</v>
      </c>
      <c r="R60" s="1998"/>
      <c r="S60" s="1996">
        <v>13897</v>
      </c>
    </row>
    <row r="61" spans="1:19" ht="15" customHeight="1" x14ac:dyDescent="0.2">
      <c r="A61" s="1993"/>
      <c r="B61" s="1976" t="s">
        <v>2241</v>
      </c>
      <c r="C61" s="1994">
        <v>84.364999999999995</v>
      </c>
      <c r="D61" s="1968"/>
      <c r="E61" s="1995" t="s">
        <v>2243</v>
      </c>
      <c r="F61" s="1969"/>
      <c r="G61" s="2007" t="s">
        <v>1231</v>
      </c>
      <c r="H61" s="2006"/>
      <c r="I61" s="2007">
        <v>15370</v>
      </c>
      <c r="J61" s="1997"/>
      <c r="K61" s="2007" t="s">
        <v>1231</v>
      </c>
      <c r="L61" s="1996"/>
      <c r="M61" s="2007">
        <v>15370</v>
      </c>
      <c r="N61" s="1996"/>
      <c r="O61" s="2007" t="s">
        <v>1231</v>
      </c>
      <c r="P61" s="2025"/>
      <c r="Q61" s="2007">
        <f>O61+M61+K61</f>
        <v>15370</v>
      </c>
      <c r="R61" s="1998"/>
      <c r="S61" s="1996">
        <v>15370</v>
      </c>
    </row>
    <row r="62" spans="1:19" ht="9" customHeight="1" x14ac:dyDescent="0.2">
      <c r="B62" s="1968"/>
      <c r="C62" s="1968"/>
      <c r="D62" s="1968"/>
      <c r="E62" s="2002"/>
      <c r="F62" s="1969"/>
      <c r="G62" s="1998"/>
      <c r="H62" s="1998"/>
      <c r="I62" s="1998"/>
      <c r="J62" s="1999"/>
      <c r="K62" s="1998"/>
      <c r="L62" s="1998"/>
      <c r="M62" s="1998"/>
      <c r="N62" s="1998"/>
      <c r="O62" s="1998"/>
      <c r="P62" s="1999"/>
      <c r="Q62" s="2026" t="s">
        <v>1231</v>
      </c>
      <c r="R62" s="1998"/>
      <c r="S62" s="1998"/>
    </row>
    <row r="63" spans="1:19" ht="18" customHeight="1" x14ac:dyDescent="0.2">
      <c r="A63" s="1992" t="s">
        <v>2244</v>
      </c>
      <c r="C63" s="2027"/>
      <c r="D63" s="1968"/>
      <c r="E63" s="2002"/>
      <c r="F63" s="1969"/>
      <c r="G63" s="2014">
        <f>SUM(G45:G62)</f>
        <v>703297</v>
      </c>
      <c r="H63" s="2014"/>
      <c r="I63" s="2014">
        <f>SUM(I45:I62)</f>
        <v>1115626</v>
      </c>
      <c r="J63" s="2014"/>
      <c r="K63" s="2014">
        <f>SUM(K45:K62)</f>
        <v>931172</v>
      </c>
      <c r="L63" s="2014"/>
      <c r="M63" s="2014">
        <f>SUM(M45:M62)</f>
        <v>1246414</v>
      </c>
      <c r="N63" s="2014"/>
      <c r="O63" s="2014">
        <f>SUM(O45:O62)</f>
        <v>114057</v>
      </c>
      <c r="P63" s="2014"/>
      <c r="Q63" s="2014">
        <f>SUM(Q45:Q62)</f>
        <v>2291643</v>
      </c>
      <c r="R63" s="2026"/>
      <c r="S63" s="2026" t="s">
        <v>1231</v>
      </c>
    </row>
    <row r="64" spans="1:19" ht="15" customHeight="1" x14ac:dyDescent="0.2">
      <c r="A64" s="1992"/>
      <c r="C64" s="2027"/>
      <c r="D64" s="1968"/>
      <c r="E64" s="1968"/>
      <c r="F64" s="1969"/>
      <c r="G64" s="2014"/>
      <c r="H64" s="2014"/>
      <c r="I64" s="2014"/>
      <c r="J64" s="2014"/>
      <c r="K64" s="2014"/>
      <c r="L64" s="2014"/>
      <c r="M64" s="2014"/>
      <c r="N64" s="2014"/>
      <c r="O64" s="2014"/>
      <c r="P64" s="2014"/>
      <c r="Q64" s="2014"/>
      <c r="R64" s="2026"/>
      <c r="S64" s="2026"/>
    </row>
    <row r="65" spans="1:19" ht="15" hidden="1" customHeight="1" x14ac:dyDescent="0.2">
      <c r="A65" s="1991" t="s">
        <v>2226</v>
      </c>
      <c r="B65" s="1968"/>
      <c r="C65" s="1968"/>
      <c r="D65" s="1968"/>
      <c r="E65" s="1968"/>
      <c r="F65" s="1969"/>
      <c r="G65" s="1998"/>
      <c r="H65" s="1998"/>
      <c r="I65" s="1998"/>
      <c r="J65" s="1999"/>
      <c r="K65" s="1998"/>
      <c r="L65" s="1998"/>
      <c r="M65" s="1998"/>
      <c r="N65" s="1998"/>
      <c r="O65" s="1998"/>
      <c r="P65" s="1999"/>
      <c r="Q65" s="1998"/>
      <c r="R65" s="1998"/>
      <c r="S65" s="1998"/>
    </row>
    <row r="66" spans="1:19" ht="17.25" hidden="1" customHeight="1" x14ac:dyDescent="0.2">
      <c r="A66" s="1991" t="s">
        <v>2245</v>
      </c>
      <c r="B66" s="1968"/>
      <c r="C66" s="1968"/>
      <c r="D66" s="1968"/>
      <c r="E66" s="1968"/>
      <c r="F66" s="1969"/>
      <c r="G66" s="1998"/>
      <c r="H66" s="1998"/>
      <c r="I66" s="1998"/>
      <c r="J66" s="1999"/>
      <c r="K66" s="1998"/>
      <c r="L66" s="1998"/>
      <c r="M66" s="1998"/>
      <c r="N66" s="1998"/>
      <c r="O66" s="1998"/>
      <c r="P66" s="1999"/>
      <c r="Q66" s="1998"/>
      <c r="R66" s="1998"/>
      <c r="S66" s="1998"/>
    </row>
    <row r="67" spans="1:19" ht="17.25" hidden="1" customHeight="1" x14ac:dyDescent="0.2">
      <c r="A67" s="1991" t="s">
        <v>2246</v>
      </c>
      <c r="B67" s="1968"/>
      <c r="C67" s="1968"/>
      <c r="D67" s="1968"/>
      <c r="E67" s="1968"/>
      <c r="F67" s="1969"/>
      <c r="G67" s="1998"/>
      <c r="H67" s="1998"/>
      <c r="I67" s="1998"/>
      <c r="J67" s="1999"/>
      <c r="K67" s="1998"/>
      <c r="L67" s="1998"/>
      <c r="M67" s="1998"/>
      <c r="N67" s="1998"/>
      <c r="O67" s="1998"/>
      <c r="P67" s="1999"/>
      <c r="Q67" s="1998"/>
      <c r="R67" s="1998"/>
      <c r="S67" s="1998"/>
    </row>
    <row r="68" spans="1:19" ht="6.6" hidden="1" customHeight="1" x14ac:dyDescent="0.2">
      <c r="A68" s="1991"/>
      <c r="B68" s="1968"/>
      <c r="C68" s="1968"/>
      <c r="D68" s="1968"/>
      <c r="E68" s="1968"/>
      <c r="F68" s="1969"/>
      <c r="G68" s="1998"/>
      <c r="H68" s="1998"/>
      <c r="I68" s="1998"/>
      <c r="J68" s="1999"/>
      <c r="K68" s="1998"/>
      <c r="L68" s="1998"/>
      <c r="M68" s="2012"/>
      <c r="N68" s="1998"/>
      <c r="O68" s="1998"/>
      <c r="P68" s="1999"/>
      <c r="Q68" s="2000"/>
      <c r="R68" s="1998"/>
      <c r="S68" s="1998"/>
    </row>
    <row r="69" spans="1:19" ht="18.600000000000001" hidden="1" customHeight="1" x14ac:dyDescent="0.2">
      <c r="A69" s="1993"/>
      <c r="B69" s="1968" t="s">
        <v>2247</v>
      </c>
      <c r="C69" s="1994">
        <v>84.027000000000001</v>
      </c>
      <c r="D69" s="1968"/>
      <c r="E69" s="2002" t="s">
        <v>2248</v>
      </c>
      <c r="F69" s="1969"/>
      <c r="G69" s="1998"/>
      <c r="H69" s="1998"/>
      <c r="I69" s="1996"/>
      <c r="J69" s="1997"/>
      <c r="K69" s="2005"/>
      <c r="L69" s="1996"/>
      <c r="M69" s="2005"/>
      <c r="N69" s="1996"/>
      <c r="O69" s="1996" t="s">
        <v>1231</v>
      </c>
      <c r="P69" s="1997"/>
      <c r="Q69" s="2003">
        <f>O69+M69+K69</f>
        <v>0</v>
      </c>
      <c r="R69" s="1996"/>
      <c r="S69" s="2022">
        <v>1498</v>
      </c>
    </row>
    <row r="70" spans="1:19" ht="18" hidden="1" customHeight="1" x14ac:dyDescent="0.2">
      <c r="A70" s="1993"/>
      <c r="B70" s="1968" t="s">
        <v>2247</v>
      </c>
      <c r="C70" s="1994">
        <v>84.027000000000001</v>
      </c>
      <c r="D70" s="1968"/>
      <c r="E70" s="2002" t="s">
        <v>2249</v>
      </c>
      <c r="F70" s="1969"/>
      <c r="G70" s="2028">
        <v>0</v>
      </c>
      <c r="H70" s="1998"/>
      <c r="I70" s="2029">
        <v>0</v>
      </c>
      <c r="J70" s="1997"/>
      <c r="K70" s="2008">
        <v>0</v>
      </c>
      <c r="L70" s="1996"/>
      <c r="M70" s="2030"/>
      <c r="N70" s="1996"/>
      <c r="O70" s="2031">
        <v>0</v>
      </c>
      <c r="P70" s="1997"/>
      <c r="Q70" s="2007">
        <f>O70+M70+K70</f>
        <v>0</v>
      </c>
      <c r="R70" s="1996"/>
      <c r="S70" s="1996">
        <v>11314</v>
      </c>
    </row>
    <row r="71" spans="1:19" ht="18.75" hidden="1" customHeight="1" x14ac:dyDescent="0.2">
      <c r="A71" s="1992" t="s">
        <v>2250</v>
      </c>
      <c r="B71" s="1976"/>
      <c r="C71" s="1994"/>
      <c r="D71" s="1968"/>
      <c r="E71" s="1995"/>
      <c r="F71" s="1969"/>
      <c r="G71" s="2012">
        <f>SUM(G68:G70)</f>
        <v>0</v>
      </c>
      <c r="H71" s="1998"/>
      <c r="I71" s="2012">
        <f>SUM(I68:I70)</f>
        <v>0</v>
      </c>
      <c r="J71" s="1999"/>
      <c r="K71" s="2012">
        <f>SUM(K68:K70)</f>
        <v>0</v>
      </c>
      <c r="L71" s="1998"/>
      <c r="M71" s="2012">
        <f>SUM(M68:M70)</f>
        <v>0</v>
      </c>
      <c r="N71" s="1998"/>
      <c r="O71" s="2012">
        <f>SUM(O68:O70)</f>
        <v>0</v>
      </c>
      <c r="P71" s="2019"/>
      <c r="Q71" s="2012">
        <f>SUM(Q68:Q70)</f>
        <v>0</v>
      </c>
      <c r="R71" s="1998"/>
      <c r="S71" s="2032"/>
    </row>
    <row r="72" spans="1:19" ht="15" customHeight="1" x14ac:dyDescent="0.2">
      <c r="A72" s="1992"/>
      <c r="B72" s="1976"/>
      <c r="C72" s="1994"/>
      <c r="D72" s="1968"/>
      <c r="E72" s="1969"/>
      <c r="F72" s="1969"/>
      <c r="G72" s="2012"/>
      <c r="H72" s="1998"/>
      <c r="I72" s="2012"/>
      <c r="J72" s="1999"/>
      <c r="K72" s="2012"/>
      <c r="L72" s="1998"/>
      <c r="M72" s="2012"/>
      <c r="N72" s="1998"/>
      <c r="O72" s="2012"/>
      <c r="P72" s="2019"/>
      <c r="Q72" s="2012"/>
      <c r="R72" s="1998"/>
      <c r="S72" s="2032"/>
    </row>
    <row r="73" spans="1:19" ht="16.5" hidden="1" customHeight="1" x14ac:dyDescent="0.2">
      <c r="A73" s="1991" t="s">
        <v>2226</v>
      </c>
      <c r="C73" s="2027"/>
      <c r="D73" s="1968"/>
      <c r="E73" s="1968"/>
      <c r="F73" s="1969"/>
      <c r="G73" s="2014"/>
      <c r="H73" s="2014"/>
      <c r="I73" s="2014"/>
      <c r="J73" s="2014"/>
      <c r="K73" s="2014"/>
      <c r="L73" s="2014"/>
      <c r="M73" s="2014"/>
      <c r="N73" s="2014"/>
      <c r="O73" s="2014"/>
      <c r="P73" s="2014"/>
      <c r="Q73" s="2014"/>
      <c r="R73" s="2026"/>
      <c r="S73" s="2026"/>
    </row>
    <row r="74" spans="1:19" ht="15.75" hidden="1" customHeight="1" x14ac:dyDescent="0.2">
      <c r="A74" s="1991" t="s">
        <v>2251</v>
      </c>
      <c r="C74" s="2027"/>
      <c r="D74" s="1968"/>
      <c r="E74" s="1968"/>
      <c r="F74" s="1969"/>
      <c r="G74" s="2014"/>
      <c r="H74" s="2014"/>
      <c r="I74" s="2014"/>
      <c r="J74" s="2014"/>
      <c r="K74" s="2014"/>
      <c r="L74" s="2014"/>
      <c r="M74" s="2014"/>
      <c r="N74" s="2014"/>
      <c r="O74" s="2014"/>
      <c r="P74" s="2014"/>
      <c r="Q74" s="2014"/>
      <c r="R74" s="2026"/>
      <c r="S74" s="2026"/>
    </row>
    <row r="75" spans="1:19" ht="18" hidden="1" customHeight="1" x14ac:dyDescent="0.2">
      <c r="A75" s="1992"/>
      <c r="B75" s="1976" t="s">
        <v>2252</v>
      </c>
      <c r="C75" s="1994">
        <v>84.358000000000004</v>
      </c>
      <c r="D75" s="1968"/>
      <c r="E75" s="1969" t="s">
        <v>2253</v>
      </c>
      <c r="F75" s="1969"/>
      <c r="G75" s="2014"/>
      <c r="H75" s="2014"/>
      <c r="I75" s="2007">
        <v>0</v>
      </c>
      <c r="J75" s="2014"/>
      <c r="K75" s="2014"/>
      <c r="L75" s="2014"/>
      <c r="M75" s="2007">
        <v>0</v>
      </c>
      <c r="N75" s="2014"/>
      <c r="O75" s="2014">
        <v>0</v>
      </c>
      <c r="P75" s="2014"/>
      <c r="Q75" s="2014">
        <f>O75+M75+K75</f>
        <v>0</v>
      </c>
      <c r="R75" s="2026"/>
      <c r="S75" s="2032"/>
    </row>
    <row r="76" spans="1:19" ht="18" hidden="1" customHeight="1" x14ac:dyDescent="0.2">
      <c r="A76" s="1992" t="s">
        <v>2254</v>
      </c>
      <c r="B76" s="1976"/>
      <c r="C76" s="1994"/>
      <c r="D76" s="1968"/>
      <c r="E76" s="1969"/>
      <c r="F76" s="1969"/>
      <c r="G76" s="2012">
        <f>SUM(G73:G75)</f>
        <v>0</v>
      </c>
      <c r="H76" s="1998"/>
      <c r="I76" s="2012">
        <f>SUM(I73:I75)</f>
        <v>0</v>
      </c>
      <c r="J76" s="1999"/>
      <c r="K76" s="2012">
        <f>SUM(K73:K75)</f>
        <v>0</v>
      </c>
      <c r="L76" s="1998"/>
      <c r="M76" s="2012">
        <f>SUM(M73:M75)</f>
        <v>0</v>
      </c>
      <c r="N76" s="1998"/>
      <c r="O76" s="2012">
        <f>SUM(O73:O75)</f>
        <v>0</v>
      </c>
      <c r="P76" s="2019"/>
      <c r="Q76" s="2012">
        <f>SUM(Q73:Q75)</f>
        <v>0</v>
      </c>
      <c r="R76" s="1998"/>
      <c r="S76" s="2032"/>
    </row>
    <row r="77" spans="1:19" ht="15" hidden="1" customHeight="1" x14ac:dyDescent="0.2">
      <c r="A77" s="1992"/>
      <c r="C77" s="2027"/>
      <c r="D77" s="1968"/>
      <c r="E77" s="1968"/>
      <c r="F77" s="1969"/>
      <c r="G77" s="2014"/>
      <c r="H77" s="2014"/>
      <c r="I77" s="2014"/>
      <c r="J77" s="2014"/>
      <c r="K77" s="2014"/>
      <c r="L77" s="2014"/>
      <c r="M77" s="2014"/>
      <c r="N77" s="2014"/>
      <c r="O77" s="2014"/>
      <c r="P77" s="2014"/>
      <c r="Q77" s="2014"/>
      <c r="R77" s="2026"/>
      <c r="S77" s="2026"/>
    </row>
    <row r="78" spans="1:19" ht="18" hidden="1" customHeight="1" x14ac:dyDescent="0.2">
      <c r="A78" s="1991" t="s">
        <v>2226</v>
      </c>
      <c r="B78" s="1968"/>
      <c r="C78" s="1968"/>
      <c r="D78" s="1968"/>
      <c r="E78" s="1968"/>
      <c r="F78" s="1969"/>
      <c r="G78" s="1998"/>
      <c r="H78" s="1998"/>
      <c r="I78" s="1998" t="s">
        <v>1231</v>
      </c>
      <c r="J78" s="1999"/>
      <c r="K78" s="1998"/>
      <c r="L78" s="1998"/>
      <c r="M78" s="1998"/>
      <c r="N78" s="1998"/>
      <c r="O78" s="1998"/>
      <c r="P78" s="1999"/>
      <c r="Q78" s="1998"/>
      <c r="R78" s="1998"/>
      <c r="S78" s="1998"/>
    </row>
    <row r="79" spans="1:19" ht="17.25" hidden="1" customHeight="1" x14ac:dyDescent="0.2">
      <c r="A79" s="1991" t="s">
        <v>2245</v>
      </c>
      <c r="B79" s="1968"/>
      <c r="C79" s="1968"/>
      <c r="D79" s="1968"/>
      <c r="E79" s="1968"/>
      <c r="F79" s="1969"/>
      <c r="G79" s="1998"/>
      <c r="H79" s="1998"/>
      <c r="I79" s="1998"/>
      <c r="J79" s="1999"/>
      <c r="K79" s="1998"/>
      <c r="L79" s="1998"/>
      <c r="M79" s="1998"/>
      <c r="N79" s="1998"/>
      <c r="O79" s="1998"/>
      <c r="P79" s="1999"/>
      <c r="Q79" s="1998"/>
      <c r="R79" s="1998"/>
      <c r="S79" s="1998"/>
    </row>
    <row r="80" spans="1:19" ht="17.25" hidden="1" customHeight="1" x14ac:dyDescent="0.2">
      <c r="A80" s="1991" t="s">
        <v>2255</v>
      </c>
      <c r="B80" s="1968"/>
      <c r="C80" s="1968"/>
      <c r="D80" s="1968"/>
      <c r="E80" s="1968"/>
      <c r="F80" s="1969"/>
      <c r="G80" s="1998"/>
      <c r="H80" s="1998"/>
      <c r="I80" s="1998"/>
      <c r="J80" s="1999"/>
      <c r="K80" s="1998"/>
      <c r="L80" s="1998"/>
      <c r="M80" s="1998"/>
      <c r="N80" s="1998"/>
      <c r="O80" s="1998"/>
      <c r="P80" s="1999"/>
      <c r="Q80" s="1998"/>
      <c r="R80" s="1998"/>
      <c r="S80" s="1998"/>
    </row>
    <row r="81" spans="1:19" ht="15" hidden="1" customHeight="1" x14ac:dyDescent="0.2">
      <c r="A81" s="1991"/>
      <c r="B81" s="1968"/>
      <c r="C81" s="1968"/>
      <c r="D81" s="1968"/>
      <c r="E81" s="1968"/>
      <c r="F81" s="1969"/>
      <c r="G81" s="1998"/>
      <c r="H81" s="1998"/>
      <c r="I81" s="1998"/>
      <c r="J81" s="1999"/>
      <c r="K81" s="1998"/>
      <c r="L81" s="1998"/>
      <c r="M81" s="2012"/>
      <c r="N81" s="1998"/>
      <c r="O81" s="1998"/>
      <c r="P81" s="1999"/>
      <c r="Q81" s="2000"/>
      <c r="R81" s="1998"/>
      <c r="S81" s="1998"/>
    </row>
    <row r="82" spans="1:19" ht="15" hidden="1" customHeight="1" x14ac:dyDescent="0.2">
      <c r="A82" s="1991"/>
      <c r="B82" s="1968" t="s">
        <v>2256</v>
      </c>
      <c r="C82" s="1968" t="s">
        <v>2257</v>
      </c>
      <c r="D82" s="1968"/>
      <c r="E82" s="1968" t="s">
        <v>2258</v>
      </c>
      <c r="F82" s="1969"/>
      <c r="G82" s="1998"/>
      <c r="H82" s="1998"/>
      <c r="I82" s="1998"/>
      <c r="J82" s="1999"/>
      <c r="K82" s="2004"/>
      <c r="L82" s="1998"/>
      <c r="M82" s="2012"/>
      <c r="N82" s="1998"/>
      <c r="O82" s="1998"/>
      <c r="P82" s="1999"/>
      <c r="Q82" s="2000">
        <f>O82+M82+K82</f>
        <v>0</v>
      </c>
      <c r="R82" s="1998"/>
      <c r="S82" s="1998"/>
    </row>
    <row r="83" spans="1:19" ht="15" hidden="1" customHeight="1" x14ac:dyDescent="0.2">
      <c r="A83" s="1991"/>
      <c r="B83" s="1968" t="s">
        <v>2256</v>
      </c>
      <c r="C83" s="1968" t="s">
        <v>2257</v>
      </c>
      <c r="D83" s="1968"/>
      <c r="E83" s="1968" t="s">
        <v>2259</v>
      </c>
      <c r="F83" s="1969"/>
      <c r="G83" s="1998"/>
      <c r="H83" s="1998"/>
      <c r="I83" s="2033"/>
      <c r="J83" s="1999"/>
      <c r="K83" s="2004"/>
      <c r="L83" s="1998"/>
      <c r="M83" s="2034"/>
      <c r="N83" s="1998"/>
      <c r="O83" s="1998"/>
      <c r="P83" s="1999"/>
      <c r="Q83" s="2000">
        <f>O83+M83+K83</f>
        <v>0</v>
      </c>
      <c r="R83" s="1998"/>
      <c r="S83" s="1998"/>
    </row>
    <row r="84" spans="1:19" ht="15" hidden="1" customHeight="1" x14ac:dyDescent="0.2">
      <c r="A84" s="1991"/>
      <c r="B84" s="1968"/>
      <c r="C84" s="1968"/>
      <c r="D84" s="1968"/>
      <c r="E84" s="1968"/>
      <c r="F84" s="1969"/>
      <c r="G84" s="1998"/>
      <c r="H84" s="1998"/>
      <c r="I84" s="1998"/>
      <c r="J84" s="1999"/>
      <c r="K84" s="2012"/>
      <c r="L84" s="1998"/>
      <c r="M84" s="2012"/>
      <c r="N84" s="1998"/>
      <c r="O84" s="1998"/>
      <c r="P84" s="1999"/>
      <c r="Q84" s="2000"/>
      <c r="R84" s="1998"/>
      <c r="S84" s="1998"/>
    </row>
    <row r="85" spans="1:19" ht="17.25" hidden="1" customHeight="1" x14ac:dyDescent="0.2">
      <c r="A85" s="1991"/>
      <c r="B85" s="1976" t="s">
        <v>2260</v>
      </c>
      <c r="C85" s="1994">
        <v>84.242999999999995</v>
      </c>
      <c r="D85" s="1968"/>
      <c r="E85" s="1969" t="s">
        <v>2261</v>
      </c>
      <c r="F85" s="1969"/>
      <c r="G85" s="2035"/>
      <c r="H85" s="1998"/>
      <c r="I85" s="2035"/>
      <c r="J85" s="1999"/>
      <c r="K85" s="2036"/>
      <c r="L85" s="1998"/>
      <c r="M85" s="2037"/>
      <c r="N85" s="1998"/>
      <c r="O85" s="2035"/>
      <c r="P85" s="1999"/>
      <c r="Q85" s="2038">
        <f>O85+M85+K85</f>
        <v>0</v>
      </c>
      <c r="R85" s="1998"/>
      <c r="S85" s="2032"/>
    </row>
    <row r="86" spans="1:19" ht="18" hidden="1" customHeight="1" x14ac:dyDescent="0.2">
      <c r="A86" s="1992" t="s">
        <v>2262</v>
      </c>
      <c r="B86" s="1976"/>
      <c r="C86" s="1994"/>
      <c r="D86" s="1968"/>
      <c r="E86" s="1969"/>
      <c r="F86" s="1969"/>
      <c r="G86" s="2012">
        <f>SUM(G81:G85)</f>
        <v>0</v>
      </c>
      <c r="H86" s="1998"/>
      <c r="I86" s="2012">
        <f>SUM(I81:I85)</f>
        <v>0</v>
      </c>
      <c r="J86" s="1999"/>
      <c r="K86" s="2012">
        <f>SUM(K81:K85)</f>
        <v>0</v>
      </c>
      <c r="L86" s="1998"/>
      <c r="M86" s="2012">
        <f>SUM(M81:M85)</f>
        <v>0</v>
      </c>
      <c r="N86" s="1998"/>
      <c r="O86" s="2012">
        <f>SUM(O81:O85)</f>
        <v>0</v>
      </c>
      <c r="P86" s="2019"/>
      <c r="Q86" s="2012">
        <f>SUM(Q81:Q85)</f>
        <v>0</v>
      </c>
      <c r="R86" s="1998"/>
      <c r="S86" s="2032"/>
    </row>
    <row r="87" spans="1:19" ht="15" hidden="1" customHeight="1" x14ac:dyDescent="0.2">
      <c r="A87" s="1992"/>
      <c r="B87" s="1976"/>
      <c r="C87" s="1994"/>
      <c r="D87" s="1968"/>
      <c r="E87" s="1969"/>
      <c r="F87" s="1969"/>
      <c r="G87" s="2012"/>
      <c r="H87" s="1998"/>
      <c r="I87" s="2012"/>
      <c r="J87" s="1999"/>
      <c r="K87" s="2012"/>
      <c r="L87" s="1998"/>
      <c r="M87" s="2012"/>
      <c r="N87" s="1998"/>
      <c r="O87" s="2012"/>
      <c r="P87" s="2019"/>
      <c r="Q87" s="2014"/>
      <c r="R87" s="1998"/>
      <c r="S87" s="2032"/>
    </row>
    <row r="88" spans="1:19" ht="18" customHeight="1" x14ac:dyDescent="0.2">
      <c r="A88" s="1992" t="s">
        <v>2263</v>
      </c>
      <c r="B88" s="1976"/>
      <c r="C88" s="1994"/>
      <c r="D88" s="1968"/>
      <c r="E88" s="1969"/>
      <c r="F88" s="1969"/>
      <c r="G88" s="2012">
        <f>SUM(G63,G71,G76,G86)</f>
        <v>703297</v>
      </c>
      <c r="H88" s="1998"/>
      <c r="I88" s="2012">
        <f>SUM(I63,I71,I76,I86)</f>
        <v>1115626</v>
      </c>
      <c r="J88" s="1999"/>
      <c r="K88" s="2012">
        <f>SUM(K63,K71,K76,K86)</f>
        <v>931172</v>
      </c>
      <c r="L88" s="1998"/>
      <c r="M88" s="2012">
        <f>SUM(M63,M71,M76,M86)</f>
        <v>1246414</v>
      </c>
      <c r="N88" s="1998"/>
      <c r="O88" s="2012">
        <f>SUM(O63,O71,O76,O86)</f>
        <v>114057</v>
      </c>
      <c r="P88" s="2019"/>
      <c r="Q88" s="2012">
        <f>SUM(Q63,Q71,Q76,Q86)</f>
        <v>2291643</v>
      </c>
      <c r="R88" s="1998"/>
      <c r="S88" s="2032"/>
    </row>
    <row r="89" spans="1:19" ht="9.75" customHeight="1" x14ac:dyDescent="0.2">
      <c r="A89" s="1991"/>
      <c r="B89" s="1968"/>
      <c r="C89" s="1968"/>
      <c r="D89" s="1968"/>
      <c r="E89" s="2002"/>
      <c r="F89" s="1995"/>
      <c r="G89" s="2008"/>
      <c r="H89" s="1996"/>
      <c r="I89" s="2008"/>
      <c r="J89" s="2012"/>
      <c r="K89" s="2012"/>
      <c r="L89" s="2012"/>
      <c r="M89" s="2012"/>
      <c r="N89" s="2012"/>
      <c r="O89" s="2012"/>
      <c r="P89" s="2012"/>
      <c r="Q89" s="2012"/>
      <c r="R89" s="1998"/>
      <c r="S89" s="1998"/>
    </row>
    <row r="90" spans="1:19" ht="15" customHeight="1" x14ac:dyDescent="0.2">
      <c r="A90" s="1991" t="s">
        <v>2264</v>
      </c>
      <c r="B90" s="1968"/>
      <c r="C90" s="1968"/>
      <c r="D90" s="1968"/>
      <c r="E90" s="2002"/>
      <c r="F90" s="1995"/>
      <c r="G90" s="1996"/>
      <c r="H90" s="1996"/>
      <c r="I90" s="1996"/>
      <c r="J90" s="1999"/>
      <c r="K90" s="1998"/>
      <c r="L90" s="1998"/>
      <c r="M90" s="1998"/>
      <c r="N90" s="1998"/>
      <c r="O90" s="1998"/>
      <c r="P90" s="1999"/>
      <c r="Q90" s="1998"/>
      <c r="R90" s="1998"/>
      <c r="S90" s="1998"/>
    </row>
    <row r="91" spans="1:19" ht="15" customHeight="1" x14ac:dyDescent="0.2">
      <c r="A91" s="1991" t="s">
        <v>2245</v>
      </c>
      <c r="B91" s="1968"/>
      <c r="C91" s="1968"/>
      <c r="D91" s="1968"/>
      <c r="E91" s="2002"/>
      <c r="F91" s="1995"/>
      <c r="G91" s="1996"/>
      <c r="H91" s="1996"/>
      <c r="I91" s="1996"/>
      <c r="J91" s="1999"/>
      <c r="K91" s="1998"/>
      <c r="L91" s="1998"/>
      <c r="M91" s="1998"/>
      <c r="N91" s="1998"/>
      <c r="O91" s="1998"/>
      <c r="P91" s="1999"/>
      <c r="Q91" s="1998"/>
      <c r="R91" s="1998"/>
      <c r="S91" s="1998"/>
    </row>
    <row r="92" spans="1:19" ht="15" customHeight="1" x14ac:dyDescent="0.2">
      <c r="A92" s="1991" t="s">
        <v>2265</v>
      </c>
      <c r="B92" s="1968"/>
      <c r="C92" s="1968"/>
      <c r="D92" s="1968"/>
      <c r="E92" s="2002"/>
      <c r="F92" s="1995"/>
      <c r="G92" s="1998"/>
      <c r="H92" s="1998"/>
      <c r="I92" s="1998"/>
      <c r="J92" s="1999"/>
      <c r="K92" s="1998"/>
      <c r="L92" s="1998"/>
      <c r="M92" s="1998"/>
      <c r="N92" s="1998"/>
      <c r="O92" s="1998"/>
      <c r="P92" s="1999"/>
      <c r="Q92" s="1998"/>
      <c r="R92" s="1998"/>
      <c r="S92" s="1998"/>
    </row>
    <row r="93" spans="1:19" ht="15" customHeight="1" x14ac:dyDescent="0.2">
      <c r="A93" s="1991"/>
      <c r="B93" s="1976" t="s">
        <v>2266</v>
      </c>
      <c r="C93" s="1994">
        <v>93.778000000000006</v>
      </c>
      <c r="D93" s="1968"/>
      <c r="E93" s="1995" t="s">
        <v>2267</v>
      </c>
      <c r="F93" s="1995"/>
      <c r="G93" s="1996">
        <v>22225</v>
      </c>
      <c r="H93" s="1998"/>
      <c r="I93" s="1996">
        <v>5606</v>
      </c>
      <c r="J93" s="1999"/>
      <c r="K93" s="1996">
        <v>28991</v>
      </c>
      <c r="L93" s="1998"/>
      <c r="M93" s="1996"/>
      <c r="N93" s="1998"/>
      <c r="O93" s="1998"/>
      <c r="P93" s="1999"/>
      <c r="Q93" s="2003">
        <f>O93+M93+K93</f>
        <v>28991</v>
      </c>
      <c r="R93" s="1998"/>
      <c r="S93" s="2032" t="s">
        <v>2210</v>
      </c>
    </row>
    <row r="94" spans="1:19" ht="15" customHeight="1" x14ac:dyDescent="0.2">
      <c r="A94" s="1991"/>
      <c r="B94" s="1976" t="s">
        <v>2266</v>
      </c>
      <c r="C94" s="1994">
        <v>93.778000000000006</v>
      </c>
      <c r="D94" s="1968"/>
      <c r="E94" s="1995" t="s">
        <v>2268</v>
      </c>
      <c r="F94" s="1995"/>
      <c r="G94" s="2039"/>
      <c r="H94" s="1996"/>
      <c r="I94" s="2039">
        <v>8468</v>
      </c>
      <c r="J94" s="1997"/>
      <c r="K94" s="2039"/>
      <c r="L94" s="1996"/>
      <c r="M94" s="2040">
        <v>13870</v>
      </c>
      <c r="N94" s="1996"/>
      <c r="O94" s="2039"/>
      <c r="P94" s="1997"/>
      <c r="Q94" s="2041">
        <f>O94+M94+K94</f>
        <v>13870</v>
      </c>
      <c r="R94" s="1998"/>
      <c r="S94" s="2032" t="s">
        <v>2210</v>
      </c>
    </row>
    <row r="95" spans="1:19" ht="7.15" customHeight="1" x14ac:dyDescent="0.2">
      <c r="A95" s="1991"/>
      <c r="B95" s="1968"/>
      <c r="C95" s="1968"/>
      <c r="D95" s="1968"/>
      <c r="E95" s="2002"/>
      <c r="F95" s="1995"/>
      <c r="G95" s="1998"/>
      <c r="H95" s="1998"/>
      <c r="I95" s="1998"/>
      <c r="J95" s="1999"/>
      <c r="K95" s="1998"/>
      <c r="L95" s="1998"/>
      <c r="M95" s="1998"/>
      <c r="N95" s="1998"/>
      <c r="O95" s="1998"/>
      <c r="P95" s="1999"/>
      <c r="Q95" s="1998"/>
      <c r="R95" s="1998"/>
      <c r="S95" s="1998"/>
    </row>
    <row r="96" spans="1:19" ht="6.6" customHeight="1" x14ac:dyDescent="0.2">
      <c r="A96" s="1993"/>
      <c r="B96" s="1976"/>
      <c r="C96" s="1994"/>
      <c r="D96" s="1968"/>
      <c r="E96" s="1969"/>
      <c r="F96" s="1969"/>
      <c r="G96" s="2012"/>
      <c r="H96" s="1998"/>
      <c r="I96" s="2012"/>
      <c r="J96" s="1999"/>
      <c r="K96" s="2012"/>
      <c r="L96" s="1998"/>
      <c r="M96" s="2012"/>
      <c r="N96" s="1998"/>
      <c r="O96" s="2012"/>
      <c r="P96" s="2019"/>
      <c r="Q96" s="2012"/>
      <c r="R96" s="1998"/>
      <c r="S96" s="2032"/>
    </row>
    <row r="97" spans="1:19" ht="18" customHeight="1" x14ac:dyDescent="0.2">
      <c r="A97" s="1992" t="s">
        <v>2269</v>
      </c>
      <c r="B97" s="1976"/>
      <c r="C97" s="1994"/>
      <c r="D97" s="1968"/>
      <c r="E97" s="1969"/>
      <c r="F97" s="1969"/>
      <c r="G97" s="2014">
        <f>SUM(G92:G96)</f>
        <v>22225</v>
      </c>
      <c r="H97" s="2014"/>
      <c r="I97" s="2014">
        <f>SUM(I92:I96)</f>
        <v>14074</v>
      </c>
      <c r="J97" s="2014"/>
      <c r="K97" s="2014">
        <f>SUM(K92:K96)</f>
        <v>28991</v>
      </c>
      <c r="L97" s="2014"/>
      <c r="M97" s="2014">
        <f>SUM(M92:M96)</f>
        <v>13870</v>
      </c>
      <c r="N97" s="2014"/>
      <c r="O97" s="2014">
        <f>SUM(O92:O96)</f>
        <v>0</v>
      </c>
      <c r="P97" s="2014"/>
      <c r="Q97" s="2014">
        <f>SUM(Q92:Q96)</f>
        <v>42861</v>
      </c>
      <c r="R97" s="1998"/>
      <c r="S97" s="2032"/>
    </row>
    <row r="98" spans="1:19" ht="7.5" customHeight="1" x14ac:dyDescent="0.2">
      <c r="A98" s="1992"/>
      <c r="B98" s="1976"/>
      <c r="C98" s="1994"/>
      <c r="D98" s="1968"/>
      <c r="E98" s="1969"/>
      <c r="F98" s="1969"/>
      <c r="G98" s="2014"/>
      <c r="H98" s="2014"/>
      <c r="I98" s="2014"/>
      <c r="J98" s="2014"/>
      <c r="K98" s="2014"/>
      <c r="L98" s="2014"/>
      <c r="M98" s="2014"/>
      <c r="N98" s="2014"/>
      <c r="O98" s="2014"/>
      <c r="P98" s="2014"/>
      <c r="Q98" s="2014"/>
      <c r="R98" s="1998"/>
      <c r="S98" s="2032"/>
    </row>
    <row r="99" spans="1:19" ht="21" customHeight="1" x14ac:dyDescent="0.2">
      <c r="A99" s="1992" t="s">
        <v>2270</v>
      </c>
      <c r="C99" s="2042"/>
      <c r="D99" s="1968"/>
      <c r="E99" s="1968"/>
      <c r="F99" s="1969"/>
      <c r="G99" s="2043">
        <f>G40+G88+G97</f>
        <v>1470129</v>
      </c>
      <c r="H99" s="2043"/>
      <c r="I99" s="2043">
        <f>I40+I88+I97</f>
        <v>2170935</v>
      </c>
      <c r="J99" s="2043"/>
      <c r="K99" s="2043">
        <f>K40+K88+K97</f>
        <v>1852792</v>
      </c>
      <c r="L99" s="2043"/>
      <c r="M99" s="2043">
        <f>M40+M88+M97</f>
        <v>2394865</v>
      </c>
      <c r="N99" s="2043"/>
      <c r="O99" s="2043">
        <f>O40+O88+O97</f>
        <v>114057</v>
      </c>
      <c r="P99" s="2043"/>
      <c r="Q99" s="2043">
        <f>Q40+Q88+Q97</f>
        <v>4361714</v>
      </c>
      <c r="R99" s="2044"/>
      <c r="S99" s="1998"/>
    </row>
    <row r="100" spans="1:19" ht="15" customHeight="1" x14ac:dyDescent="0.2">
      <c r="B100" s="1968"/>
      <c r="C100" s="2042"/>
      <c r="D100" s="1968"/>
      <c r="E100" s="1968"/>
      <c r="F100" s="1969"/>
      <c r="G100" s="2045"/>
      <c r="H100" s="1998"/>
      <c r="I100" s="2045"/>
      <c r="J100" s="1999"/>
      <c r="K100" s="2045"/>
      <c r="L100" s="2046"/>
      <c r="M100" s="2045"/>
      <c r="N100" s="2046"/>
      <c r="O100" s="2045"/>
      <c r="P100" s="1999"/>
      <c r="Q100" s="2045"/>
      <c r="R100" s="2046"/>
      <c r="S100" s="1998"/>
    </row>
    <row r="101" spans="1:19" x14ac:dyDescent="0.2">
      <c r="B101" s="1968"/>
      <c r="C101" s="2042"/>
      <c r="D101" s="1968"/>
      <c r="E101" s="1968"/>
      <c r="F101" s="1969"/>
      <c r="G101" s="2045"/>
      <c r="H101" s="1998"/>
      <c r="I101" s="2045"/>
      <c r="J101" s="1999"/>
      <c r="K101" s="2045"/>
      <c r="L101" s="2046"/>
      <c r="M101" s="2045"/>
      <c r="N101" s="2046"/>
      <c r="O101" s="2045"/>
      <c r="P101" s="1999"/>
      <c r="Q101" s="2045"/>
      <c r="R101" s="2046"/>
      <c r="S101" s="1998"/>
    </row>
    <row r="102" spans="1:19" ht="18" customHeight="1" x14ac:dyDescent="0.2">
      <c r="A102" s="1992" t="s">
        <v>2271</v>
      </c>
      <c r="B102" s="1968"/>
      <c r="C102" s="2042"/>
      <c r="D102" s="1968"/>
      <c r="E102" s="1968"/>
      <c r="F102" s="1969"/>
      <c r="G102" s="2000">
        <f>SUM(G20:G39)+SUM(G45:G62)</f>
        <v>1447904</v>
      </c>
      <c r="H102" s="2000"/>
      <c r="I102" s="2000">
        <f>SUM(I20:I39)+SUM(I45:I62)</f>
        <v>2156861</v>
      </c>
      <c r="J102" s="2000"/>
      <c r="K102" s="2000">
        <f>SUM(K20:K39)+SUM(K45:K62)</f>
        <v>1823801</v>
      </c>
      <c r="L102" s="2000"/>
      <c r="M102" s="2000">
        <f>SUM(M20:M39)+SUM(M45:M62)</f>
        <v>2380995</v>
      </c>
      <c r="N102" s="2000"/>
      <c r="O102" s="2000">
        <f>SUM(O20:O39)+SUM(O45:O62)</f>
        <v>114057</v>
      </c>
      <c r="P102" s="2000"/>
      <c r="Q102" s="2000">
        <f>SUM(Q20:Q39)+SUM(Q45:Q62)</f>
        <v>4318853</v>
      </c>
      <c r="R102" s="2046"/>
      <c r="S102" s="1998"/>
    </row>
    <row r="103" spans="1:19" ht="6" customHeight="1" x14ac:dyDescent="0.2">
      <c r="A103" s="1992"/>
      <c r="B103" s="1968"/>
      <c r="C103" s="2042"/>
      <c r="D103" s="1968"/>
      <c r="E103" s="1968"/>
      <c r="F103" s="1969"/>
      <c r="G103" s="2045"/>
      <c r="H103" s="1998"/>
      <c r="I103" s="2045"/>
      <c r="J103" s="1999"/>
      <c r="K103" s="2045"/>
      <c r="L103" s="2046"/>
      <c r="M103" s="2045"/>
      <c r="N103" s="2046"/>
      <c r="O103" s="2045"/>
      <c r="P103" s="1999"/>
      <c r="Q103" s="2045"/>
      <c r="R103" s="2046"/>
      <c r="S103" s="1998"/>
    </row>
    <row r="104" spans="1:19" ht="20.25" customHeight="1" x14ac:dyDescent="0.2">
      <c r="A104" s="1992" t="s">
        <v>2272</v>
      </c>
      <c r="B104" s="1968"/>
      <c r="C104" s="2042"/>
      <c r="D104" s="1968"/>
      <c r="E104" s="1968"/>
      <c r="F104" s="1969"/>
      <c r="G104" s="2014">
        <f>SUM(G71,G76,G86,G97)</f>
        <v>22225</v>
      </c>
      <c r="H104" s="2014"/>
      <c r="I104" s="2014">
        <f>SUM(I71,I76,I86,I97)</f>
        <v>14074</v>
      </c>
      <c r="J104" s="2014"/>
      <c r="K104" s="2014">
        <f>SUM(K71,K76,K86,K97)</f>
        <v>28991</v>
      </c>
      <c r="L104" s="2014"/>
      <c r="M104" s="2014">
        <f>SUM(M71,M76,M86,M97)</f>
        <v>13870</v>
      </c>
      <c r="N104" s="2014"/>
      <c r="O104" s="2014">
        <f>SUM(O71,O76,O86,O97)</f>
        <v>0</v>
      </c>
      <c r="P104" s="2014"/>
      <c r="Q104" s="2014">
        <f>SUM(Q71,Q76,Q86,Q97)</f>
        <v>42861</v>
      </c>
      <c r="R104" s="2046"/>
      <c r="S104" s="1998"/>
    </row>
    <row r="105" spans="1:19" ht="0.75" customHeight="1" x14ac:dyDescent="0.2">
      <c r="A105" s="1992"/>
      <c r="B105" s="1968"/>
      <c r="C105" s="2042"/>
      <c r="D105" s="1968"/>
      <c r="E105" s="1968"/>
      <c r="F105" s="1969"/>
      <c r="G105" s="2045"/>
      <c r="H105" s="1998"/>
      <c r="I105" s="2045"/>
      <c r="J105" s="1999"/>
      <c r="K105" s="2045"/>
      <c r="L105" s="2046"/>
      <c r="M105" s="2045"/>
      <c r="N105" s="2046"/>
      <c r="O105" s="2045"/>
      <c r="P105" s="1999"/>
      <c r="Q105" s="2045"/>
      <c r="R105" s="2046"/>
      <c r="S105" s="1998"/>
    </row>
    <row r="106" spans="1:19" s="2047" customFormat="1" ht="21" customHeight="1" x14ac:dyDescent="0.2">
      <c r="A106" s="1992" t="s">
        <v>2270</v>
      </c>
      <c r="B106" s="1968"/>
      <c r="C106" s="2042"/>
      <c r="D106" s="1968"/>
      <c r="E106" s="1968"/>
      <c r="F106" s="1969"/>
      <c r="G106" s="2043">
        <f>G102+G104</f>
        <v>1470129</v>
      </c>
      <c r="H106" s="2043"/>
      <c r="I106" s="2043">
        <f>I102+I104</f>
        <v>2170935</v>
      </c>
      <c r="J106" s="2043"/>
      <c r="K106" s="2043">
        <f t="shared" ref="K106:Q106" si="0">K102+K104</f>
        <v>1852792</v>
      </c>
      <c r="L106" s="2043"/>
      <c r="M106" s="2043">
        <f t="shared" si="0"/>
        <v>2394865</v>
      </c>
      <c r="N106" s="2043"/>
      <c r="O106" s="2043">
        <f t="shared" si="0"/>
        <v>114057</v>
      </c>
      <c r="P106" s="2043"/>
      <c r="Q106" s="2043">
        <f t="shared" si="0"/>
        <v>4361714</v>
      </c>
      <c r="R106" s="2046"/>
      <c r="S106" s="1998"/>
    </row>
    <row r="107" spans="1:19" s="2048" customFormat="1" ht="15" customHeight="1" x14ac:dyDescent="0.15">
      <c r="A107" s="1969"/>
      <c r="B107" s="1968"/>
      <c r="C107" s="2042"/>
      <c r="D107" s="1968"/>
      <c r="E107" s="1968"/>
      <c r="F107" s="1969"/>
      <c r="G107" s="2045"/>
      <c r="H107" s="1998"/>
      <c r="I107" s="2045"/>
      <c r="J107" s="1999"/>
      <c r="K107" s="2045"/>
      <c r="L107" s="2046"/>
      <c r="M107" s="2045"/>
      <c r="N107" s="2046"/>
      <c r="O107" s="2045"/>
      <c r="P107" s="1999"/>
      <c r="Q107" s="2045"/>
      <c r="R107" s="2046"/>
      <c r="S107" s="1998"/>
    </row>
    <row r="108" spans="1:19" s="2048" customFormat="1" ht="15" customHeight="1" x14ac:dyDescent="0.15">
      <c r="A108" s="1968" t="s">
        <v>2273</v>
      </c>
      <c r="B108" s="1970"/>
      <c r="C108" s="1968"/>
      <c r="D108" s="1968"/>
      <c r="E108" s="1968"/>
      <c r="F108" s="1969"/>
      <c r="G108" s="1998"/>
      <c r="H108" s="1998"/>
      <c r="I108" s="1998"/>
      <c r="J108" s="1999"/>
      <c r="K108" s="1998"/>
      <c r="L108" s="1998"/>
      <c r="M108" s="1998"/>
      <c r="N108" s="1998"/>
      <c r="O108" s="1998"/>
      <c r="P108" s="1999"/>
      <c r="Q108" s="1998"/>
      <c r="R108" s="1998"/>
      <c r="S108" s="1998"/>
    </row>
    <row r="109" spans="1:19" s="2048" customFormat="1" ht="15" customHeight="1" x14ac:dyDescent="0.15">
      <c r="A109" s="1968" t="s">
        <v>2274</v>
      </c>
      <c r="B109" s="1970"/>
      <c r="C109" s="1968"/>
      <c r="D109" s="1968"/>
      <c r="E109" s="1968"/>
      <c r="F109" s="1969"/>
      <c r="G109" s="1998"/>
      <c r="H109" s="1998"/>
      <c r="I109" s="1998"/>
      <c r="J109" s="1999"/>
      <c r="K109" s="1998"/>
      <c r="L109" s="1998"/>
      <c r="M109" s="1998"/>
      <c r="N109" s="1998"/>
      <c r="O109" s="1998"/>
      <c r="P109" s="1999"/>
      <c r="Q109" s="1998"/>
      <c r="R109" s="1998"/>
      <c r="S109" s="1998"/>
    </row>
    <row r="110" spans="1:19" s="2048" customFormat="1" ht="15" customHeight="1" x14ac:dyDescent="0.15">
      <c r="A110" s="2049" t="s">
        <v>2275</v>
      </c>
      <c r="B110" s="1970"/>
      <c r="C110" s="1968"/>
      <c r="D110" s="1968"/>
      <c r="E110" s="1968"/>
      <c r="F110" s="1969"/>
      <c r="G110" s="1998"/>
      <c r="H110" s="1998"/>
      <c r="I110" s="1998"/>
      <c r="J110" s="1999"/>
      <c r="K110" s="1998"/>
      <c r="L110" s="1998"/>
      <c r="M110" s="1998"/>
      <c r="N110" s="1998"/>
      <c r="O110" s="1998"/>
      <c r="P110" s="1999"/>
      <c r="Q110" s="1998"/>
      <c r="R110" s="1998"/>
      <c r="S110" s="1998"/>
    </row>
    <row r="111" spans="1:19" s="2048" customFormat="1" ht="15" customHeight="1" x14ac:dyDescent="0.15">
      <c r="A111" s="1976" t="s">
        <v>2276</v>
      </c>
      <c r="B111" s="1976"/>
      <c r="C111" s="1968"/>
      <c r="D111" s="1968"/>
      <c r="E111" s="1968"/>
      <c r="F111" s="1969"/>
      <c r="G111" s="1998"/>
      <c r="H111" s="1998"/>
      <c r="I111" s="1998"/>
      <c r="J111" s="1999"/>
      <c r="K111" s="1998"/>
      <c r="L111" s="1998"/>
      <c r="M111" s="1998"/>
      <c r="N111" s="1998"/>
      <c r="O111" s="1998"/>
      <c r="P111" s="1999"/>
      <c r="Q111" s="1998"/>
      <c r="R111" s="1998"/>
      <c r="S111" s="1998"/>
    </row>
    <row r="112" spans="1:19" s="2048" customFormat="1" ht="13.5" customHeight="1" x14ac:dyDescent="0.2">
      <c r="A112" s="2050" t="s">
        <v>2277</v>
      </c>
      <c r="B112" s="2050"/>
      <c r="C112" s="1961"/>
      <c r="D112" s="1961"/>
      <c r="E112" s="1961"/>
      <c r="F112" s="1960"/>
      <c r="G112" s="2051"/>
      <c r="H112" s="2051"/>
      <c r="I112" s="2051"/>
      <c r="J112" s="2052"/>
      <c r="K112" s="2051"/>
      <c r="L112" s="2051"/>
      <c r="M112" s="2051"/>
      <c r="N112" s="2051"/>
      <c r="O112" s="2051"/>
      <c r="P112" s="2052"/>
      <c r="Q112" s="2051"/>
      <c r="R112" s="2051"/>
      <c r="S112" s="2051"/>
    </row>
    <row r="113" spans="1:19" s="2048" customFormat="1" ht="15" customHeight="1" x14ac:dyDescent="0.2">
      <c r="A113" s="2053" t="s">
        <v>2278</v>
      </c>
      <c r="B113" s="2054"/>
      <c r="C113" s="2055"/>
      <c r="D113" s="2056"/>
      <c r="E113" s="2056"/>
      <c r="F113" s="2056"/>
      <c r="G113" s="2056"/>
      <c r="H113" s="2056"/>
      <c r="I113" s="2056"/>
      <c r="J113" s="2056"/>
    </row>
    <row r="114" spans="1:19" s="2048" customFormat="1" ht="15" customHeight="1" x14ac:dyDescent="0.2">
      <c r="A114" s="2056" t="s">
        <v>2279</v>
      </c>
      <c r="B114" s="2057"/>
      <c r="C114" s="2058"/>
    </row>
    <row r="115" spans="1:19" s="2048" customFormat="1" ht="15" customHeight="1" x14ac:dyDescent="0.2">
      <c r="A115" s="2056" t="s">
        <v>2280</v>
      </c>
      <c r="B115" s="2057"/>
      <c r="C115" s="2058"/>
    </row>
    <row r="116" spans="1:19" s="2048" customFormat="1" ht="15" customHeight="1" x14ac:dyDescent="0.2">
      <c r="A116" s="2056" t="s">
        <v>2281</v>
      </c>
      <c r="B116" s="2057"/>
      <c r="C116" s="2058"/>
    </row>
    <row r="117" spans="1:19" s="2059" customFormat="1" ht="15" customHeight="1" x14ac:dyDescent="0.15">
      <c r="B117" s="2060"/>
      <c r="C117" s="2061"/>
      <c r="F117" s="2062"/>
      <c r="G117" s="2062"/>
      <c r="H117" s="2062"/>
      <c r="I117" s="2062"/>
      <c r="J117" s="2063"/>
    </row>
    <row r="118" spans="1:19" ht="15" customHeight="1" x14ac:dyDescent="0.2"/>
    <row r="119" spans="1:19" ht="15" customHeight="1" x14ac:dyDescent="0.2"/>
    <row r="120" spans="1:19" ht="15" customHeight="1" x14ac:dyDescent="0.2"/>
    <row r="121" spans="1:19" ht="15" customHeight="1" x14ac:dyDescent="0.2"/>
    <row r="122" spans="1:19" ht="15" customHeight="1" x14ac:dyDescent="0.2"/>
    <row r="123" spans="1:19" ht="15" customHeight="1" x14ac:dyDescent="0.2"/>
    <row r="124" spans="1:19" ht="15" customHeight="1" x14ac:dyDescent="0.2">
      <c r="B124" s="2050"/>
      <c r="C124" s="2064"/>
      <c r="D124" s="1961"/>
      <c r="E124" s="2065"/>
      <c r="F124" s="1960"/>
      <c r="G124" s="2051"/>
      <c r="H124" s="2051"/>
      <c r="I124" s="2051"/>
      <c r="J124" s="2052"/>
      <c r="K124" s="2051"/>
      <c r="L124" s="2051"/>
      <c r="M124" s="2051"/>
      <c r="N124" s="2051"/>
      <c r="O124" s="2051"/>
      <c r="P124" s="2052"/>
      <c r="Q124" s="2066"/>
      <c r="R124" s="2051"/>
      <c r="S124" s="2051"/>
    </row>
    <row r="125" spans="1:19" ht="15" customHeight="1" x14ac:dyDescent="0.2"/>
    <row r="126" spans="1:19" ht="15" customHeight="1" x14ac:dyDescent="0.2"/>
    <row r="127" spans="1:19" ht="15" customHeight="1" x14ac:dyDescent="0.2"/>
    <row r="128" spans="1:19"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sheetData>
  <mergeCells count="4">
    <mergeCell ref="A5:S5"/>
    <mergeCell ref="A6:S6"/>
    <mergeCell ref="A7:S7"/>
    <mergeCell ref="A8:S8"/>
  </mergeCells>
  <printOptions gridLinesSet="0"/>
  <pageMargins left="0.5" right="0.4" top="0.75" bottom="0" header="0.5" footer="0"/>
  <pageSetup scale="75" fitToWidth="2" fitToHeight="4" orientation="landscape" horizontalDpi="1200" verticalDpi="1200" r:id="rId1"/>
  <headerFooter alignWithMargins="0">
    <oddFooter>&amp;L&amp;"Times New Roman,Regular"See the accompanying notes to the Schedule of Expenditures of Federal Awards.</oddFooter>
  </headerFooter>
  <rowBreaks count="1" manualBreakCount="1">
    <brk id="88"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513" t="str">
        <f>'Single Audit Cover'!A7</f>
        <v>Kewanee CUSD 229</v>
      </c>
      <c r="C1" s="2572"/>
      <c r="D1" s="2572"/>
      <c r="E1" s="2572"/>
      <c r="F1" s="2572"/>
      <c r="G1" s="2572"/>
      <c r="H1" s="2572"/>
      <c r="I1" s="2572"/>
      <c r="J1" s="2572"/>
      <c r="K1" s="2572"/>
      <c r="L1" s="2572"/>
      <c r="M1" s="2572"/>
    </row>
    <row r="2" spans="2:14" ht="15" x14ac:dyDescent="0.2">
      <c r="B2" s="2558">
        <f>'Single Audit Cover'!E7</f>
        <v>28037229026</v>
      </c>
      <c r="C2" s="2558"/>
      <c r="D2" s="2558"/>
      <c r="E2" s="2558"/>
      <c r="F2" s="2558"/>
      <c r="G2" s="2558"/>
      <c r="H2" s="2558"/>
      <c r="I2" s="2558"/>
      <c r="J2" s="2558"/>
      <c r="K2" s="2558"/>
      <c r="L2" s="2558"/>
      <c r="M2" s="2558"/>
      <c r="N2" s="1297"/>
    </row>
    <row r="3" spans="2:14" ht="15" x14ac:dyDescent="0.2">
      <c r="B3" s="2573" t="s">
        <v>1281</v>
      </c>
      <c r="C3" s="2573"/>
      <c r="D3" s="2573"/>
      <c r="E3" s="2573"/>
      <c r="F3" s="2573"/>
      <c r="G3" s="2573"/>
      <c r="H3" s="2573"/>
      <c r="I3" s="2573"/>
      <c r="J3" s="2573"/>
      <c r="K3" s="2573"/>
      <c r="L3" s="2573"/>
      <c r="M3" s="2573"/>
      <c r="N3" s="1297"/>
    </row>
    <row r="4" spans="2:14" ht="15" x14ac:dyDescent="0.2">
      <c r="B4" s="2574" t="str">
        <f>'Single Audit Cover'!A4</f>
        <v>Year Ending June 30, 2018</v>
      </c>
      <c r="C4" s="2574"/>
      <c r="D4" s="2574"/>
      <c r="E4" s="2574"/>
      <c r="F4" s="2574"/>
      <c r="G4" s="2574"/>
      <c r="H4" s="2574"/>
      <c r="I4" s="2574"/>
      <c r="J4" s="2574"/>
      <c r="K4" s="2574"/>
      <c r="L4" s="2574"/>
      <c r="M4" s="2574"/>
      <c r="N4" s="1297"/>
    </row>
    <row r="6" spans="2:14" x14ac:dyDescent="0.2">
      <c r="B6" s="1298"/>
      <c r="C6" s="1299"/>
      <c r="D6" s="1300" t="s">
        <v>1327</v>
      </c>
      <c r="E6" s="1301" t="s">
        <v>548</v>
      </c>
      <c r="F6" s="1302"/>
      <c r="G6" s="1303" t="s">
        <v>1832</v>
      </c>
      <c r="H6" s="1301"/>
      <c r="I6" s="1301"/>
      <c r="J6" s="1301"/>
      <c r="K6" s="1304"/>
      <c r="L6" s="1305"/>
      <c r="M6" s="1306"/>
    </row>
    <row r="7" spans="2:14" x14ac:dyDescent="0.2">
      <c r="B7" s="1307" t="s">
        <v>1660</v>
      </c>
      <c r="C7" s="1308"/>
      <c r="D7" s="1309"/>
      <c r="E7" s="1310"/>
      <c r="F7" s="1311"/>
      <c r="G7" s="1310"/>
      <c r="H7" s="1312" t="s">
        <v>1324</v>
      </c>
      <c r="I7" s="1310"/>
      <c r="J7" s="1313" t="s">
        <v>1324</v>
      </c>
      <c r="K7" s="1314"/>
      <c r="L7" s="1315" t="s">
        <v>1322</v>
      </c>
      <c r="M7" s="1316"/>
    </row>
    <row r="8" spans="2:14" x14ac:dyDescent="0.2">
      <c r="B8" s="1682"/>
      <c r="C8" s="1308" t="s">
        <v>1326</v>
      </c>
      <c r="D8" s="1309" t="s">
        <v>1325</v>
      </c>
      <c r="E8" s="1317" t="s">
        <v>1324</v>
      </c>
      <c r="F8" s="1318" t="s">
        <v>1324</v>
      </c>
      <c r="G8" s="1319" t="s">
        <v>1324</v>
      </c>
      <c r="H8" s="1312" t="s">
        <v>1661</v>
      </c>
      <c r="I8" s="1314" t="s">
        <v>1324</v>
      </c>
      <c r="J8" s="1313" t="s">
        <v>1945</v>
      </c>
      <c r="K8" s="1314" t="s">
        <v>1323</v>
      </c>
      <c r="L8" s="1315" t="s">
        <v>1319</v>
      </c>
      <c r="M8" s="1316" t="s">
        <v>30</v>
      </c>
    </row>
    <row r="9" spans="2:14" ht="14.25" x14ac:dyDescent="0.2">
      <c r="B9" s="1320" t="s">
        <v>1321</v>
      </c>
      <c r="C9" s="1308" t="s">
        <v>1833</v>
      </c>
      <c r="D9" s="1309" t="s">
        <v>1834</v>
      </c>
      <c r="E9" s="1317" t="s">
        <v>1661</v>
      </c>
      <c r="F9" s="1318" t="s">
        <v>1945</v>
      </c>
      <c r="G9" s="1319" t="s">
        <v>1661</v>
      </c>
      <c r="H9" s="1312" t="s">
        <v>1662</v>
      </c>
      <c r="I9" s="1314" t="s">
        <v>1945</v>
      </c>
      <c r="J9" s="1313" t="s">
        <v>1662</v>
      </c>
      <c r="K9" s="1314" t="s">
        <v>1320</v>
      </c>
      <c r="L9" s="1321" t="s">
        <v>1663</v>
      </c>
      <c r="M9" s="1316"/>
    </row>
    <row r="10" spans="2:14" ht="11.85" customHeight="1" x14ac:dyDescent="0.2">
      <c r="B10" s="1320" t="s">
        <v>1318</v>
      </c>
      <c r="C10" s="1322" t="s">
        <v>1317</v>
      </c>
      <c r="D10" s="1323" t="s">
        <v>1316</v>
      </c>
      <c r="E10" s="1324" t="s">
        <v>1315</v>
      </c>
      <c r="F10" s="1325" t="s">
        <v>1314</v>
      </c>
      <c r="G10" s="1326" t="s">
        <v>1313</v>
      </c>
      <c r="H10" s="1327" t="s">
        <v>1328</v>
      </c>
      <c r="I10" s="1328" t="s">
        <v>1312</v>
      </c>
      <c r="J10" s="1329" t="s">
        <v>1328</v>
      </c>
      <c r="K10" s="1330" t="s">
        <v>1311</v>
      </c>
      <c r="L10" s="1330" t="s">
        <v>1310</v>
      </c>
      <c r="M10" s="1331" t="s">
        <v>1309</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t="s">
        <v>2080</v>
      </c>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1231</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5"/>
      <c r="C29" s="1344"/>
      <c r="D29" s="1345"/>
      <c r="E29" s="1255"/>
      <c r="F29" s="1255"/>
      <c r="G29" s="1248"/>
      <c r="H29" s="1248"/>
      <c r="I29" s="1248"/>
      <c r="J29" s="1248"/>
      <c r="K29" s="1248"/>
      <c r="L29" s="1248"/>
      <c r="M29" s="1255"/>
      <c r="N29" s="1339"/>
    </row>
    <row r="30" spans="2:14" ht="13.5" customHeight="1" x14ac:dyDescent="0.2">
      <c r="B30" s="1280" t="s">
        <v>1835</v>
      </c>
      <c r="C30" s="1344"/>
      <c r="D30" s="1345"/>
      <c r="E30" s="1255"/>
      <c r="F30" s="1255"/>
      <c r="G30" s="1248"/>
      <c r="H30" s="1248"/>
      <c r="I30" s="1248"/>
      <c r="J30" s="1248"/>
      <c r="K30" s="1248"/>
      <c r="L30" s="1248"/>
      <c r="M30" s="1255"/>
      <c r="N30" s="1339"/>
    </row>
    <row r="31" spans="2:14" ht="8.25" customHeight="1" x14ac:dyDescent="0.2">
      <c r="B31" s="1280"/>
      <c r="C31" s="1344"/>
      <c r="D31" s="1345"/>
      <c r="E31" s="1255"/>
      <c r="F31" s="1255"/>
      <c r="G31" s="1248"/>
      <c r="H31" s="1248"/>
      <c r="I31" s="1248"/>
      <c r="J31" s="1248"/>
      <c r="K31" s="1248"/>
      <c r="L31" s="1248"/>
      <c r="M31" s="1255"/>
      <c r="N31" s="1339"/>
    </row>
    <row r="32" spans="2:14" x14ac:dyDescent="0.2">
      <c r="B32" s="1346" t="s">
        <v>1946</v>
      </c>
      <c r="C32" s="1347"/>
      <c r="D32" s="1348"/>
      <c r="E32" s="1349"/>
      <c r="F32" s="1349"/>
      <c r="G32" s="1349"/>
      <c r="H32" s="1349"/>
      <c r="I32" s="317"/>
      <c r="J32" s="317"/>
    </row>
    <row r="33" spans="2:13" x14ac:dyDescent="0.2">
      <c r="B33" s="1275"/>
      <c r="C33" s="1350"/>
      <c r="D33" s="1351"/>
      <c r="E33" s="1276"/>
      <c r="F33" s="1276"/>
      <c r="G33" s="317"/>
      <c r="H33" s="317"/>
      <c r="I33" s="317"/>
      <c r="J33" s="317"/>
    </row>
    <row r="34" spans="2:13" ht="13.5" customHeight="1" x14ac:dyDescent="0.2">
      <c r="B34" s="1274" t="s">
        <v>1308</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1836</v>
      </c>
      <c r="C37" s="1360"/>
      <c r="D37" s="1360"/>
      <c r="E37" s="1360"/>
      <c r="F37" s="1360"/>
      <c r="G37" s="1360"/>
      <c r="H37" s="1360"/>
      <c r="I37" s="1361"/>
      <c r="J37" s="1361"/>
      <c r="K37" s="1361"/>
      <c r="L37" s="1361"/>
      <c r="M37" s="1361"/>
    </row>
    <row r="38" spans="2:13" ht="11.25" customHeight="1" x14ac:dyDescent="0.2">
      <c r="B38" s="1362" t="s">
        <v>1664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1837</v>
      </c>
      <c r="C40" s="1361"/>
      <c r="D40" s="1361"/>
      <c r="E40" s="1361"/>
      <c r="F40" s="1361"/>
      <c r="G40" s="1361"/>
      <c r="H40" s="1361"/>
      <c r="I40" s="1361"/>
      <c r="J40" s="1361"/>
      <c r="K40" s="1361"/>
      <c r="L40" s="1361"/>
      <c r="M40" s="1361"/>
    </row>
    <row r="41" spans="2:13" ht="11.25" customHeight="1" x14ac:dyDescent="0.2">
      <c r="B41" s="1295" t="s">
        <v>1665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1838</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1839</v>
      </c>
      <c r="C45" s="1363"/>
      <c r="D45" s="1364"/>
      <c r="E45" s="1295"/>
      <c r="F45" s="1295"/>
      <c r="G45" s="1295"/>
      <c r="H45" s="1295"/>
      <c r="I45" s="1295"/>
      <c r="J45" s="1295"/>
      <c r="K45" s="1365"/>
      <c r="L45" s="1365"/>
      <c r="M45" s="1295"/>
    </row>
    <row r="46" spans="2:13" ht="11.25" customHeight="1" x14ac:dyDescent="0.2">
      <c r="B46" s="1295" t="s">
        <v>1666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79" t="str">
        <f>'Single Audit Cover'!A7</f>
        <v>Kewanee CUSD 229</v>
      </c>
      <c r="C1" s="2580"/>
      <c r="D1" s="2580"/>
      <c r="E1" s="2580"/>
      <c r="F1" s="2580"/>
      <c r="G1" s="2580"/>
      <c r="H1" s="2580"/>
      <c r="I1" s="2580"/>
      <c r="J1" s="1417"/>
    </row>
    <row r="2" spans="2:10" s="317" customFormat="1" ht="12.75" customHeight="1" x14ac:dyDescent="0.2">
      <c r="B2" s="2581">
        <f>'Single Audit Cover'!E7</f>
        <v>28037229026</v>
      </c>
      <c r="C2" s="2582"/>
      <c r="D2" s="2582"/>
      <c r="E2" s="2582"/>
      <c r="F2" s="2582"/>
      <c r="G2" s="2582"/>
      <c r="H2" s="2582"/>
      <c r="I2" s="2582"/>
      <c r="J2" s="1417"/>
    </row>
    <row r="3" spans="2:10" s="317" customFormat="1" ht="12.75" customHeight="1" x14ac:dyDescent="0.2">
      <c r="B3" s="2583" t="s">
        <v>1347</v>
      </c>
      <c r="C3" s="2584"/>
      <c r="D3" s="2584"/>
      <c r="E3" s="2584"/>
      <c r="F3" s="2584"/>
      <c r="G3" s="2584"/>
      <c r="H3" s="2584"/>
      <c r="I3" s="2584"/>
      <c r="J3" s="1418"/>
    </row>
    <row r="4" spans="2:10" s="317" customFormat="1" ht="12.75" customHeight="1" x14ac:dyDescent="0.2">
      <c r="B4" s="2583" t="str">
        <f>'Single Audit Cover'!A4</f>
        <v>Year Ending June 30, 2018</v>
      </c>
      <c r="C4" s="2584"/>
      <c r="D4" s="2584"/>
      <c r="E4" s="2584"/>
      <c r="F4" s="2584"/>
      <c r="G4" s="2584"/>
      <c r="H4" s="2584"/>
      <c r="I4" s="2584"/>
    </row>
    <row r="5" spans="2:10" s="317" customFormat="1" ht="6.2" customHeight="1" x14ac:dyDescent="0.2">
      <c r="B5" s="1419" t="s">
        <v>1231</v>
      </c>
      <c r="C5" s="1289"/>
      <c r="D5" s="1289"/>
      <c r="E5" s="1378"/>
      <c r="F5" s="322"/>
      <c r="G5" s="322"/>
      <c r="H5" s="322"/>
      <c r="I5" s="322"/>
    </row>
    <row r="6" spans="2:10" s="317" customFormat="1" ht="6.2" customHeight="1" x14ac:dyDescent="0.2">
      <c r="B6" s="1420"/>
      <c r="C6" s="1374"/>
      <c r="D6" s="1374"/>
      <c r="E6" s="1375"/>
      <c r="F6" s="1374"/>
      <c r="G6" s="1374"/>
      <c r="H6" s="1374"/>
      <c r="I6" s="1374"/>
    </row>
    <row r="7" spans="2:10" s="317" customFormat="1" ht="13.5" customHeight="1" x14ac:dyDescent="0.2">
      <c r="B7" s="2583" t="s">
        <v>1346</v>
      </c>
      <c r="C7" s="2584"/>
      <c r="D7" s="2584"/>
      <c r="E7" s="2584"/>
      <c r="F7" s="2584"/>
      <c r="G7" s="2584"/>
      <c r="H7" s="2584"/>
      <c r="I7" s="2584"/>
    </row>
    <row r="8" spans="2:10" s="317" customFormat="1" ht="6.2" customHeight="1" x14ac:dyDescent="0.2">
      <c r="B8" s="1421" t="s">
        <v>1231</v>
      </c>
      <c r="C8" s="1422"/>
      <c r="D8" s="1422"/>
      <c r="E8" s="1423"/>
      <c r="F8" s="1422"/>
      <c r="G8" s="1422"/>
      <c r="H8" s="1422"/>
      <c r="I8" s="1422"/>
    </row>
    <row r="9" spans="2:10" s="317" customFormat="1" ht="9" customHeight="1" x14ac:dyDescent="0.2">
      <c r="B9" s="1424"/>
      <c r="C9" s="322"/>
      <c r="D9" s="322"/>
      <c r="E9" s="1378"/>
      <c r="F9" s="322"/>
      <c r="G9" s="322"/>
      <c r="H9" s="322"/>
      <c r="I9" s="322"/>
    </row>
    <row r="10" spans="2:10" s="317" customFormat="1" ht="12.75" customHeight="1" x14ac:dyDescent="0.2">
      <c r="B10" s="1425" t="s">
        <v>1345</v>
      </c>
      <c r="C10" s="1426"/>
      <c r="D10" s="1426"/>
      <c r="E10" s="1256"/>
    </row>
    <row r="11" spans="2:10" s="317" customFormat="1" ht="13.5" customHeight="1" x14ac:dyDescent="0.2">
      <c r="B11" s="1344" t="s">
        <v>1344</v>
      </c>
      <c r="C11" s="2585" t="s">
        <v>1226</v>
      </c>
      <c r="D11" s="2585"/>
      <c r="E11" s="1427"/>
      <c r="F11" s="1427"/>
      <c r="G11" s="1427"/>
    </row>
    <row r="12" spans="2:10" s="317" customFormat="1" ht="11.45" customHeight="1" x14ac:dyDescent="0.2">
      <c r="B12" s="1352"/>
      <c r="C12" s="1428" t="s">
        <v>1517</v>
      </c>
      <c r="D12" s="1429"/>
      <c r="E12" s="1256"/>
    </row>
    <row r="13" spans="2:10" s="317" customFormat="1" ht="12.75" customHeight="1" x14ac:dyDescent="0.2">
      <c r="B13" s="1430"/>
      <c r="C13" s="1382"/>
      <c r="D13" s="1382"/>
      <c r="E13" s="1256"/>
    </row>
    <row r="14" spans="2:10" s="317" customFormat="1" ht="12.75" customHeight="1" x14ac:dyDescent="0.2">
      <c r="B14" s="1363" t="s">
        <v>1343</v>
      </c>
      <c r="C14" s="1280"/>
      <c r="E14" s="1256"/>
    </row>
    <row r="15" spans="2:10" s="317" customFormat="1" ht="13.5" customHeight="1" x14ac:dyDescent="0.2">
      <c r="B15" s="1431" t="s">
        <v>1340</v>
      </c>
      <c r="C15" s="1432"/>
      <c r="D15" s="1393"/>
      <c r="E15" s="1433"/>
      <c r="F15" s="1295" t="s">
        <v>940</v>
      </c>
      <c r="G15" s="1433" t="s">
        <v>2097</v>
      </c>
      <c r="H15" s="1295" t="s">
        <v>1338</v>
      </c>
      <c r="I15" s="1295"/>
    </row>
    <row r="16" spans="2:10" s="317" customFormat="1" ht="8.4499999999999993" customHeight="1" x14ac:dyDescent="0.2">
      <c r="B16" s="1363"/>
      <c r="C16" s="1280"/>
      <c r="E16" s="1378"/>
      <c r="F16" s="1295"/>
      <c r="G16" s="322"/>
      <c r="H16" s="1295"/>
      <c r="I16" s="1295"/>
    </row>
    <row r="17" spans="2:9" s="317" customFormat="1" ht="13.5" customHeight="1" x14ac:dyDescent="0.2">
      <c r="B17" s="1431" t="s">
        <v>1339</v>
      </c>
      <c r="C17" s="1432"/>
      <c r="D17" s="1393"/>
      <c r="E17" s="1434"/>
      <c r="F17" s="1255"/>
      <c r="G17" s="1434"/>
      <c r="H17" s="1295"/>
      <c r="I17" s="1295"/>
    </row>
    <row r="18" spans="2:9" s="317" customFormat="1" ht="12.75" customHeight="1" x14ac:dyDescent="0.2">
      <c r="B18" s="1431" t="s">
        <v>1518</v>
      </c>
      <c r="C18" s="1432"/>
      <c r="D18" s="1393"/>
      <c r="E18" s="1433"/>
      <c r="F18" s="1295" t="s">
        <v>940</v>
      </c>
      <c r="G18" s="1433" t="s">
        <v>2097</v>
      </c>
      <c r="H18" s="1295" t="s">
        <v>1338</v>
      </c>
      <c r="I18" s="1295"/>
    </row>
    <row r="19" spans="2:9" s="317" customFormat="1" ht="8.4499999999999993" customHeight="1" x14ac:dyDescent="0.2">
      <c r="B19" s="1363"/>
      <c r="C19" s="1280"/>
      <c r="E19" s="1378"/>
      <c r="F19" s="1295"/>
      <c r="G19" s="322"/>
      <c r="H19" s="1295"/>
      <c r="I19" s="1295"/>
    </row>
    <row r="20" spans="2:9" s="317" customFormat="1" ht="13.5" customHeight="1" x14ac:dyDescent="0.2">
      <c r="B20" s="1431" t="s">
        <v>1671</v>
      </c>
      <c r="C20" s="1432"/>
      <c r="D20" s="1393"/>
      <c r="E20" s="1433"/>
      <c r="F20" s="1295" t="s">
        <v>940</v>
      </c>
      <c r="G20" s="1433" t="s">
        <v>2097</v>
      </c>
      <c r="H20" s="1295" t="s">
        <v>101</v>
      </c>
      <c r="I20" s="1295"/>
    </row>
    <row r="21" spans="2:9" s="317" customFormat="1" ht="12.75" customHeight="1" x14ac:dyDescent="0.2">
      <c r="B21" s="1363"/>
      <c r="C21" s="1280"/>
      <c r="E21" s="1378"/>
      <c r="F21" s="1295"/>
      <c r="G21" s="322"/>
      <c r="H21" s="1295"/>
      <c r="I21" s="1295"/>
    </row>
    <row r="22" spans="2:9" s="317" customFormat="1" ht="12.75" customHeight="1" x14ac:dyDescent="0.2">
      <c r="B22" s="1425" t="s">
        <v>1342</v>
      </c>
      <c r="C22" s="1435"/>
      <c r="D22" s="1426"/>
      <c r="E22" s="1378"/>
      <c r="F22" s="1295"/>
      <c r="G22" s="322"/>
      <c r="H22" s="1295"/>
      <c r="I22" s="1295"/>
    </row>
    <row r="23" spans="2:9" s="317" customFormat="1" ht="12.75" customHeight="1" x14ac:dyDescent="0.2">
      <c r="B23" s="1363" t="s">
        <v>1341</v>
      </c>
      <c r="C23" s="1280"/>
      <c r="E23" s="1378"/>
      <c r="F23" s="1295"/>
      <c r="G23" s="322"/>
      <c r="H23" s="1295"/>
      <c r="I23" s="1295"/>
    </row>
    <row r="24" spans="2:9" s="317" customFormat="1" ht="13.5" customHeight="1" x14ac:dyDescent="0.2">
      <c r="B24" s="1431" t="s">
        <v>1340</v>
      </c>
      <c r="C24" s="1432"/>
      <c r="D24" s="1393"/>
      <c r="E24" s="1433"/>
      <c r="F24" s="1295" t="s">
        <v>940</v>
      </c>
      <c r="G24" s="1433" t="s">
        <v>2097</v>
      </c>
      <c r="H24" s="1295" t="s">
        <v>1338</v>
      </c>
      <c r="I24" s="1295"/>
    </row>
    <row r="25" spans="2:9" s="317" customFormat="1" ht="8.4499999999999993" customHeight="1" x14ac:dyDescent="0.2">
      <c r="B25" s="1363"/>
      <c r="C25" s="1280"/>
      <c r="E25" s="1378"/>
      <c r="F25" s="1295"/>
      <c r="G25" s="322"/>
      <c r="H25" s="1295"/>
      <c r="I25" s="1295"/>
    </row>
    <row r="26" spans="2:9" s="317" customFormat="1" ht="13.5" customHeight="1" x14ac:dyDescent="0.2">
      <c r="B26" s="1431" t="s">
        <v>1339</v>
      </c>
      <c r="C26" s="1432"/>
      <c r="D26" s="1393"/>
      <c r="E26" s="1434"/>
      <c r="F26" s="1255"/>
      <c r="G26" s="1434"/>
      <c r="H26" s="1295"/>
      <c r="I26" s="1295"/>
    </row>
    <row r="27" spans="2:9" s="317" customFormat="1" ht="12.75" customHeight="1" x14ac:dyDescent="0.2">
      <c r="B27" s="1431" t="s">
        <v>1518</v>
      </c>
      <c r="C27" s="1432"/>
      <c r="D27" s="1393"/>
      <c r="E27" s="1433"/>
      <c r="F27" s="1295" t="s">
        <v>940</v>
      </c>
      <c r="G27" s="1433" t="s">
        <v>2097</v>
      </c>
      <c r="H27" s="1295" t="s">
        <v>1338</v>
      </c>
      <c r="I27" s="1295"/>
    </row>
    <row r="28" spans="2:9" s="317" customFormat="1" ht="12.75" customHeight="1" x14ac:dyDescent="0.2">
      <c r="B28" s="1363"/>
      <c r="C28" s="1280"/>
      <c r="E28" s="1256"/>
    </row>
    <row r="29" spans="2:9" s="317" customFormat="1" ht="12.75" customHeight="1" x14ac:dyDescent="0.2">
      <c r="B29" s="1363" t="s">
        <v>1337</v>
      </c>
      <c r="C29" s="1280"/>
      <c r="D29" s="2586" t="s">
        <v>2144</v>
      </c>
      <c r="E29" s="2586"/>
      <c r="F29" s="2586"/>
      <c r="G29" s="2586"/>
      <c r="H29" s="2586"/>
      <c r="I29" s="2586"/>
    </row>
    <row r="30" spans="2:9" s="317" customFormat="1" x14ac:dyDescent="0.2">
      <c r="B30" s="1363"/>
      <c r="C30" s="322"/>
      <c r="D30" s="1428" t="s">
        <v>1846</v>
      </c>
      <c r="E30" s="1429"/>
      <c r="F30" s="1429"/>
      <c r="G30" s="1429"/>
      <c r="H30" s="1429"/>
      <c r="I30" s="1429"/>
    </row>
    <row r="31" spans="2:9" s="317" customFormat="1" ht="9.9499999999999993" customHeight="1" x14ac:dyDescent="0.2">
      <c r="B31" s="1363"/>
      <c r="E31" s="1256"/>
    </row>
    <row r="32" spans="2:9" s="317" customFormat="1" x14ac:dyDescent="0.2">
      <c r="B32" s="1363" t="s">
        <v>1336</v>
      </c>
      <c r="C32" s="1280"/>
      <c r="E32" s="1256"/>
    </row>
    <row r="33" spans="2:9" ht="13.5" customHeight="1" x14ac:dyDescent="0.2">
      <c r="B33" s="1363" t="s">
        <v>1631</v>
      </c>
      <c r="C33" s="1280"/>
      <c r="E33" s="1433"/>
      <c r="F33" s="1295" t="s">
        <v>940</v>
      </c>
      <c r="G33" s="1433" t="s">
        <v>2097</v>
      </c>
      <c r="H33" s="1295" t="s">
        <v>101</v>
      </c>
    </row>
    <row r="35" spans="2:9" x14ac:dyDescent="0.2">
      <c r="B35" s="1436" t="s">
        <v>1847</v>
      </c>
      <c r="C35" s="1437"/>
      <c r="D35" s="1265"/>
    </row>
    <row r="36" spans="2:9" ht="6" customHeight="1" x14ac:dyDescent="0.2">
      <c r="B36" s="1436"/>
      <c r="C36" s="1437"/>
      <c r="D36" s="1265"/>
    </row>
    <row r="37" spans="2:9" ht="17.25" customHeight="1" x14ac:dyDescent="0.2">
      <c r="B37" s="1438" t="s">
        <v>1848</v>
      </c>
      <c r="C37" s="2587" t="s">
        <v>1849</v>
      </c>
      <c r="D37" s="2588"/>
      <c r="E37" s="2588"/>
      <c r="F37" s="2589"/>
      <c r="G37" s="2587" t="s">
        <v>1672</v>
      </c>
      <c r="H37" s="2588"/>
      <c r="I37" s="2589"/>
    </row>
    <row r="38" spans="2:9" ht="16.5" customHeight="1" x14ac:dyDescent="0.2">
      <c r="B38" s="1439" t="s">
        <v>2145</v>
      </c>
      <c r="C38" s="2575" t="s">
        <v>2158</v>
      </c>
      <c r="D38" s="2576"/>
      <c r="E38" s="2576"/>
      <c r="F38" s="2577"/>
      <c r="G38" s="2590">
        <v>1087150</v>
      </c>
      <c r="H38" s="2591"/>
      <c r="I38" s="2592"/>
    </row>
    <row r="39" spans="2:9" ht="16.5" customHeight="1" x14ac:dyDescent="0.2">
      <c r="B39" s="1439"/>
      <c r="C39" s="2575"/>
      <c r="D39" s="2576"/>
      <c r="E39" s="2576"/>
      <c r="F39" s="2577"/>
      <c r="G39" s="2578"/>
      <c r="H39" s="2578"/>
      <c r="I39" s="2578"/>
    </row>
    <row r="40" spans="2:9" ht="16.5" customHeight="1" x14ac:dyDescent="0.2">
      <c r="B40" s="1439"/>
      <c r="C40" s="2575"/>
      <c r="D40" s="2576"/>
      <c r="E40" s="2576"/>
      <c r="F40" s="2577"/>
      <c r="G40" s="2578"/>
      <c r="H40" s="2578"/>
      <c r="I40" s="2578"/>
    </row>
    <row r="41" spans="2:9" ht="16.5" customHeight="1" x14ac:dyDescent="0.2">
      <c r="B41" s="1439"/>
      <c r="C41" s="2575"/>
      <c r="D41" s="2576"/>
      <c r="E41" s="2576"/>
      <c r="F41" s="2577"/>
      <c r="G41" s="2578"/>
      <c r="H41" s="2578"/>
      <c r="I41" s="2578"/>
    </row>
    <row r="42" spans="2:9" ht="16.5" customHeight="1" x14ac:dyDescent="0.2">
      <c r="B42" s="1439"/>
      <c r="C42" s="2575"/>
      <c r="D42" s="2576"/>
      <c r="E42" s="2576"/>
      <c r="F42" s="2577"/>
      <c r="G42" s="2578"/>
      <c r="H42" s="2578"/>
      <c r="I42" s="2578"/>
    </row>
    <row r="43" spans="2:9" ht="16.5" customHeight="1" x14ac:dyDescent="0.2">
      <c r="B43" s="1439"/>
      <c r="C43" s="2593" t="s">
        <v>1673</v>
      </c>
      <c r="D43" s="2594"/>
      <c r="E43" s="2594"/>
      <c r="F43" s="2595"/>
      <c r="G43" s="2596">
        <f>SUM(G38:I42)</f>
        <v>1087150</v>
      </c>
      <c r="H43" s="2596"/>
      <c r="I43" s="2596"/>
    </row>
    <row r="44" spans="2:9" ht="12.75" customHeight="1" x14ac:dyDescent="0.2"/>
    <row r="45" spans="2:9" ht="12.75" customHeight="1" x14ac:dyDescent="0.2">
      <c r="B45" s="1430" t="s">
        <v>1947</v>
      </c>
      <c r="D45" s="2597">
        <v>2394865</v>
      </c>
      <c r="E45" s="2598"/>
    </row>
    <row r="46" spans="2:9" ht="5.25" customHeight="1" x14ac:dyDescent="0.2">
      <c r="B46" s="1440"/>
      <c r="D46" s="1441"/>
      <c r="E46" s="1442"/>
    </row>
    <row r="47" spans="2:9" ht="12.75" customHeight="1" x14ac:dyDescent="0.2">
      <c r="B47" s="1295" t="s">
        <v>1674</v>
      </c>
      <c r="C47" s="1295"/>
      <c r="D47" s="1443">
        <f>+G43/D45</f>
        <v>0.45395043144394359</v>
      </c>
      <c r="E47" s="1444"/>
      <c r="F47" s="1445"/>
      <c r="I47" s="1446"/>
    </row>
    <row r="48" spans="2:9" ht="9.9499999999999993" customHeight="1" x14ac:dyDescent="0.2"/>
    <row r="49" spans="1:9" x14ac:dyDescent="0.2">
      <c r="B49" s="1363" t="s">
        <v>1335</v>
      </c>
      <c r="C49" s="1280"/>
      <c r="D49" s="1280"/>
      <c r="E49" s="2599">
        <v>750000</v>
      </c>
      <c r="F49" s="2599"/>
      <c r="G49" s="2599"/>
      <c r="H49" s="322"/>
    </row>
    <row r="51" spans="1:9" ht="13.5" customHeight="1" x14ac:dyDescent="0.2">
      <c r="B51" s="1363" t="s">
        <v>1334</v>
      </c>
      <c r="C51" s="1280"/>
      <c r="E51" s="1433"/>
      <c r="F51" s="1295" t="s">
        <v>940</v>
      </c>
      <c r="G51" s="1433" t="s">
        <v>2097</v>
      </c>
      <c r="H51" s="1295" t="s">
        <v>101</v>
      </c>
    </row>
    <row r="52" spans="1:9" x14ac:dyDescent="0.2">
      <c r="B52" s="1355"/>
      <c r="C52" s="1292"/>
      <c r="D52" s="1447"/>
      <c r="E52" s="1448"/>
      <c r="F52" s="1449"/>
      <c r="G52" s="1449"/>
      <c r="H52" s="1449"/>
      <c r="I52" s="1449"/>
    </row>
    <row r="53" spans="1:9" ht="6" customHeight="1" x14ac:dyDescent="0.2">
      <c r="B53" s="1424"/>
      <c r="C53" s="322"/>
      <c r="D53" s="1450"/>
      <c r="E53" s="1451"/>
      <c r="F53" s="1452"/>
      <c r="G53" s="1452"/>
      <c r="H53" s="1452"/>
      <c r="I53" s="1452"/>
    </row>
    <row r="54" spans="1:9" s="1456" customFormat="1" ht="14.25" x14ac:dyDescent="0.2">
      <c r="A54" s="1453"/>
      <c r="B54" s="1454" t="s">
        <v>1850</v>
      </c>
      <c r="C54" s="1455"/>
      <c r="D54" s="1455"/>
    </row>
    <row r="55" spans="1:9" s="1456" customFormat="1" ht="12.75" customHeight="1" x14ac:dyDescent="0.2">
      <c r="A55" s="1453"/>
      <c r="B55" s="1457" t="s">
        <v>1675</v>
      </c>
      <c r="C55" s="1453"/>
      <c r="D55" s="1453"/>
    </row>
    <row r="56" spans="1:9" s="1456" customFormat="1" ht="12.75" customHeight="1" x14ac:dyDescent="0.2">
      <c r="A56" s="1453"/>
      <c r="B56" s="1457" t="s">
        <v>1676</v>
      </c>
      <c r="C56" s="1453"/>
      <c r="D56" s="1453"/>
    </row>
    <row r="57" spans="1:9" s="1456" customFormat="1" ht="3.95" customHeight="1" x14ac:dyDescent="0.2">
      <c r="A57" s="1453"/>
      <c r="B57" s="1457"/>
      <c r="C57" s="1453"/>
      <c r="D57" s="1453"/>
    </row>
    <row r="58" spans="1:9" s="1456" customFormat="1" ht="13.5" customHeight="1" x14ac:dyDescent="0.2">
      <c r="A58" s="1453"/>
      <c r="B58" s="1458" t="s">
        <v>1851</v>
      </c>
      <c r="C58" s="1459"/>
      <c r="D58" s="1459"/>
    </row>
    <row r="59" spans="1:9" s="1456" customFormat="1" ht="3.95" customHeight="1" x14ac:dyDescent="0.2">
      <c r="A59" s="1453"/>
      <c r="B59" s="1458"/>
      <c r="C59" s="1459"/>
      <c r="D59" s="1459"/>
    </row>
    <row r="60" spans="1:9" s="1456" customFormat="1" ht="13.5" customHeight="1" x14ac:dyDescent="0.2">
      <c r="A60" s="1453"/>
      <c r="B60" s="1458" t="s">
        <v>1852</v>
      </c>
      <c r="C60" s="1459"/>
      <c r="D60" s="1459"/>
    </row>
    <row r="61" spans="1:9" s="1456" customFormat="1" ht="3.95" customHeight="1" x14ac:dyDescent="0.2">
      <c r="A61" s="1453"/>
      <c r="B61" s="1458"/>
      <c r="C61" s="1459"/>
      <c r="D61" s="1459"/>
    </row>
    <row r="62" spans="1:9" s="1456" customFormat="1" ht="12.75" customHeight="1" x14ac:dyDescent="0.2">
      <c r="A62" s="1453"/>
      <c r="B62" s="1458" t="s">
        <v>1853</v>
      </c>
      <c r="C62" s="1459"/>
      <c r="D62" s="1459"/>
    </row>
    <row r="63" spans="1:9" s="1456" customFormat="1" ht="13.5" customHeight="1" x14ac:dyDescent="0.2">
      <c r="A63" s="1453"/>
      <c r="B63" s="1457" t="s">
        <v>1677</v>
      </c>
      <c r="C63" s="1453"/>
      <c r="D63" s="145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5.28515625" style="317" bestFit="1"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79" t="str">
        <f>'Single Audit Cover'!A7</f>
        <v>Kewanee CUSD 229</v>
      </c>
      <c r="C1" s="2579"/>
      <c r="D1" s="2579"/>
      <c r="E1" s="2579"/>
      <c r="F1" s="2579"/>
      <c r="G1" s="2579"/>
      <c r="H1" s="2579"/>
      <c r="I1" s="2579"/>
      <c r="J1" s="2579"/>
      <c r="K1" s="2579"/>
      <c r="L1" s="1369"/>
      <c r="M1" s="1369"/>
    </row>
    <row r="2" spans="1:13" ht="12" customHeight="1" x14ac:dyDescent="0.2">
      <c r="B2" s="2581">
        <f>'Single Audit Cover'!E7</f>
        <v>28037229026</v>
      </c>
      <c r="C2" s="2581"/>
      <c r="D2" s="2581"/>
      <c r="E2" s="2581"/>
      <c r="F2" s="2581"/>
      <c r="G2" s="2581"/>
      <c r="H2" s="2581"/>
      <c r="I2" s="2581"/>
      <c r="J2" s="2581"/>
      <c r="K2" s="2581"/>
      <c r="L2" s="1370"/>
      <c r="M2" s="1371"/>
    </row>
    <row r="3" spans="1:13" ht="10.35" customHeight="1" x14ac:dyDescent="0.2">
      <c r="B3" s="2602" t="s">
        <v>1347</v>
      </c>
      <c r="C3" s="2602"/>
      <c r="D3" s="2602"/>
      <c r="E3" s="2602"/>
      <c r="F3" s="2602"/>
      <c r="G3" s="2602"/>
      <c r="H3" s="2602"/>
      <c r="I3" s="2602"/>
      <c r="J3" s="2602"/>
      <c r="K3" s="2602"/>
      <c r="L3" s="1372"/>
      <c r="M3" s="1372"/>
    </row>
    <row r="4" spans="1:13" ht="14.25" customHeight="1" x14ac:dyDescent="0.2">
      <c r="B4" s="2603" t="str">
        <f>'Single Audit Cover'!A4</f>
        <v>Year Ending June 30, 2018</v>
      </c>
      <c r="C4" s="2603"/>
      <c r="D4" s="2603"/>
      <c r="E4" s="2603"/>
      <c r="F4" s="2603"/>
      <c r="G4" s="2603"/>
      <c r="H4" s="2603"/>
      <c r="I4" s="2603"/>
      <c r="J4" s="2603"/>
      <c r="K4" s="2603"/>
      <c r="L4" s="313"/>
      <c r="M4" s="313"/>
    </row>
    <row r="5" spans="1:13" ht="7.5" customHeight="1" x14ac:dyDescent="0.2">
      <c r="B5" s="1258" t="s">
        <v>1231</v>
      </c>
      <c r="C5" s="1258"/>
    </row>
    <row r="6" spans="1:13" ht="7.5" customHeight="1" x14ac:dyDescent="0.2">
      <c r="B6" s="1373"/>
      <c r="C6" s="1373"/>
      <c r="D6" s="1374"/>
      <c r="E6" s="1374"/>
      <c r="F6" s="1374"/>
      <c r="G6" s="1375"/>
      <c r="H6" s="1374"/>
      <c r="I6" s="1375"/>
      <c r="J6" s="1374"/>
      <c r="K6" s="1374"/>
      <c r="L6" s="1376"/>
    </row>
    <row r="7" spans="1:13" ht="12.75" customHeight="1" x14ac:dyDescent="0.2">
      <c r="A7" s="1280"/>
      <c r="B7" s="2603" t="s">
        <v>1363</v>
      </c>
      <c r="C7" s="2603"/>
      <c r="D7" s="2604"/>
      <c r="E7" s="2604"/>
      <c r="F7" s="2604"/>
      <c r="G7" s="2604"/>
      <c r="H7" s="2604"/>
      <c r="I7" s="2604"/>
      <c r="J7" s="2604"/>
      <c r="K7" s="2604"/>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1840</v>
      </c>
      <c r="C10" s="1380" t="s">
        <v>1948</v>
      </c>
      <c r="D10" s="1381" t="s">
        <v>2146</v>
      </c>
      <c r="E10" s="322"/>
      <c r="F10" s="1382" t="s">
        <v>1362</v>
      </c>
      <c r="G10" s="1383"/>
      <c r="H10" s="1384" t="s">
        <v>1361</v>
      </c>
      <c r="I10" s="1383"/>
      <c r="J10" s="1385" t="s">
        <v>1360</v>
      </c>
      <c r="K10" s="322"/>
      <c r="L10" s="1376"/>
    </row>
    <row r="11" spans="1:13" ht="13.5" customHeight="1" x14ac:dyDescent="0.2">
      <c r="B11" s="322"/>
      <c r="C11" s="322"/>
      <c r="D11" s="322"/>
      <c r="E11" s="322"/>
      <c r="F11" s="322"/>
      <c r="G11" s="1378"/>
      <c r="H11" s="322"/>
      <c r="I11" s="1386" t="s">
        <v>1359</v>
      </c>
      <c r="J11" s="322"/>
      <c r="K11" s="1387"/>
      <c r="L11" s="1376"/>
    </row>
    <row r="12" spans="1:13" ht="13.5" customHeight="1" x14ac:dyDescent="0.2">
      <c r="B12" s="1289"/>
      <c r="C12" s="1289"/>
      <c r="D12" s="322"/>
      <c r="E12" s="322"/>
      <c r="F12" s="322"/>
      <c r="G12" s="1378"/>
      <c r="H12" s="322"/>
      <c r="I12" s="1378"/>
      <c r="J12" s="322"/>
      <c r="L12" s="1376"/>
    </row>
    <row r="13" spans="1:13" s="1280" customFormat="1" ht="13.5" customHeight="1" x14ac:dyDescent="0.2">
      <c r="B13" s="1388" t="s">
        <v>1358</v>
      </c>
      <c r="C13" s="1388"/>
      <c r="D13" s="1389"/>
      <c r="E13" s="1389"/>
      <c r="F13" s="1389"/>
      <c r="G13" s="1390"/>
      <c r="H13" s="1389"/>
      <c r="I13" s="1390"/>
      <c r="J13" s="1389"/>
      <c r="K13" s="1389"/>
      <c r="L13" s="1391"/>
    </row>
    <row r="14" spans="1:13" ht="45.75" customHeight="1" x14ac:dyDescent="0.2">
      <c r="B14" s="2601"/>
      <c r="C14" s="2601"/>
      <c r="D14" s="2601"/>
      <c r="E14" s="2601"/>
      <c r="F14" s="2601"/>
      <c r="G14" s="2601"/>
      <c r="H14" s="2601"/>
      <c r="I14" s="2601"/>
      <c r="J14" s="2601"/>
      <c r="K14" s="2601"/>
      <c r="L14" s="1392"/>
    </row>
    <row r="15" spans="1:13" ht="4.5" customHeight="1" x14ac:dyDescent="0.2">
      <c r="B15" s="1393"/>
      <c r="C15" s="1393"/>
      <c r="D15" s="1394"/>
      <c r="E15" s="1394"/>
      <c r="F15" s="1394"/>
      <c r="H15" s="1394"/>
      <c r="J15" s="1394"/>
      <c r="K15" s="1394"/>
      <c r="L15" s="1392"/>
    </row>
    <row r="16" spans="1:13" s="1280" customFormat="1" ht="13.5" customHeight="1" x14ac:dyDescent="0.2">
      <c r="B16" s="1388" t="s">
        <v>1357</v>
      </c>
      <c r="C16" s="1388"/>
      <c r="D16" s="1389"/>
      <c r="E16" s="1389"/>
      <c r="F16" s="1389"/>
      <c r="G16" s="1390"/>
      <c r="H16" s="1389"/>
      <c r="I16" s="1390"/>
      <c r="J16" s="1389"/>
      <c r="K16" s="1389"/>
      <c r="L16" s="1391"/>
    </row>
    <row r="17" spans="2:12" ht="45.75" customHeight="1" x14ac:dyDescent="0.2">
      <c r="B17" s="2601"/>
      <c r="C17" s="2601"/>
      <c r="D17" s="2601"/>
      <c r="E17" s="2601"/>
      <c r="F17" s="2601"/>
      <c r="G17" s="2601"/>
      <c r="H17" s="2601"/>
      <c r="I17" s="2601"/>
      <c r="J17" s="2601"/>
      <c r="K17" s="2601"/>
      <c r="L17" s="1376"/>
    </row>
    <row r="18" spans="2:12" ht="4.5" customHeight="1" x14ac:dyDescent="0.2">
      <c r="B18" s="1393"/>
      <c r="C18" s="1393"/>
      <c r="L18" s="1376"/>
    </row>
    <row r="19" spans="2:12" s="1280" customFormat="1" ht="13.5" customHeight="1" x14ac:dyDescent="0.2">
      <c r="B19" s="1388" t="s">
        <v>1841</v>
      </c>
      <c r="C19" s="1388"/>
      <c r="D19" s="1389"/>
      <c r="E19" s="1389"/>
      <c r="F19" s="1389"/>
      <c r="G19" s="1390"/>
      <c r="H19" s="1389"/>
      <c r="I19" s="1390"/>
      <c r="J19" s="1389"/>
      <c r="K19" s="1389"/>
      <c r="L19" s="1391"/>
    </row>
    <row r="20" spans="2:12" ht="45.75" customHeight="1" x14ac:dyDescent="0.2">
      <c r="B20" s="2605"/>
      <c r="C20" s="2605"/>
      <c r="D20" s="2601"/>
      <c r="E20" s="2601"/>
      <c r="F20" s="2601"/>
      <c r="G20" s="2601"/>
      <c r="H20" s="2601"/>
      <c r="I20" s="2601"/>
      <c r="J20" s="2601"/>
      <c r="K20" s="2601"/>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601"/>
      <c r="C23" s="2601"/>
      <c r="D23" s="2601"/>
      <c r="E23" s="2601"/>
      <c r="F23" s="2601"/>
      <c r="G23" s="2601"/>
      <c r="H23" s="2601"/>
      <c r="I23" s="2601"/>
      <c r="J23" s="2601"/>
      <c r="K23" s="2601"/>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601"/>
      <c r="C26" s="2601"/>
      <c r="D26" s="2601"/>
      <c r="E26" s="2601"/>
      <c r="F26" s="2601"/>
      <c r="G26" s="2601"/>
      <c r="H26" s="2601"/>
      <c r="I26" s="2601"/>
      <c r="J26" s="2601"/>
      <c r="K26" s="2601"/>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45.75" customHeight="1" x14ac:dyDescent="0.2">
      <c r="B29" s="2600"/>
      <c r="C29" s="2600"/>
      <c r="D29" s="2601"/>
      <c r="E29" s="2601"/>
      <c r="F29" s="2601"/>
      <c r="G29" s="2601"/>
      <c r="H29" s="2601"/>
      <c r="I29" s="2601"/>
      <c r="J29" s="2601"/>
      <c r="K29" s="2601"/>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1842</v>
      </c>
      <c r="C31" s="1398"/>
      <c r="D31" s="1373"/>
      <c r="E31" s="1374"/>
      <c r="F31" s="1374"/>
      <c r="G31" s="1375"/>
      <c r="H31" s="1374"/>
      <c r="I31" s="1375"/>
      <c r="J31" s="1374"/>
      <c r="K31" s="1374"/>
      <c r="L31" s="1376"/>
    </row>
    <row r="32" spans="2:12" s="322" customFormat="1" ht="44.25" customHeight="1" x14ac:dyDescent="0.2">
      <c r="B32" s="2600"/>
      <c r="C32" s="2600"/>
      <c r="D32" s="2601"/>
      <c r="E32" s="2601"/>
      <c r="F32" s="2601"/>
      <c r="G32" s="2601"/>
      <c r="H32" s="2601"/>
      <c r="I32" s="2601"/>
      <c r="J32" s="2601"/>
      <c r="K32" s="2601"/>
      <c r="L32" s="1376"/>
    </row>
    <row r="33" spans="1:13" s="322" customFormat="1" ht="4.5" customHeight="1" x14ac:dyDescent="0.2">
      <c r="B33" s="1397"/>
      <c r="C33" s="1397"/>
      <c r="G33" s="1378"/>
      <c r="I33" s="1378"/>
      <c r="L33" s="1376"/>
    </row>
    <row r="34" spans="1:13" s="322" customFormat="1" x14ac:dyDescent="0.2">
      <c r="A34" s="1292"/>
      <c r="B34" s="1412"/>
      <c r="C34" s="1412"/>
      <c r="D34" s="1412"/>
      <c r="E34" s="1412"/>
      <c r="F34" s="1412"/>
      <c r="G34" s="1413"/>
      <c r="H34" s="1412"/>
      <c r="I34" s="1413"/>
      <c r="J34" s="1412"/>
      <c r="K34" s="1412"/>
      <c r="L34" s="1376"/>
    </row>
    <row r="35" spans="1:13" ht="11.85" customHeight="1" x14ac:dyDescent="0.2">
      <c r="B35" s="1414" t="s">
        <v>1843</v>
      </c>
      <c r="C35" s="1414"/>
      <c r="D35" s="322"/>
      <c r="E35" s="322"/>
      <c r="F35" s="322"/>
      <c r="L35" s="1376"/>
    </row>
    <row r="36" spans="1:13" ht="9.6" customHeight="1" x14ac:dyDescent="0.2">
      <c r="B36" s="1295" t="s">
        <v>1949</v>
      </c>
      <c r="C36" s="1295"/>
      <c r="L36" s="1376"/>
    </row>
    <row r="37" spans="1:13" ht="9.6" customHeight="1" x14ac:dyDescent="0.2">
      <c r="B37" s="1295" t="s">
        <v>1950</v>
      </c>
      <c r="C37" s="1295"/>
    </row>
    <row r="38" spans="1:13" ht="11.85" customHeight="1" x14ac:dyDescent="0.2">
      <c r="B38" s="1415" t="s">
        <v>1844</v>
      </c>
      <c r="C38" s="1415"/>
    </row>
    <row r="39" spans="1:13" ht="9.6" customHeight="1" x14ac:dyDescent="0.2">
      <c r="B39" s="1295" t="s">
        <v>1348</v>
      </c>
      <c r="C39" s="1295"/>
      <c r="M39" s="1416"/>
    </row>
    <row r="40" spans="1:13" ht="12.6" customHeight="1" x14ac:dyDescent="0.2">
      <c r="B40" s="1415" t="s">
        <v>1845</v>
      </c>
      <c r="C40" s="1415"/>
      <c r="M40" s="1416"/>
    </row>
    <row r="41" spans="1:13" ht="9.6" customHeight="1" x14ac:dyDescent="0.2">
      <c r="B41" s="1295"/>
      <c r="C41" s="1295"/>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5.28515625" style="317" bestFit="1"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06" t="str">
        <f>'Single Audit Cover'!A7</f>
        <v>Kewanee CUSD 229</v>
      </c>
      <c r="C1" s="2606"/>
      <c r="D1" s="2606"/>
      <c r="E1" s="2606"/>
      <c r="F1" s="2606"/>
      <c r="G1" s="2606"/>
      <c r="H1" s="2606"/>
      <c r="I1" s="2606"/>
      <c r="J1" s="2606"/>
      <c r="K1" s="2606"/>
      <c r="L1" s="1460"/>
    </row>
    <row r="2" spans="1:12" ht="12.75" customHeight="1" x14ac:dyDescent="0.2">
      <c r="B2" s="2607">
        <f>'Single Audit Cover'!E7</f>
        <v>28037229026</v>
      </c>
      <c r="C2" s="2607"/>
      <c r="D2" s="2607"/>
      <c r="E2" s="2607"/>
      <c r="F2" s="2607"/>
      <c r="G2" s="2607"/>
      <c r="H2" s="2607"/>
      <c r="I2" s="2607"/>
      <c r="J2" s="2607"/>
      <c r="K2" s="2607"/>
      <c r="L2" s="1461"/>
    </row>
    <row r="3" spans="1:12" ht="12.75" customHeight="1" x14ac:dyDescent="0.2">
      <c r="B3" s="2602" t="s">
        <v>1347</v>
      </c>
      <c r="C3" s="2602"/>
      <c r="D3" s="2602"/>
      <c r="E3" s="2602"/>
      <c r="F3" s="2602"/>
      <c r="G3" s="2602"/>
      <c r="H3" s="2602"/>
      <c r="I3" s="2602"/>
      <c r="J3" s="2602"/>
      <c r="K3" s="2602"/>
      <c r="L3" s="1372"/>
    </row>
    <row r="4" spans="1:12" ht="12.75" customHeight="1" x14ac:dyDescent="0.2">
      <c r="B4" s="2602" t="str">
        <f>'Single Audit Cover'!A4</f>
        <v>Year Ending June 30, 2018</v>
      </c>
      <c r="C4" s="2602"/>
      <c r="D4" s="2602"/>
      <c r="E4" s="2602"/>
      <c r="F4" s="2602"/>
      <c r="G4" s="2602"/>
      <c r="H4" s="2602"/>
      <c r="I4" s="2602"/>
      <c r="J4" s="2602"/>
      <c r="K4" s="2602"/>
      <c r="L4" s="1372"/>
    </row>
    <row r="5" spans="1:12" ht="5.25" customHeight="1" x14ac:dyDescent="0.2">
      <c r="B5" s="1258" t="s">
        <v>1231</v>
      </c>
      <c r="C5" s="1258"/>
      <c r="L5" s="322"/>
    </row>
    <row r="6" spans="1:12" ht="30.75" customHeight="1" x14ac:dyDescent="0.2">
      <c r="A6" s="322"/>
      <c r="B6" s="2608" t="s">
        <v>1375</v>
      </c>
      <c r="C6" s="2608"/>
      <c r="D6" s="2608"/>
      <c r="E6" s="2608"/>
      <c r="F6" s="2608"/>
      <c r="G6" s="2608"/>
      <c r="H6" s="2608"/>
      <c r="I6" s="2608"/>
      <c r="J6" s="2608"/>
      <c r="K6" s="2608"/>
      <c r="L6" s="322"/>
    </row>
    <row r="7" spans="1:12" ht="4.5" customHeight="1" x14ac:dyDescent="0.2">
      <c r="B7" s="1374"/>
      <c r="C7" s="1374"/>
      <c r="D7" s="1374"/>
      <c r="E7" s="1374"/>
      <c r="F7" s="1374"/>
      <c r="G7" s="1375"/>
      <c r="H7" s="1374"/>
      <c r="I7" s="1375"/>
      <c r="J7" s="1374"/>
      <c r="K7" s="1374"/>
      <c r="L7" s="322"/>
    </row>
    <row r="8" spans="1:12" ht="13.5" customHeight="1" x14ac:dyDescent="0.2">
      <c r="B8" s="1382" t="s">
        <v>1854</v>
      </c>
      <c r="C8" s="1462" t="s">
        <v>1948</v>
      </c>
      <c r="D8" s="1463" t="s">
        <v>2146</v>
      </c>
      <c r="E8" s="322"/>
      <c r="F8" s="1379" t="s">
        <v>1362</v>
      </c>
      <c r="G8" s="1464"/>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586"/>
      <c r="G12" s="2586"/>
      <c r="H12" s="2586"/>
      <c r="I12" s="2586"/>
      <c r="J12" s="2586"/>
      <c r="K12" s="2586"/>
      <c r="L12" s="322"/>
    </row>
    <row r="13" spans="1:12" ht="9.6" customHeight="1" x14ac:dyDescent="0.2">
      <c r="B13" s="1255"/>
      <c r="C13" s="1255"/>
      <c r="D13" s="304"/>
      <c r="E13" s="322"/>
      <c r="F13" s="322"/>
      <c r="G13" s="1378"/>
      <c r="H13" s="322"/>
      <c r="I13" s="1378"/>
      <c r="J13" s="322"/>
      <c r="K13" s="1427"/>
      <c r="L13" s="322"/>
    </row>
    <row r="14" spans="1:12" ht="13.5" customHeight="1" x14ac:dyDescent="0.2">
      <c r="B14" s="1382" t="s">
        <v>1371</v>
      </c>
      <c r="C14" s="1382"/>
      <c r="D14" s="2609"/>
      <c r="E14" s="2609"/>
      <c r="F14" s="2609"/>
      <c r="H14" s="1470" t="s">
        <v>1370</v>
      </c>
      <c r="I14" s="2610"/>
      <c r="J14" s="2610"/>
      <c r="K14" s="2610"/>
      <c r="L14" s="322"/>
    </row>
    <row r="15" spans="1:12" ht="9.4" customHeight="1" x14ac:dyDescent="0.2">
      <c r="B15" s="1382"/>
      <c r="C15" s="1382"/>
      <c r="D15" s="1368"/>
      <c r="E15" s="1258"/>
      <c r="F15" s="1258"/>
      <c r="G15" s="1282"/>
      <c r="H15" s="1258"/>
      <c r="I15" s="1471"/>
      <c r="J15" s="1289"/>
      <c r="K15" s="1287"/>
      <c r="L15" s="322"/>
    </row>
    <row r="16" spans="1:12" ht="13.5" customHeight="1" x14ac:dyDescent="0.2">
      <c r="B16" s="1382" t="s">
        <v>1369</v>
      </c>
      <c r="C16" s="1382"/>
      <c r="D16" s="2610"/>
      <c r="E16" s="2610"/>
      <c r="F16" s="2610"/>
      <c r="G16" s="2610"/>
      <c r="H16" s="2610"/>
      <c r="I16" s="2610"/>
      <c r="J16" s="2610"/>
      <c r="K16" s="2610"/>
      <c r="L16" s="322"/>
    </row>
    <row r="17" spans="2:12" ht="13.5" customHeight="1" x14ac:dyDescent="0.2">
      <c r="B17" s="1382" t="s">
        <v>1368</v>
      </c>
      <c r="C17" s="1382"/>
      <c r="D17" s="2611"/>
      <c r="E17" s="2611"/>
      <c r="F17" s="2611"/>
      <c r="G17" s="2611"/>
      <c r="H17" s="2611"/>
      <c r="I17" s="2611"/>
      <c r="J17" s="2611"/>
      <c r="K17" s="2611"/>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601"/>
      <c r="C20" s="2601"/>
      <c r="D20" s="2601"/>
      <c r="E20" s="2601"/>
      <c r="F20" s="2601"/>
      <c r="G20" s="2601"/>
      <c r="H20" s="2601"/>
      <c r="I20" s="2601"/>
      <c r="J20" s="2601"/>
      <c r="K20" s="2601"/>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1855</v>
      </c>
      <c r="C22" s="1472"/>
      <c r="D22" s="322"/>
      <c r="E22" s="322"/>
      <c r="F22" s="322"/>
      <c r="G22" s="1378"/>
      <c r="H22" s="322"/>
      <c r="I22" s="1378"/>
      <c r="J22" s="322"/>
      <c r="K22" s="322"/>
      <c r="L22" s="322"/>
    </row>
    <row r="23" spans="2:12" ht="37.5" customHeight="1" x14ac:dyDescent="0.2">
      <c r="B23" s="2601"/>
      <c r="C23" s="2601"/>
      <c r="D23" s="2601"/>
      <c r="E23" s="2601"/>
      <c r="F23" s="2601"/>
      <c r="G23" s="2601"/>
      <c r="H23" s="2601"/>
      <c r="I23" s="2601"/>
      <c r="J23" s="2601"/>
      <c r="K23" s="2601"/>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1856</v>
      </c>
      <c r="C25" s="1472"/>
      <c r="D25" s="322"/>
      <c r="E25" s="322"/>
      <c r="F25" s="322"/>
      <c r="G25" s="1378"/>
      <c r="H25" s="322"/>
      <c r="I25" s="1378"/>
      <c r="J25" s="322"/>
      <c r="K25" s="322"/>
      <c r="L25" s="322"/>
    </row>
    <row r="26" spans="2:12" ht="37.5" customHeight="1" x14ac:dyDescent="0.2">
      <c r="B26" s="2601"/>
      <c r="C26" s="2601"/>
      <c r="D26" s="2601"/>
      <c r="E26" s="2601"/>
      <c r="F26" s="2601"/>
      <c r="G26" s="2601"/>
      <c r="H26" s="2601"/>
      <c r="I26" s="2601"/>
      <c r="J26" s="2601"/>
      <c r="K26" s="2601"/>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1857</v>
      </c>
      <c r="C28" s="1472"/>
      <c r="D28" s="322"/>
      <c r="E28" s="322"/>
      <c r="F28" s="322"/>
      <c r="G28" s="1378"/>
      <c r="H28" s="322"/>
      <c r="I28" s="1378"/>
      <c r="J28" s="322"/>
      <c r="K28" s="322"/>
      <c r="L28" s="322"/>
    </row>
    <row r="29" spans="2:12" ht="37.5" customHeight="1" x14ac:dyDescent="0.2">
      <c r="B29" s="2601"/>
      <c r="C29" s="2601"/>
      <c r="D29" s="2601"/>
      <c r="E29" s="2601"/>
      <c r="F29" s="2601"/>
      <c r="G29" s="2601"/>
      <c r="H29" s="2601"/>
      <c r="I29" s="2601"/>
      <c r="J29" s="2601"/>
      <c r="K29" s="2601"/>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37.5" customHeight="1" x14ac:dyDescent="0.2">
      <c r="B32" s="2601"/>
      <c r="C32" s="2601"/>
      <c r="D32" s="2601"/>
      <c r="E32" s="2601"/>
      <c r="F32" s="2601"/>
      <c r="G32" s="2601"/>
      <c r="H32" s="2601"/>
      <c r="I32" s="2601"/>
      <c r="J32" s="2601"/>
      <c r="K32" s="2601"/>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601"/>
      <c r="C35" s="2601"/>
      <c r="D35" s="2601"/>
      <c r="E35" s="2601"/>
      <c r="F35" s="2601"/>
      <c r="G35" s="2601"/>
      <c r="H35" s="2601"/>
      <c r="I35" s="2601"/>
      <c r="J35" s="2601"/>
      <c r="K35" s="2601"/>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35.25" customHeight="1" x14ac:dyDescent="0.2">
      <c r="B38" s="2601"/>
      <c r="C38" s="2601"/>
      <c r="D38" s="2601"/>
      <c r="E38" s="2601"/>
      <c r="F38" s="2601"/>
      <c r="G38" s="2601"/>
      <c r="H38" s="2601"/>
      <c r="I38" s="2601"/>
      <c r="J38" s="2601"/>
      <c r="K38" s="2601"/>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1858</v>
      </c>
      <c r="C40" s="1398"/>
      <c r="D40" s="1373"/>
      <c r="E40" s="1374"/>
      <c r="F40" s="1374"/>
      <c r="G40" s="1375"/>
      <c r="H40" s="1374"/>
      <c r="I40" s="1375"/>
      <c r="J40" s="1374"/>
      <c r="K40" s="1374"/>
    </row>
    <row r="41" spans="2:12" s="322" customFormat="1" ht="33.75" customHeight="1" x14ac:dyDescent="0.2">
      <c r="B41" s="2601"/>
      <c r="C41" s="2601"/>
      <c r="D41" s="2601"/>
      <c r="E41" s="2601"/>
      <c r="F41" s="2601"/>
      <c r="G41" s="2601"/>
      <c r="H41" s="2601"/>
      <c r="I41" s="2601"/>
      <c r="J41" s="2601"/>
      <c r="K41" s="2601"/>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1859</v>
      </c>
      <c r="C48" s="1414"/>
      <c r="D48" s="322"/>
      <c r="E48" s="322"/>
      <c r="F48" s="322"/>
    </row>
    <row r="49" spans="2:3" s="317" customFormat="1" ht="10.5" customHeight="1" x14ac:dyDescent="0.2">
      <c r="B49" s="1415" t="s">
        <v>1860</v>
      </c>
      <c r="C49" s="1415"/>
    </row>
    <row r="50" spans="2:3" s="317" customFormat="1" ht="11.1" customHeight="1" x14ac:dyDescent="0.2">
      <c r="B50" s="1415" t="s">
        <v>1861</v>
      </c>
      <c r="C50" s="1415"/>
    </row>
    <row r="51" spans="2:3" s="317" customFormat="1" ht="11.1" customHeight="1" x14ac:dyDescent="0.2">
      <c r="B51" s="1415" t="s">
        <v>1862</v>
      </c>
      <c r="C51" s="1415"/>
    </row>
    <row r="52" spans="2:3" s="317" customFormat="1" ht="11.1" customHeight="1" x14ac:dyDescent="0.2">
      <c r="B52" s="1415" t="s">
        <v>1863</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79" t="str">
        <f>'Single Audit Cover'!A7</f>
        <v>Kewanee CUSD 229</v>
      </c>
      <c r="C1" s="2579"/>
      <c r="D1" s="2579"/>
      <c r="E1" s="1486"/>
    </row>
    <row r="2" spans="2:5" s="1280" customFormat="1" ht="12.75" customHeight="1" x14ac:dyDescent="0.2">
      <c r="B2" s="2581">
        <f>'Single Audit Cover'!E7</f>
        <v>28037229026</v>
      </c>
      <c r="C2" s="2581"/>
      <c r="D2" s="2581"/>
      <c r="E2" s="1487"/>
    </row>
    <row r="3" spans="2:5" ht="12.75" customHeight="1" x14ac:dyDescent="0.2">
      <c r="B3" s="2602" t="s">
        <v>1864</v>
      </c>
      <c r="C3" s="2602"/>
      <c r="D3" s="2602"/>
      <c r="E3" s="1272"/>
    </row>
    <row r="4" spans="2:5" s="1280" customFormat="1" ht="12.75" customHeight="1" x14ac:dyDescent="0.2">
      <c r="B4" s="2612" t="str">
        <f>'Single Audit Cover'!A4</f>
        <v>Year Ending June 30, 2018</v>
      </c>
      <c r="C4" s="2612"/>
      <c r="D4" s="2612"/>
      <c r="E4" s="1488"/>
    </row>
    <row r="5" spans="2:5" s="1280" customFormat="1" ht="40.15" hidden="1" customHeight="1" x14ac:dyDescent="0.2">
      <c r="B5" s="1489" t="s">
        <v>1865</v>
      </c>
      <c r="C5" s="328"/>
      <c r="D5" s="328"/>
      <c r="E5" s="328"/>
    </row>
    <row r="6" spans="2:5" s="1280" customFormat="1" ht="13.5" customHeight="1" x14ac:dyDescent="0.2">
      <c r="B6" s="1490" t="s">
        <v>1382</v>
      </c>
      <c r="C6" s="1490" t="s">
        <v>1381</v>
      </c>
      <c r="D6" s="1490" t="s">
        <v>1866</v>
      </c>
    </row>
    <row r="7" spans="2:5" ht="13.5" customHeight="1" x14ac:dyDescent="0.2">
      <c r="B7" s="1491" t="s">
        <v>2108</v>
      </c>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1867</v>
      </c>
    </row>
    <row r="46" spans="2:5" ht="12.2" customHeight="1" x14ac:dyDescent="0.2">
      <c r="B46" s="1500" t="s">
        <v>1868</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4"/>
    </row>
    <row r="68" spans="2:2" x14ac:dyDescent="0.2">
      <c r="B68" s="1295"/>
    </row>
    <row r="69" spans="2:2" x14ac:dyDescent="0.2">
      <c r="B69" s="1295"/>
    </row>
    <row r="70" spans="2:2" x14ac:dyDescent="0.2">
      <c r="B70" s="1415"/>
    </row>
    <row r="71" spans="2:2" x14ac:dyDescent="0.2">
      <c r="B71" s="1415"/>
    </row>
    <row r="72" spans="2:2" x14ac:dyDescent="0.2">
      <c r="B72" s="1415"/>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4d435f69-8686-490b-bd6d-b153bf22ab50"/>
    <ds:schemaRef ds:uri="http://schemas.microsoft.com/office/2006/documentManagement/types"/>
    <ds:schemaRef ds:uri="6ce3111e-7420-4802-b50a-75d4e9a0b980"/>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18</vt:lpstr>
      <vt:lpstr> SEFA</vt:lpstr>
      <vt:lpstr>SF&amp;QC Sec-1</vt:lpstr>
      <vt:lpstr>SF&amp;QC Sec-2</vt:lpstr>
      <vt:lpstr>SF&amp;QC Sec-3</vt:lpstr>
      <vt:lpstr>SSPAF</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2018-10-01T13:52:32Z</cp:lastPrinted>
  <dcterms:created xsi:type="dcterms:W3CDTF">2003-10-29T19:06:34Z</dcterms:created>
  <dcterms:modified xsi:type="dcterms:W3CDTF">2018-10-30T13:32:18Z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