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18" sheetId="183" r:id="rId30"/>
    <sheet name="SF&amp;QC Sec-2" sheetId="175" r:id="rId31"/>
    <sheet name="SF&amp;QC Sec-1" sheetId="174" r:id="rId32"/>
    <sheet name="SF&amp;QC Sec-3" sheetId="176" r:id="rId33"/>
    <sheet name="SSPAF" sheetId="177" r:id="rId34"/>
    <sheet name="CAP" sheetId="184" r:id="rId35"/>
  </sheets>
  <definedNames>
    <definedName name="goof" localSheetId="34">#REF!</definedName>
    <definedName name="goof">#REF!</definedName>
    <definedName name="oops" localSheetId="34">#REF!</definedName>
    <definedName name="oops">#REF!</definedName>
    <definedName name="_xlnm.Print_Area" localSheetId="28">' SEFA'!$B$1:$M$46</definedName>
    <definedName name="_xlnm.Print_Area" localSheetId="29">'SEFA 18'!$A$1:$S$102</definedName>
    <definedName name="_xlnm.Print_Area" localSheetId="27">'SEFA NOTES'!$A$1:$F$61</definedName>
    <definedName name="_xlnm.Print_Area" localSheetId="26">'SEFA Reconcile'!$A$1:$E$49</definedName>
    <definedName name="_xlnm.Print_Area" localSheetId="31">'SF&amp;QC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9">'SEFA 18'!$B$14:$S$70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4">#REF!</definedName>
    <definedName name="SCHADDRS" localSheetId="21">#REF!</definedName>
    <definedName name="SCHADDRS" localSheetId="4">#REF!</definedName>
    <definedName name="SCHADDRS" localSheetId="29">#REF!</definedName>
    <definedName name="SCHADDRS" localSheetId="27">#REF!</definedName>
    <definedName name="SCHADDRS" localSheetId="26">#REF!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34">#REF!</definedName>
    <definedName name="SCHCTY" localSheetId="21">#REF!</definedName>
    <definedName name="SCHCTY" localSheetId="4">#REF!</definedName>
    <definedName name="SCHCTY" localSheetId="29">#REF!</definedName>
    <definedName name="SCHCTY" localSheetId="27">#REF!</definedName>
    <definedName name="SCHCTY" localSheetId="26">#REF!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34">#REF!</definedName>
    <definedName name="SCHNMBR" localSheetId="21">#REF!</definedName>
    <definedName name="SCHNMBR" localSheetId="4">#REF!</definedName>
    <definedName name="SCHNMBR" localSheetId="29">#REF!</definedName>
    <definedName name="SCHNMBR" localSheetId="27">#REF!</definedName>
    <definedName name="SCHNMBR" localSheetId="26">#REF!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34">#REF!</definedName>
    <definedName name="SCHNME" localSheetId="21">#REF!</definedName>
    <definedName name="SCHNME" localSheetId="4">#REF!</definedName>
    <definedName name="SCHNME" localSheetId="29">#REF!</definedName>
    <definedName name="SCHNME" localSheetId="27">#REF!</definedName>
    <definedName name="SCHNME" localSheetId="26">#REF!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34">#REF!</definedName>
    <definedName name="SUPT" localSheetId="21">#REF!</definedName>
    <definedName name="SUPT" localSheetId="4">#REF!</definedName>
    <definedName name="SUPT" localSheetId="29">#REF!</definedName>
    <definedName name="SUPT" localSheetId="27">#REF!</definedName>
    <definedName name="SUPT" localSheetId="26">#REF!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181" l="1"/>
  <c r="F17" i="181"/>
  <c r="G17" i="181" s="1"/>
  <c r="O85" i="183" l="1"/>
  <c r="O87" i="183" s="1"/>
  <c r="O95" i="183" s="1"/>
  <c r="M85" i="183"/>
  <c r="K85" i="183"/>
  <c r="I85" i="183"/>
  <c r="G85" i="183"/>
  <c r="Q84" i="183"/>
  <c r="Q83" i="183"/>
  <c r="Q85" i="183" s="1"/>
  <c r="M79" i="183"/>
  <c r="K79" i="183"/>
  <c r="K87" i="183" s="1"/>
  <c r="I79" i="183"/>
  <c r="G79" i="183"/>
  <c r="Q78" i="183"/>
  <c r="Q77" i="183"/>
  <c r="M70" i="183"/>
  <c r="K70" i="183"/>
  <c r="I70" i="183"/>
  <c r="G70" i="183"/>
  <c r="Q69" i="183"/>
  <c r="Q68" i="183"/>
  <c r="Q70" i="183" s="1"/>
  <c r="Q64" i="183"/>
  <c r="Q63" i="183"/>
  <c r="O59" i="183"/>
  <c r="M59" i="183"/>
  <c r="K59" i="183"/>
  <c r="I59" i="183"/>
  <c r="G59" i="183"/>
  <c r="Q58" i="183"/>
  <c r="Q57" i="183"/>
  <c r="O53" i="183"/>
  <c r="O72" i="183" s="1"/>
  <c r="M53" i="183"/>
  <c r="M72" i="183" s="1"/>
  <c r="K53" i="183"/>
  <c r="K72" i="183" s="1"/>
  <c r="I53" i="183"/>
  <c r="I72" i="183" s="1"/>
  <c r="G53" i="183"/>
  <c r="G72" i="183" s="1"/>
  <c r="Q51" i="183"/>
  <c r="Q50" i="183"/>
  <c r="Q48" i="183"/>
  <c r="Q47" i="183"/>
  <c r="Q45" i="183"/>
  <c r="Q43" i="183"/>
  <c r="Q42" i="183"/>
  <c r="Q53" i="183" s="1"/>
  <c r="O36" i="183"/>
  <c r="M36" i="183"/>
  <c r="K36" i="183"/>
  <c r="I36" i="183"/>
  <c r="G36" i="183"/>
  <c r="Q34" i="183"/>
  <c r="Q32" i="183"/>
  <c r="Q26" i="183"/>
  <c r="Q25" i="183"/>
  <c r="Q23" i="183"/>
  <c r="Q22" i="183"/>
  <c r="Q20" i="183"/>
  <c r="Q19" i="183"/>
  <c r="Q17" i="183"/>
  <c r="Q16" i="183"/>
  <c r="M9" i="183"/>
  <c r="K9" i="183"/>
  <c r="M8" i="183"/>
  <c r="K8" i="183"/>
  <c r="G87" i="183" l="1"/>
  <c r="M87" i="183"/>
  <c r="O93" i="183"/>
  <c r="G95" i="183"/>
  <c r="I87" i="183"/>
  <c r="I95" i="183" s="1"/>
  <c r="I97" i="183" s="1"/>
  <c r="O97" i="183"/>
  <c r="K95" i="183"/>
  <c r="Q36" i="183"/>
  <c r="Q93" i="183" s="1"/>
  <c r="M95" i="183"/>
  <c r="G93" i="183"/>
  <c r="I93" i="183"/>
  <c r="Q59" i="183"/>
  <c r="O89" i="183"/>
  <c r="K89" i="183"/>
  <c r="Q79" i="183"/>
  <c r="Q87" i="183" s="1"/>
  <c r="Q95" i="183" s="1"/>
  <c r="K93" i="183"/>
  <c r="K97" i="183" s="1"/>
  <c r="M89" i="183"/>
  <c r="Q72" i="183"/>
  <c r="M93" i="183"/>
  <c r="G89" i="183"/>
  <c r="I89" i="183"/>
  <c r="Q89" i="183" l="1"/>
  <c r="G97" i="183"/>
  <c r="Q97" i="183"/>
  <c r="M97"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6" i="181"/>
  <c r="G136" i="181" s="1"/>
  <c r="E136" i="181"/>
  <c r="F135" i="181"/>
  <c r="G135" i="181" s="1"/>
  <c r="E135" i="181"/>
  <c r="F134" i="181"/>
  <c r="G134" i="181" s="1"/>
  <c r="E134" i="181"/>
  <c r="F133" i="181"/>
  <c r="G133" i="181" s="1"/>
  <c r="E133" i="181"/>
  <c r="F132" i="181"/>
  <c r="G132" i="181" s="1"/>
  <c r="E132" i="181"/>
  <c r="F131" i="181"/>
  <c r="G131" i="181" s="1"/>
  <c r="E131" i="181"/>
  <c r="F130" i="181"/>
  <c r="G130" i="181" s="1"/>
  <c r="E130" i="181"/>
  <c r="E129" i="181"/>
  <c r="F129" i="181" s="1"/>
  <c r="G129" i="181" s="1"/>
  <c r="F128" i="181"/>
  <c r="G128" i="181" s="1"/>
  <c r="E128" i="181"/>
  <c r="F127" i="181"/>
  <c r="G127" i="181" s="1"/>
  <c r="E127" i="181"/>
  <c r="F126" i="181"/>
  <c r="G126" i="181" s="1"/>
  <c r="E126" i="181"/>
  <c r="F125" i="181"/>
  <c r="G125" i="181" s="1"/>
  <c r="E125" i="181"/>
  <c r="E124" i="181"/>
  <c r="F124" i="181" s="1"/>
  <c r="G124" i="181" s="1"/>
  <c r="F123" i="181"/>
  <c r="G123" i="181" s="1"/>
  <c r="E123" i="181"/>
  <c r="F122" i="181"/>
  <c r="G122" i="181" s="1"/>
  <c r="E122" i="181"/>
  <c r="F121" i="181"/>
  <c r="G121" i="181" s="1"/>
  <c r="E121" i="181"/>
  <c r="E120" i="181"/>
  <c r="F120" i="181" s="1"/>
  <c r="G120" i="181" s="1"/>
  <c r="F119" i="181"/>
  <c r="G119" i="181" s="1"/>
  <c r="E119" i="18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E111" i="181"/>
  <c r="F111" i="181" s="1"/>
  <c r="G111" i="181" s="1"/>
  <c r="F110" i="181"/>
  <c r="G110" i="181" s="1"/>
  <c r="E110" i="181"/>
  <c r="F109" i="181"/>
  <c r="G109" i="181" s="1"/>
  <c r="E109" i="181"/>
  <c r="F108" i="181"/>
  <c r="G108" i="181" s="1"/>
  <c r="E108" i="181"/>
  <c r="E107" i="181"/>
  <c r="F107" i="181" s="1"/>
  <c r="G107" i="181" s="1"/>
  <c r="F106" i="181"/>
  <c r="G106" i="181" s="1"/>
  <c r="E106" i="181"/>
  <c r="F105" i="181"/>
  <c r="G105" i="181" s="1"/>
  <c r="E105" i="181"/>
  <c r="F104" i="181"/>
  <c r="G104" i="181" s="1"/>
  <c r="E104" i="181"/>
  <c r="F103" i="181"/>
  <c r="G103" i="181" s="1"/>
  <c r="E103" i="181"/>
  <c r="F102" i="181"/>
  <c r="G102" i="181" s="1"/>
  <c r="E102" i="181"/>
  <c r="F101" i="181"/>
  <c r="G101" i="181" s="1"/>
  <c r="E101" i="181"/>
  <c r="F96" i="181"/>
  <c r="G96" i="181" s="1"/>
  <c r="E96" i="181"/>
  <c r="F100" i="181"/>
  <c r="G100" i="181" s="1"/>
  <c r="E100" i="181"/>
  <c r="E99" i="181"/>
  <c r="F99" i="181" s="1"/>
  <c r="G99" i="181" s="1"/>
  <c r="F98" i="181"/>
  <c r="G98" i="181" s="1"/>
  <c r="E98" i="181"/>
  <c r="E97" i="181"/>
  <c r="F97" i="181" s="1"/>
  <c r="G97" i="181" s="1"/>
  <c r="F95" i="181"/>
  <c r="G95" i="181" s="1"/>
  <c r="E95" i="181"/>
  <c r="E94" i="181"/>
  <c r="F94" i="181" s="1"/>
  <c r="G94" i="181" s="1"/>
  <c r="F93" i="181"/>
  <c r="G93" i="181" s="1"/>
  <c r="E93" i="181"/>
  <c r="E92" i="181"/>
  <c r="F92" i="181" s="1"/>
  <c r="G92" i="181" s="1"/>
  <c r="F90" i="181"/>
  <c r="G90" i="181" s="1"/>
  <c r="E90" i="181"/>
  <c r="F89" i="181"/>
  <c r="G89" i="181" s="1"/>
  <c r="E89" i="181"/>
  <c r="E88" i="181"/>
  <c r="F88" i="181" s="1"/>
  <c r="G88" i="181" s="1"/>
  <c r="F87" i="181"/>
  <c r="G87" i="181" s="1"/>
  <c r="E87" i="181"/>
  <c r="F86" i="181"/>
  <c r="G86" i="181" s="1"/>
  <c r="E86" i="181"/>
  <c r="E85" i="181"/>
  <c r="F85" i="181" s="1"/>
  <c r="G85" i="181" s="1"/>
  <c r="F84" i="181"/>
  <c r="G84" i="181" s="1"/>
  <c r="E84" i="181"/>
  <c r="E83" i="181"/>
  <c r="F83" i="181" s="1"/>
  <c r="G83" i="181" s="1"/>
  <c r="F81" i="181"/>
  <c r="G81" i="181" s="1"/>
  <c r="E81" i="181"/>
  <c r="F80" i="181"/>
  <c r="G80" i="181" s="1"/>
  <c r="E80" i="181"/>
  <c r="F79" i="181"/>
  <c r="G79" i="181" s="1"/>
  <c r="E79" i="181"/>
  <c r="F78" i="181"/>
  <c r="G78" i="181" s="1"/>
  <c r="E78" i="181"/>
  <c r="F77" i="181"/>
  <c r="G77" i="181" s="1"/>
  <c r="E77" i="181"/>
  <c r="F76" i="181"/>
  <c r="G76" i="181" s="1"/>
  <c r="E76" i="181"/>
  <c r="F75" i="181"/>
  <c r="G75" i="181" s="1"/>
  <c r="E75" i="181"/>
  <c r="F74" i="181"/>
  <c r="G74" i="181" s="1"/>
  <c r="E74" i="181"/>
  <c r="F73" i="181"/>
  <c r="G73" i="181" s="1"/>
  <c r="E73" i="181"/>
  <c r="E72" i="181"/>
  <c r="F72" i="181" s="1"/>
  <c r="G72" i="181" s="1"/>
  <c r="F71" i="181"/>
  <c r="G71" i="181" s="1"/>
  <c r="E71" i="181"/>
  <c r="F70" i="181"/>
  <c r="G70" i="181" s="1"/>
  <c r="E70" i="181"/>
  <c r="F137" i="181"/>
  <c r="G137" i="181" s="1"/>
  <c r="E137" i="181"/>
  <c r="F91" i="181"/>
  <c r="G91" i="181" s="1"/>
  <c r="E91" i="181"/>
  <c r="F82" i="181"/>
  <c r="G82" i="181" s="1"/>
  <c r="E82" i="181"/>
  <c r="E69" i="181"/>
  <c r="F69" i="181" s="1"/>
  <c r="G69" i="181" s="1"/>
  <c r="F68" i="181"/>
  <c r="G68" i="181" s="1"/>
  <c r="E68" i="181"/>
  <c r="F67" i="181"/>
  <c r="G67" i="181" s="1"/>
  <c r="E67" i="181"/>
  <c r="F66" i="181"/>
  <c r="G66" i="181" s="1"/>
  <c r="E66" i="181"/>
  <c r="F65" i="181"/>
  <c r="G65" i="181" s="1"/>
  <c r="E65" i="181"/>
  <c r="F64" i="181"/>
  <c r="G64" i="181" s="1"/>
  <c r="E64" i="181"/>
  <c r="F63" i="181"/>
  <c r="G63" i="181" s="1"/>
  <c r="E63" i="181"/>
  <c r="E62" i="181"/>
  <c r="F62" i="181" s="1"/>
  <c r="G62" i="181" s="1"/>
  <c r="E61" i="181"/>
  <c r="F61" i="181" s="1"/>
  <c r="G61" i="181" s="1"/>
  <c r="F60" i="181"/>
  <c r="G60" i="181" s="1"/>
  <c r="E60" i="181"/>
  <c r="F59" i="181"/>
  <c r="G59" i="181" s="1"/>
  <c r="E59" i="181"/>
  <c r="F58" i="181"/>
  <c r="G58" i="181" s="1"/>
  <c r="E58" i="181"/>
  <c r="E57" i="181"/>
  <c r="F57" i="181" s="1"/>
  <c r="G57" i="181" s="1"/>
  <c r="F56" i="181"/>
  <c r="G56" i="181" s="1"/>
  <c r="E56" i="181"/>
  <c r="E55" i="181"/>
  <c r="F55" i="181" s="1"/>
  <c r="G55" i="181" s="1"/>
  <c r="F54" i="181"/>
  <c r="G54" i="181" s="1"/>
  <c r="E54" i="181"/>
  <c r="E53" i="181"/>
  <c r="F53" i="181" s="1"/>
  <c r="G53" i="181" s="1"/>
  <c r="F52" i="181"/>
  <c r="G52" i="181" s="1"/>
  <c r="E52" i="181"/>
  <c r="E51" i="181"/>
  <c r="F51" i="181" s="1"/>
  <c r="G51" i="181" s="1"/>
  <c r="F50" i="181"/>
  <c r="G50" i="181" s="1"/>
  <c r="E50" i="181"/>
  <c r="F49" i="181"/>
  <c r="G49" i="181" s="1"/>
  <c r="E49" i="181"/>
  <c r="F48" i="181"/>
  <c r="G48" i="181" s="1"/>
  <c r="E48" i="181"/>
  <c r="F47" i="181"/>
  <c r="G47" i="181" s="1"/>
  <c r="E47" i="181"/>
  <c r="F46" i="181"/>
  <c r="G46" i="181" s="1"/>
  <c r="E46" i="181"/>
  <c r="E45" i="181"/>
  <c r="F45" i="181" s="1"/>
  <c r="G45" i="181" s="1"/>
  <c r="F44" i="181"/>
  <c r="G44" i="181" s="1"/>
  <c r="E44" i="181"/>
  <c r="F43" i="181"/>
  <c r="G43" i="181" s="1"/>
  <c r="E43" i="181"/>
  <c r="F42" i="181"/>
  <c r="G42" i="181" s="1"/>
  <c r="E42" i="181"/>
  <c r="F41" i="181"/>
  <c r="G41" i="181" s="1"/>
  <c r="E41" i="181"/>
  <c r="E40" i="181"/>
  <c r="F40" i="181" s="1"/>
  <c r="G40" i="181" s="1"/>
  <c r="E39" i="181"/>
  <c r="F39" i="181" s="1"/>
  <c r="G39" i="181" s="1"/>
  <c r="F38" i="181"/>
  <c r="G38" i="181" s="1"/>
  <c r="E38" i="181"/>
  <c r="F37" i="181"/>
  <c r="G37" i="181" s="1"/>
  <c r="E37" i="181"/>
  <c r="F36" i="181"/>
  <c r="G36" i="181" s="1"/>
  <c r="E36" i="181"/>
  <c r="F35" i="181"/>
  <c r="G35" i="181" s="1"/>
  <c r="E35" i="181"/>
  <c r="F34" i="181"/>
  <c r="G34" i="181" s="1"/>
  <c r="E34" i="181"/>
  <c r="F33" i="181"/>
  <c r="G33" i="181" s="1"/>
  <c r="E33" i="181"/>
  <c r="F32" i="181"/>
  <c r="G32" i="181" s="1"/>
  <c r="E32" i="181"/>
  <c r="F31" i="181"/>
  <c r="G31" i="181" s="1"/>
  <c r="E31" i="181"/>
  <c r="E30" i="181"/>
  <c r="F30" i="181" s="1"/>
  <c r="G30" i="181" s="1"/>
  <c r="F29" i="181"/>
  <c r="G29" i="181" s="1"/>
  <c r="E29" i="181"/>
  <c r="F28" i="181"/>
  <c r="G28" i="181" s="1"/>
  <c r="E28" i="181"/>
  <c r="F27" i="181"/>
  <c r="G27" i="181" s="1"/>
  <c r="E27" i="181"/>
  <c r="E26" i="181"/>
  <c r="F26" i="181" s="1"/>
  <c r="G26" i="181" s="1"/>
  <c r="F25" i="181"/>
  <c r="G25" i="181" s="1"/>
  <c r="E25" i="181"/>
  <c r="E24" i="181"/>
  <c r="F24" i="181" s="1"/>
  <c r="G24" i="181" s="1"/>
  <c r="F23" i="181"/>
  <c r="G23" i="181" s="1"/>
  <c r="E23" i="181"/>
  <c r="E22" i="181"/>
  <c r="F22" i="181" s="1"/>
  <c r="G22" i="181" s="1"/>
  <c r="E21" i="181"/>
  <c r="F21" i="181" s="1"/>
  <c r="G21" i="181" s="1"/>
  <c r="F20" i="181"/>
  <c r="G20" i="181" s="1"/>
  <c r="E20" i="181"/>
  <c r="F19" i="181"/>
  <c r="G19" i="181" s="1"/>
  <c r="E19" i="181"/>
  <c r="E18" i="181"/>
  <c r="F18" i="181" s="1"/>
  <c r="G18" i="181" s="1"/>
  <c r="D138" i="181" l="1"/>
  <c r="D80" i="36" l="1"/>
  <c r="B7797" i="106"/>
  <c r="E138" i="181"/>
  <c r="E16" i="181"/>
  <c r="F16" i="181" s="1"/>
  <c r="G16" i="181" s="1"/>
  <c r="G138" i="181" l="1"/>
  <c r="G40" i="108" l="1"/>
  <c r="B7799" i="106"/>
  <c r="F1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84" s="1"/>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J49" i="8" s="1"/>
  <c r="B4172" i="106" s="1"/>
  <c r="D4172" i="106" s="1"/>
  <c r="I33" i="8"/>
  <c r="J33" i="8" s="1"/>
  <c r="I34" i="8"/>
  <c r="J34" i="8" s="1"/>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D24" i="37"/>
  <c r="B4270" i="106" s="1"/>
  <c r="D4270" i="106" s="1"/>
  <c r="F27" i="108" l="1"/>
  <c r="D5" i="4"/>
  <c r="B3406" i="106" s="1"/>
  <c r="D3406" i="106" s="1"/>
  <c r="F41" i="34"/>
  <c r="F38" i="34"/>
  <c r="J210" i="29"/>
  <c r="B7072" i="106" s="1"/>
  <c r="D7072" i="106" s="1"/>
  <c r="F70" i="34"/>
  <c r="F46" i="34"/>
  <c r="D31" i="108"/>
  <c r="B1126" i="106"/>
  <c r="D1126" i="106" s="1"/>
  <c r="F50" i="34"/>
  <c r="F49" i="34"/>
  <c r="F42" i="34"/>
  <c r="G35" i="108"/>
  <c r="I210" i="29"/>
  <c r="B7071" i="106" s="1"/>
  <c r="D7071" i="106" s="1"/>
  <c r="F45" i="34"/>
  <c r="E35" i="108"/>
  <c r="N22" i="3"/>
  <c r="B283" i="106" s="1"/>
  <c r="D283" i="106" s="1"/>
  <c r="F37" i="34"/>
  <c r="D26" i="108"/>
  <c r="F69" i="34"/>
  <c r="F64" i="34"/>
  <c r="H112" i="29"/>
  <c r="B7018" i="106" s="1"/>
  <c r="D7018" i="106" s="1"/>
  <c r="D13" i="7"/>
  <c r="B3726" i="106" s="1"/>
  <c r="D3726" i="106" s="1"/>
  <c r="J22" i="37"/>
  <c r="D36" i="108"/>
  <c r="F26" i="108"/>
  <c r="F35" i="34"/>
  <c r="H28" i="118"/>
  <c r="B1746" i="106"/>
  <c r="D1746" i="106" s="1"/>
  <c r="F36" i="108"/>
  <c r="I24" i="12"/>
  <c r="I26" i="12" s="1"/>
  <c r="B7741" i="106" s="1"/>
  <c r="D7741" i="106" s="1"/>
  <c r="L15" i="11"/>
  <c r="B3459" i="106" s="1"/>
  <c r="D3459" i="106" s="1"/>
  <c r="L5" i="11"/>
  <c r="B2056" i="106" s="1"/>
  <c r="D2056" i="106" s="1"/>
  <c r="H33" i="118"/>
  <c r="B7047" i="106"/>
  <c r="D7047" i="106" s="1"/>
  <c r="F21" i="8"/>
  <c r="B1879" i="106" s="1"/>
  <c r="D1879" i="106" s="1"/>
  <c r="D11" i="37"/>
  <c r="D31" i="36"/>
  <c r="H29" i="118"/>
  <c r="K28" i="118" s="1"/>
  <c r="O27" i="118" s="1"/>
  <c r="O29" i="118" s="1"/>
  <c r="G172" i="5"/>
  <c r="G173" i="5" s="1"/>
  <c r="B5778" i="106" s="1"/>
  <c r="D5778" i="106" s="1"/>
  <c r="C129" i="29"/>
  <c r="C151" i="29" s="1"/>
  <c r="B1226" i="106" s="1"/>
  <c r="D1226"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D7256" i="106" l="1"/>
  <c r="D7251" i="106"/>
  <c r="D7253" i="106"/>
  <c r="J24" i="12"/>
  <c r="D41" i="108"/>
  <c r="E43" i="108" s="1"/>
  <c r="I6" i="4"/>
  <c r="B5011" i="106" s="1"/>
  <c r="D5011" i="106" s="1"/>
  <c r="H77" i="4"/>
  <c r="B3299" i="106" s="1"/>
  <c r="D3299" i="106" s="1"/>
  <c r="B1996" i="106"/>
  <c r="D1996" i="106" s="1"/>
  <c r="J151" i="29"/>
  <c r="B7052" i="106" s="1"/>
  <c r="D7052" i="106" s="1"/>
  <c r="B5770" i="106"/>
  <c r="D5770" i="106" s="1"/>
  <c r="D7250" i="106"/>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<sst xmlns="http://schemas.openxmlformats.org/spreadsheetml/2006/main" count="5319" uniqueCount="2246">
  <si>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</si>
  <si>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</si>
  <si>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</si>
  <si>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</si>
  <si>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</si>
  <si>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</si>
  <si>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</si>
  <si>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</si>
  <si>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</si>
  <si>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</si>
  <si>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</si>
  <si>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</si>
  <si>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</si>
  <si>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</si>
  <si>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</si>
  <si>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</si>
  <si>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</si>
  <si>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</si>
  <si>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</si>
  <si>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</si>
  <si>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</si>
  <si>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</si>
  <si>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</si>
  <si>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</si>
  <si>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</si>
  <si>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</si>
  <si>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</si>
  <si>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</si>
  <si>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</si>
  <si>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</si>
  <si>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</si>
  <si>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</si>
  <si>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</si>
  <si>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</si>
  <si>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</si>
  <si>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</si>
  <si>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</si>
  <si>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</si>
  <si>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</si>
  <si>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</si>
  <si>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</si>
  <si>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</si>
  <si>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</si>
  <si>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</si>
  <si>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</si>
  <si>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</si>
  <si>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</si>
  <si>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</si>
  <si>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</si>
  <si>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</si>
  <si>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</si>
  <si>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</si>
  <si>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</si>
  <si>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</si>
  <si>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</si>
  <si>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</si>
  <si>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</si>
  <si>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</si>
  <si>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</si>
  <si>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</si>
  <si>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</si>
  <si>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</si>
  <si>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</si>
  <si>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</si>
  <si>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</si>
  <si>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</si>
  <si>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</si>
  <si>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</si>
  <si>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</si>
  <si>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</si>
  <si>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</si>
  <si>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</si>
  <si>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</si>
  <si>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</si>
  <si>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</si>
  <si>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</si>
  <si>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</si>
  <si>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</si>
  <si>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</si>
  <si>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</si>
  <si>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</si>
  <si>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</si>
  <si>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</si>
  <si>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</si>
  <si>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</si>
  <si>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</si>
  <si>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</si>
  <si>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</si>
  <si>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</si>
  <si>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</si>
  <si>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</si>
  <si>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</si>
  <si>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</si>
  <si>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</si>
  <si>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</si>
  <si>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</si>
  <si>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</si>
  <si>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</si>
  <si>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</si>
  <si>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</si>
  <si>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</si>
  <si>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</si>
  <si>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</si>
  <si>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</si>
  <si>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</si>
  <si>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</si>
  <si>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</si>
  <si>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</si>
  <si>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</si>
  <si>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</si>
  <si>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</si>
  <si>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</si>
  <si>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</si>
  <si>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</si>
  <si>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</si>
  <si>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</si>
  <si>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</si>
  <si>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</si>
  <si>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</si>
  <si>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</si>
  <si>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</si>
  <si>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</si>
  <si>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</si>
  <si>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</si>
  <si>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</si>
  <si>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</si>
  <si>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</si>
  <si>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</si>
  <si>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</si>
  <si>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</si>
  <si>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</si>
  <si>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</si>
  <si>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</si>
  <si>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</si>
  <si>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</si>
  <si>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</si>
  <si>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</si>
  <si>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</si>
  <si>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</si>
  <si>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</si>
  <si>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</si>
  <si>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</si>
  <si>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</si>
  <si>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</si>
  <si>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</si>
  <si>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</si>
  <si>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</si>
  <si>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</si>
  <si>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</si>
  <si>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</si>
  <si>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</si>
  <si>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</si>
  <si>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</si>
  <si>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</si>
  <si>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</si>
  <si>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</si>
  <si>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</si>
  <si>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</si>
  <si>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</si>
  <si>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</si>
  <si>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</si>
  <si>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</si>
  <si>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</si>
  <si>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</si>
  <si>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</si>
  <si>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</si>
  <si>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</si>
  <si>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</si>
  <si>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</si>
  <si>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</si>
  <si>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</si>
  <si>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</si>
  <si>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</si>
  <si>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</si>
  <si>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</si>
  <si>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</si>
  <si>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</si>
  <si>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</si>
  <si>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</si>
  <si>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</si>
  <si>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</si>
  <si>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</si>
  <si>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</si>
  <si>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</si>
  <si>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</si>
  <si>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</si>
  <si>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</si>
  <si>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</si>
  <si>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</si>
  <si>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</si>
  <si>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</si>
  <si>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</si>
  <si>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</si>
  <si>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</si>
  <si>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</si>
  <si>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</si>
  <si>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</si>
  <si>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</si>
  <si>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</si>
  <si>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</si>
  <si>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</si>
  <si>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</si>
  <si>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</si>
  <si>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</si>
  <si>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</si>
  <si>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</si>
  <si>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</si>
  <si>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</si>
  <si>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</si>
  <si>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</si>
  <si>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</si>
  <si>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</si>
  <si>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</si>
  <si>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</si>
  <si>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</si>
  <si>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</si>
  <si>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</si>
  <si>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</si>
  <si>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</si>
  <si>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</si>
  <si>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</si>
  <si>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</si>
  <si>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</si>
  <si>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</si>
  <si>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</si>
  <si>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</si>
  <si>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</si>
  <si>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</si>
  <si>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</si>
  <si>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</si>
  <si>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</si>
  <si>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</si>
  <si>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</si>
  <si>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</si>
  <si>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</si>
  <si>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</si>
  <si>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</si>
  <si>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</si>
  <si>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</si>
  <si>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</si>
  <si>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</si>
  <si>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</si>
  <si>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</si>
  <si>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</si>
  <si>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</si>
  <si>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</si>
  <si>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</si>
  <si>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</si>
  <si>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</si>
  <si>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</si>
  <si>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</si>
  <si>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</si>
  <si>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</si>
  <si>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</si>
  <si>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</si>
  <si>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</si>
  <si>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</si>
  <si>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</si>
  <si>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</si>
  <si>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</si>
  <si>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</si>
  <si>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</si>
  <si>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</si>
  <si>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</si>
  <si>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</si>
  <si>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</si>
  <si>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</si>
  <si>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</si>
  <si>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</si>
  <si>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</si>
  <si>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</si>
  <si>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</si>
  <si>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</si>
  <si>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</si>
  <si>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</si>
  <si>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</si>
  <si>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</si>
  <si>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</si>
  <si>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</si>
  <si>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</si>
  <si>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</si>
  <si>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</si>
  <si>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</si>
  <si>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</si>
  <si>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</si>
  <si>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</si>
  <si>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</si>
  <si>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</si>
  <si>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</si>
  <si>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</si>
  <si>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</si>
  <si>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</si>
  <si>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</si>
  <si>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</si>
  <si>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</si>
  <si>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</si>
  <si>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</si>
  <si>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</si>
  <si>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</si>
  <si>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</si>
  <si>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</si>
  <si>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</si>
  <si>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</si>
  <si>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</si>
  <si>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</si>
  <si>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</si>
  <si>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</si>
  <si>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</si>
  <si>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</si>
  <si>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</si>
  <si>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</si>
  <si>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</si>
  <si>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</si>
  <si>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</si>
  <si>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</si>
  <si>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</si>
  <si>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</si>
  <si>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</si>
  <si>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</si>
  <si>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</si>
  <si>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</si>
  <si>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</si>
  <si>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</si>
  <si>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</si>
  <si>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</si>
  <si>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</si>
  <si>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</si>
  <si>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</si>
  <si>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</si>
  <si>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</si>
  <si>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</si>
  <si>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</si>
  <si>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</si>
  <si>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</si>
  <si>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</si>
  <si>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</si>
  <si>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</si>
  <si>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</si>
  <si>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</si>
  <si>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</si>
  <si>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</si>
  <si>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</si>
  <si>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</si>
  <si>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</si>
  <si>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</si>
  <si>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</si>
  <si>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</si>
  <si>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</si>
  <si>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</si>
  <si>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</si>
  <si>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</si>
  <si>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</si>
  <si>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</si>
  <si>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</si>
  <si>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</si>
  <si>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</si>
  <si>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</si>
  <si>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</si>
  <si>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</si>
  <si>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</si>
  <si>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</si>
  <si>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</si>
  <si>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</si>
  <si>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</si>
  <si>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</si>
  <si>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</si>
  <si>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</si>
  <si>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</si>
  <si>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</si>
  <si>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</si>
  <si>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</si>
  <si>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</si>
  <si>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</si>
  <si>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</si>
  <si>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</si>
  <si>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</si>
  <si>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</si>
  <si>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</si>
  <si>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</si>
  <si>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</si>
  <si>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</si>
  <si>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</si>
  <si>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</si>
  <si>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</si>
  <si>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</si>
  <si>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</si>
  <si>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</si>
  <si>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</si>
  <si>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</si>
  <si>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</si>
  <si>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</si>
  <si>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</si>
  <si>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</si>
  <si>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</si>
  <si>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</si>
  <si>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</si>
  <si>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</si>
  <si>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</si>
  <si>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</si>
  <si>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</si>
  <si>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</si>
  <si>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</si>
  <si>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</si>
  <si>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</si>
  <si>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</si>
  <si>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</si>
  <si>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</si>
  <si>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</si>
  <si>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</si>
  <si>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</si>
  <si>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</si>
  <si>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</si>
  <si>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</si>
  <si>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</si>
  <si>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</si>
  <si>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</si>
  <si>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</si>
  <si>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</si>
  <si>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</si>
  <si>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</si>
  <si>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</si>
  <si>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</si>
  <si>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</si>
  <si>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</si>
  <si>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</si>
  <si>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</si>
  <si>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</si>
  <si>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</si>
  <si>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</si>
  <si>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</si>
  <si>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</si>
  <si>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</si>
  <si>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</si>
  <si>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</si>
  <si>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</si>
  <si>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</si>
  <si>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</si>
  <si>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</si>
  <si>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</si>
  <si>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</si>
  <si>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</si>
  <si>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</si>
  <si>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</si>
  <si>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</si>
  <si>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</si>
  <si>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</si>
  <si>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</si>
  <si>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</si>
  <si>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</si>
  <si>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</si>
  <si>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</si>
  <si>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</si>
  <si>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</si>
  <si>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</si>
  <si>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</si>
  <si>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</si>
  <si>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</si>
  <si>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</si>
  <si>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</si>
  <si>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</si>
  <si>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</si>
  <si>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</si>
  <si>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</si>
  <si>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</si>
  <si>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</si>
  <si>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</si>
  <si>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</si>
  <si>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</si>
  <si>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</si>
  <si>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</si>
  <si>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</si>
  <si>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</si>
  <si>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</si>
  <si>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</si>
  <si>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</si>
  <si>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</si>
  <si>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</si>
  <si>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</si>
  <si>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</si>
  <si>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</si>
  <si>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</si>
  <si>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</si>
  <si>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</si>
  <si>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</si>
  <si>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</si>
  <si>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</si>
  <si>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</si>
  <si>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</si>
  <si>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</si>
  <si>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</si>
  <si>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</si>
  <si>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</si>
  <si>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</si>
  <si>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</si>
  <si>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</si>
  <si>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</si>
  <si>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</si>
  <si>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</si>
  <si>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</si>
  <si>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</si>
  <si>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</si>
  <si>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</si>
  <si>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</si>
  <si>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</si>
  <si>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</si>
  <si>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</si>
  <si>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</si>
  <si>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</si>
  <si>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</si>
  <si>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</si>
  <si>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</si>
  <si>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</si>
  <si>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</si>
  <si>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</si>
  <si>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</si>
  <si>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</si>
  <si>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</si>
  <si>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</si>
  <si>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</si>
  <si>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</si>
  <si>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</si>
  <si>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</si>
  <si>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</si>
  <si>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</si>
  <si>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</si>
  <si>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</si>
  <si>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</si>
  <si>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</si>
  <si>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</si>
  <si>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</si>
  <si>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</si>
  <si>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</si>
  <si>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</si>
  <si>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</si>
  <si>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</si>
  <si>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</si>
  <si>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</si>
  <si>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</si>
  <si>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</si>
  <si>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</si>
  <si>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</si>
  <si>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</si>
  <si>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</si>
  <si>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</si>
  <si>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</si>
  <si>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</si>
  <si>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</si>
  <si>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</si>
  <si>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</si>
  <si>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</si>
  <si>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</si>
  <si>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</si>
  <si>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</si>
  <si>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</si>
  <si>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</si>
  <si>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</si>
  <si>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</si>
  <si>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</si>
  <si>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</si>
  <si>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</si>
  <si>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</si>
  <si>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</si>
  <si>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</si>
  <si>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</si>
  <si>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</si>
  <si>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</si>
  <si>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</si>
  <si>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</si>
  <si>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</si>
  <si>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</si>
  <si>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</si>
  <si>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</si>
  <si>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</si>
  <si>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</si>
  <si>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</si>
  <si>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</si>
  <si>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</si>
  <si>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</si>
  <si>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</si>
  <si>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</si>
  <si>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</si>
  <si>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</si>
  <si>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</si>
  <si>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</si>
  <si>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</si>
  <si>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</si>
  <si>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</si>
  <si>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</si>
  <si>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</si>
  <si>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</si>
  <si>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</si>
  <si>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</si>
  <si>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</si>
  <si>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</si>
  <si>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</si>
  <si>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</si>
  <si>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</si>
  <si>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</si>
  <si>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</si>
  <si>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</si>
  <si>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</si>
  <si>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</si>
  <si>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</si>
  <si>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</si>
  <si>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</si>
  <si>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</si>
  <si>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</si>
  <si>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</si>
  <si>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</si>
  <si>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</si>
  <si>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</si>
  <si>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</si>
  <si>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</si>
  <si>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</si>
  <si>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</si>
  <si>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</si>
  <si>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</si>
  <si>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</si>
  <si>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</si>
  <si>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</si>
  <si>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</si>
  <si>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</si>
  <si>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</si>
  <si>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</si>
  <si>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</si>
  <si>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</si>
  <si>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</si>
  <si>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</si>
  <si>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</si>
  <si>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</si>
  <si>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</si>
  <si>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</si>
  <si>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</si>
  <si>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</si>
  <si>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</si>
  <si>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</si>
  <si>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</si>
  <si>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</si>
  <si>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</si>
  <si>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</si>
  <si>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</si>
  <si>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</si>
  <si>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</si>
  <si>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</si>
  <si>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</si>
  <si>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</si>
  <si>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</si>
  <si>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</si>
  <si>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</si>
  <si>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</si>
  <si>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</si>
  <si>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</si>
  <si>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</si>
  <si>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</si>
  <si>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</si>
  <si>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</si>
  <si>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</si>
  <si>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</si>
  <si>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</si>
  <si>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</si>
  <si>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</si>
  <si>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</si>
  <si>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</si>
  <si>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</si>
  <si>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</si>
  <si>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</si>
  <si>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</si>
  <si>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</si>
  <si>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</si>
  <si>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</si>
  <si>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</si>
  <si>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</si>
  <si>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</si>
  <si>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</si>
  <si>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</si>
  <si>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</si>
  <si>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</si>
  <si>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</si>
  <si>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</si>
  <si>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</si>
  <si>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</si>
  <si>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</si>
  <si>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</si>
  <si>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</si>
  <si>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</si>
  <si>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</si>
  <si>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</si>
  <si>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</si>
  <si>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</si>
  <si>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</si>
  <si>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</si>
  <si>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</si>
  <si>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</si>
  <si>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</si>
  <si>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</si>
  <si>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</si>
  <si>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</si>
  <si>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</si>
  <si>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</si>
  <si>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</si>
  <si>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</si>
  <si>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</si>
  <si>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</si>
  <si>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</si>
  <si>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</si>
  <si>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</si>
  <si>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</si>
  <si>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</si>
  <si>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</si>
  <si>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</si>
  <si>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</si>
  <si>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</si>
  <si>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</si>
  <si>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</si>
  <si>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</si>
  <si>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</si>
  <si>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</si>
  <si>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</si>
  <si>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</si>
  <si>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</si>
  <si>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</si>
  <si>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</si>
  <si>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</si>
  <si>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</si>
  <si>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</si>
  <si>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</si>
  <si>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</si>
  <si>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</si>
  <si>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</si>
  <si>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</si>
  <si>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</si>
  <si>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</si>
  <si>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</si>
  <si>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</si>
  <si>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</si>
  <si>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</si>
  <si>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</si>
  <si>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</si>
  <si>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</si>
  <si>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</si>
  <si>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</si>
  <si>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</si>
  <si>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</si>
  <si>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</si>
  <si>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</si>
  <si>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</si>
  <si>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</si>
  <si>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</si>
  <si>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</si>
  <si>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</si>
  <si>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</si>
  <si>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</si>
  <si>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</si>
  <si>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</si>
  <si>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</si>
  <si>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</si>
  <si>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</si>
  <si>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</si>
  <si>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</si>
  <si>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</si>
  <si>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</si>
  <si>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</si>
  <si>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</si>
  <si>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</si>
  <si>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</si>
  <si>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</si>
  <si>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</si>
  <si>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</si>
  <si>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</si>
  <si>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</si>
  <si>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</si>
  <si>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</si>
  <si>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</si>
  <si>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</si>
  <si>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</si>
  <si>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</si>
  <si>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</si>
  <si>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</si>
  <si>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</si>
  <si>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</si>
  <si>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</si>
  <si>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</si>
  <si>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</si>
  <si>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</si>
  <si>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</si>
  <si>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</si>
  <si>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</si>
  <si>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</si>
  <si>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</si>
  <si>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</si>
  <si>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</si>
  <si>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</si>
  <si>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</si>
  <si>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</si>
  <si>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</si>
  <si>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</si>
  <si>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</si>
  <si>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</si>
  <si>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</si>
  <si>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</si>
  <si>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</si>
  <si>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</si>
  <si>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</si>
  <si>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</si>
  <si>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</si>
  <si>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</si>
  <si>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</si>
  <si>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</si>
  <si>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</si>
  <si>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</si>
  <si>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</si>
  <si>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</si>
  <si>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</si>
  <si>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</si>
  <si>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</si>
  <si>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</si>
  <si>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</si>
  <si>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</si>
  <si>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</si>
  <si>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</si>
  <si>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</si>
  <si>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</si>
  <si>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</si>
  <si>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</si>
  <si>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</si>
  <si>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</si>
  <si>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</si>
  <si>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</si>
  <si>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</si>
  <si>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</si>
  <si>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</si>
  <si>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</si>
  <si>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</si>
  <si>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</si>
  <si>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</si>
  <si>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</si>
  <si>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</si>
  <si>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</si>
  <si>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</si>
  <si>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</si>
  <si>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</si>
  <si>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</si>
  <si>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</si>
  <si>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</si>
  <si>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</si>
  <si>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</si>
  <si>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</si>
  <si>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</si>
  <si>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</si>
  <si>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</si>
  <si>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</si>
  <si>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</si>
  <si>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</si>
  <si>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</si>
  <si>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</si>
  <si>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</si>
  <si>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</si>
  <si>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</si>
  <si>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</si>
  <si>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</si>
  <si>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</si>
  <si>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</si>
  <si>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</si>
  <si>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</si>
  <si>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</si>
  <si>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</si>
  <si>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</si>
  <si>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</si>
  <si>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</si>
  <si>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</si>
  <si>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</si>
  <si>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</si>
  <si>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</si>
  <si>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</si>
  <si>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</si>
  <si>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</si>
  <si>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</si>
  <si>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</si>
  <si>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</si>
  <si>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</si>
  <si>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</si>
  <si>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</si>
  <si>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</si>
  <si>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</si>
  <si>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</si>
  <si>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</si>
  <si>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</si>
  <si>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</si>
  <si>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</si>
  <si>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</si>
  <si>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</si>
  <si>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</si>
  <si>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</si>
  <si>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</si>
  <si>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</si>
  <si>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</si>
  <si>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</si>
  <si>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</si>
  <si>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</si>
  <si>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</si>
  <si>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</si>
  <si>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</si>
  <si>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</si>
  <si>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</si>
  <si>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</si>
  <si>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</si>
  <si>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</si>
  <si>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</si>
  <si>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</si>
  <si>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</si>
  <si>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</si>
  <si>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</si>
  <si>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</si>
  <si>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</si>
  <si>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</si>
  <si>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</si>
  <si>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</si>
  <si>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</si>
  <si>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</si>
  <si>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</si>
  <si>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</si>
  <si>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</si>
  <si>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</si>
  <si>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</si>
  <si>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</si>
  <si>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</si>
  <si>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</si>
  <si>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</si>
  <si>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</si>
  <si>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</si>
  <si>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</si>
  <si>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</si>
  <si>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</si>
  <si>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</si>
  <si>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</si>
  <si>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</si>
  <si>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</si>
  <si>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</si>
  <si>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</si>
  <si>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</si>
  <si>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</si>
  <si>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</si>
  <si>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</si>
  <si>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</si>
  <si>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</si>
  <si>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</si>
  <si>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</si>
  <si>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</si>
  <si>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</si>
  <si>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</si>
  <si>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</si>
  <si>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</si>
  <si>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</si>
  <si>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</si>
  <si>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</si>
  <si>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</si>
  <si>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</si>
  <si>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</si>
  <si>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</si>
  <si>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</si>
  <si>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</si>
  <si>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</si>
  <si>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</si>
  <si>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</si>
  <si>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</si>
  <si>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</si>
  <si>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</si>
  <si>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</si>
  <si>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</si>
  <si>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</si>
  <si>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</si>
  <si>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</si>
  <si>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</si>
  <si>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</si>
  <si>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</si>
  <si>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</si>
  <si>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</si>
  <si>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</si>
  <si>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</si>
  <si>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</si>
  <si>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</si>
  <si>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</si>
  <si>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</si>
  <si>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</si>
  <si>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</si>
  <si>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</si>
  <si>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</si>
  <si>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</si>
  <si>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</si>
  <si>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</si>
  <si>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</si>
  <si>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</si>
  <si>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</si>
  <si>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</si>
  <si>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</si>
  <si>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</si>
  <si>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</si>
  <si>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</si>
  <si>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</si>
  <si>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</si>
  <si>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</si>
  <si>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</si>
  <si>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</si>
  <si>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</si>
  <si>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</si>
  <si>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</si>
  <si>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</si>
  <si>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</si>
  <si>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</si>
  <si>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</si>
  <si>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</si>
  <si>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</si>
  <si>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</si>
  <si>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</si>
  <si>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</si>
  <si>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</si>
  <si>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</si>
  <si>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</si>
  <si>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</si>
  <si>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</si>
  <si>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</si>
  <si>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</si>
  <si>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</si>
  <si>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</si>
  <si>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</si>
  <si>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</si>
  <si>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</si>
  <si>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</si>
  <si>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</si>
  <si>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</si>
  <si>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</si>
  <si>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</si>
  <si>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</si>
  <si>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</si>
  <si>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</si>
  <si>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</si>
  <si>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</si>
  <si>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</si>
  <si>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</si>
  <si>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</si>
  <si>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</si>
  <si>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</si>
  <si>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</si>
  <si>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</si>
  <si>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</si>
  <si>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</si>
  <si>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</si>
  <si>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</si>
  <si>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</si>
  <si>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</si>
  <si>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</si>
  <si>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</si>
  <si>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</si>
  <si>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</si>
  <si>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</si>
  <si>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</si>
  <si>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</si>
  <si>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</si>
  <si>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</si>
  <si>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</si>
  <si>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</si>
  <si>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</si>
  <si>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</si>
  <si>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</si>
  <si>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</si>
  <si>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</si>
  <si>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</si>
  <si>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</si>
  <si>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</si>
  <si>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</si>
  <si>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</si>
  <si>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</si>
  <si>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</si>
  <si>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</si>
  <si>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</si>
  <si>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</si>
  <si>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</si>
  <si>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</si>
  <si>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</si>
  <si>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</si>
  <si>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</si>
  <si>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</si>
  <si>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</si>
  <si>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</si>
  <si>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</si>
  <si>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</si>
  <si>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</si>
  <si>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</si>
  <si>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</si>
  <si>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</si>
  <si>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</si>
  <si>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</si>
  <si>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</si>
  <si>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</si>
  <si>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</si>
  <si>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</si>
  <si>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</si>
  <si>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</si>
  <si>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</si>
  <si>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</si>
  <si>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</si>
  <si>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</si>
  <si>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</si>
  <si>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</si>
  <si>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</si>
  <si>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</si>
  <si>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</si>
  <si>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</si>
  <si>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</si>
  <si>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</si>
  <si>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</si>
  <si>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</si>
  <si>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</si>
  <si>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</si>
  <si>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</si>
  <si>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</si>
  <si>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</si>
  <si>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</si>
  <si>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</si>
  <si>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</si>
  <si>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</si>
  <si>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</si>
  <si>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</si>
  <si>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</si>
  <si>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</si>
  <si>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</si>
  <si>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</si>
  <si>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</si>
  <si>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</si>
  <si>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</si>
  <si>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</si>
  <si>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</si>
  <si>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</si>
  <si>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</si>
  <si>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</si>
  <si>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</si>
  <si>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</si>
  <si>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</si>
  <si>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</si>
  <si>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</si>
  <si>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</si>
  <si>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</si>
  <si>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</si>
  <si>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</si>
  <si>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</si>
  <si>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</si>
  <si>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</si>
  <si>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</si>
  <si>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</si>
  <si>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</si>
  <si>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</si>
  <si>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</si>
  <si>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</si>
  <si>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</si>
  <si>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</si>
  <si>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</si>
  <si>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</si>
  <si>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</si>
  <si>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</si>
  <si>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</si>
  <si>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</si>
  <si>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</si>
  <si>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</si>
  <si>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</si>
  <si>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</si>
  <si>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</si>
  <si>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</si>
  <si>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</si>
  <si>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</si>
  <si>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</si>
  <si>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</si>
  <si>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</si>
  <si>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</si>
  <si>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</si>
  <si>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</si>
  <si>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</si>
  <si>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</si>
  <si>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</si>
  <si>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</si>
  <si>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</si>
  <si>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</si>
  <si>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</si>
  <si>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</si>
  <si>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</si>
  <si>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</si>
  <si>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</si>
  <si>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</si>
  <si>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</si>
  <si>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</si>
  <si>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</si>
  <si>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</si>
  <si>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</si>
  <si>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</si>
  <si>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</si>
  <si>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</si>
  <si>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</si>
  <si>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</si>
  <si>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</si>
  <si>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</si>
  <si>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</si>
  <si>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</si>
  <si>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</si>
  <si>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</si>
  <si>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</si>
  <si>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</si>
  <si>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</si>
  <si>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</si>
  <si>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</si>
  <si>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</si>
  <si>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</si>
  <si>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</si>
  <si>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</si>
  <si>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</si>
  <si>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</si>
  <si>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</si>
  <si>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</si>
  <si>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</si>
  <si>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</si>
  <si>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</si>
  <si>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</si>
  <si>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</si>
  <si>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</si>
  <si>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</si>
  <si>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</si>
  <si>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</si>
  <si>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</si>
  <si>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</si>
  <si>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</si>
  <si>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</si>
  <si>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</si>
  <si>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</si>
  <si>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</si>
  <si>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</si>
  <si>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</si>
  <si>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</si>
  <si>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</si>
  <si>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</si>
  <si>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</si>
  <si>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</si>
  <si>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</si>
  <si>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</si>
  <si>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</si>
  <si>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</si>
  <si>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</si>
  <si>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</si>
  <si>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</si>
  <si>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</si>
  <si>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</si>
  <si>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</si>
  <si>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</si>
  <si>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</si>
  <si>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</si>
  <si>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</si>
  <si>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</si>
  <si>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</si>
  <si>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</si>
  <si>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</si>
  <si>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</si>
  <si>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</si>
  <si>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</si>
  <si>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</si>
  <si>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</si>
  <si>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</si>
  <si>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</si>
  <si>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</si>
  <si>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</si>
  <si>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</si>
  <si>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</si>
  <si>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</si>
  <si>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</si>
  <si>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</si>
  <si>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</si>
  <si>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</si>
  <si>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</si>
  <si>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</si>
  <si>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</si>
  <si>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</si>
  <si>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</si>
  <si>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</si>
  <si>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</si>
  <si>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</si>
  <si>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</si>
  <si>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</si>
  <si>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</si>
  <si>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</si>
  <si>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</si>
  <si>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</si>
  <si>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</si>
  <si>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</si>
  <si>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</si>
  <si>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</si>
  <si>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</si>
  <si>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</si>
  <si>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</si>
  <si>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</si>
  <si>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</si>
  <si>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</si>
  <si>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</si>
  <si>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</si>
  <si>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</si>
  <si>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</si>
  <si>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</si>
  <si>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</si>
  <si>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</si>
  <si>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</si>
  <si>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</si>
  <si>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</si>
  <si>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</si>
  <si>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</si>
  <si>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</si>
  <si>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</si>
  <si>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</si>
  <si>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</si>
  <si>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</si>
  <si>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</si>
  <si>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</si>
  <si>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</si>
  <si>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</si>
  <si>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</si>
  <si>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</si>
  <si>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</si>
  <si>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</si>
  <si>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</si>
  <si>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</si>
  <si>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</si>
  <si>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</si>
  <si>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</si>
  <si>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</si>
  <si>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</si>
  <si>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</si>
  <si>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</si>
  <si>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</si>
  <si>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</si>
  <si>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</si>
  <si>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</si>
  <si>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</si>
  <si>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</si>
  <si>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</si>
  <si>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</si>
  <si>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</si>
  <si>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</si>
  <si>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</si>
  <si>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</si>
  <si>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</si>
  <si>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</si>
  <si>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</si>
  <si>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</si>
  <si>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</si>
  <si>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</si>
  <si>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</si>
  <si>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</si>
  <si>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</si>
  <si>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</si>
  <si>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</si>
  <si>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</si>
  <si>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</si>
  <si>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</si>
  <si>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</si>
  <si>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</si>
  <si>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</si>
  <si>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</si>
  <si>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</si>
  <si>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</si>
  <si>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</si>
  <si>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</si>
  <si>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</si>
  <si>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</si>
  <si>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</si>
  <si>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</si>
  <si>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</si>
  <si>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</si>
  <si>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</si>
  <si>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</si>
  <si>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</si>
  <si>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</si>
  <si>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</si>
  <si>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</si>
  <si>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</si>
  <si>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</si>
  <si>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</si>
  <si>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</si>
  <si>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</si>
  <si>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</si>
  <si>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</si>
  <si>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</si>
  <si>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</si>
  <si>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</si>
  <si>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</si>
  <si>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</si>
  <si>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</si>
  <si>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</si>
  <si>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</si>
  <si>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</si>
  <si>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</si>
  <si>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</si>
  <si>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</si>
  <si>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</si>
  <si>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</si>
  <si>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</si>
  <si>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</si>
  <si>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</si>
  <si>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</si>
  <si>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</si>
  <si>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</si>
  <si>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</si>
  <si>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</si>
  <si>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</si>
  <si>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</si>
  <si>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</si>
  <si>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</si>
  <si>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</si>
  <si>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</si>
  <si>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</si>
  <si>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</si>
  <si>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</si>
  <si>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</si>
  <si>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</si>
  <si>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</si>
  <si>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</si>
  <si>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</si>
  <si>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</si>
  <si>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</si>
  <si>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</si>
  <si>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</si>
  <si>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</si>
  <si>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</si>
  <si>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</si>
  <si>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</si>
  <si>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</si>
  <si>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</si>
  <si>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</si>
  <si>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</si>
  <si>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</si>
  <si>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</si>
  <si>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</si>
  <si>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</si>
  <si>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</si>
  <si>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</si>
  <si>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</si>
  <si>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</si>
  <si>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</si>
  <si>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</si>
  <si>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</si>
  <si>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</si>
  <si>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</si>
  <si>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</si>
  <si>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</si>
  <si>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</si>
  <si>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</si>
  <si>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</si>
  <si>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</si>
  <si>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</si>
  <si>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</si>
  <si>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</si>
  <si>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</si>
  <si>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</si>
  <si>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</si>
  <si>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</si>
  <si>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</si>
  <si>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</si>
  <si>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</si>
  <si>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</si>
  <si>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</si>
  <si>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</si>
  <si>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</si>
  <si>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</si>
  <si>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</si>
  <si>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</si>
  <si>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</si>
  <si>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</si>
  <si>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</si>
  <si>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</si>
  <si>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</si>
  <si>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</si>
  <si>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</si>
  <si>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</si>
  <si>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</si>
  <si>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</si>
  <si>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</si>
  <si>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</si>
  <si>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</si>
  <si>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</si>
  <si>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</si>
  <si>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</si>
  <si>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</si>
  <si>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</si>
  <si>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</si>
  <si>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</si>
  <si>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</si>
  <si>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</si>
  <si>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</si>
  <si>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</si>
  <si>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</si>
  <si>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</si>
  <si>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</si>
  <si>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</si>
  <si>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</si>
  <si>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</si>
  <si>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</si>
  <si>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</si>
  <si>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</si>
  <si>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</si>
  <si>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</si>
  <si>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</si>
  <si>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</si>
  <si>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</si>
  <si>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</si>
  <si>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</si>
  <si>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</si>
  <si>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</si>
  <si>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</si>
  <si>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</si>
  <si>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</si>
  <si>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</si>
  <si>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</si>
  <si>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</si>
  <si>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</si>
  <si>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</si>
  <si>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</si>
  <si>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</si>
  <si>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</si>
  <si>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</si>
  <si>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</si>
  <si>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</si>
  <si>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</si>
  <si>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</si>
  <si>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</si>
  <si>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</si>
  <si>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</si>
  <si>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</si>
  <si>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</si>
  <si>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</si>
  <si>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</si>
  <si>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</si>
  <si>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</si>
  <si>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</si>
  <si>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</si>
  <si>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</si>
  <si>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</si>
  <si>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</si>
  <si>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</si>
  <si>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</si>
  <si>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</si>
  <si>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</si>
  <si>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</si>
  <si>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</si>
  <si>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</si>
  <si>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</si>
  <si>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</si>
  <si>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</si>
  <si>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</si>
  <si>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</si>
  <si>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</si>
  <si>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</si>
  <si>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</si>
  <si>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</si>
  <si>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</si>
  <si>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</si>
  <si>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</si>
  <si>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</si>
  <si>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</si>
  <si>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</si>
  <si>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</si>
  <si>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</si>
  <si>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</si>
  <si>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</si>
  <si>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</si>
  <si>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</si>
  <si>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</si>
  <si>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</si>
  <si>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</si>
  <si>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</si>
  <si>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</si>
  <si>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</si>
  <si>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</si>
  <si>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</si>
  <si>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</si>
  <si>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</si>
  <si>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</si>
  <si>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</si>
  <si>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</si>
  <si>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</si>
  <si>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</si>
  <si>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</si>
  <si>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</si>
  <si>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</si>
  <si>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</si>
  <si>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</si>
  <si>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</si>
  <si>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</si>
  <si>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</si>
  <si>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</si>
  <si>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</si>
  <si>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</si>
  <si>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</si>
  <si>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</si>
  <si>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</si>
  <si>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</si>
  <si>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</si>
  <si>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</si>
  <si>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</si>
  <si>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</si>
  <si>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</si>
  <si>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</si>
  <si>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</si>
  <si>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</si>
  <si>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</si>
  <si>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</si>
  <si>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</si>
  <si>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</si>
  <si>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</si>
  <si>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</si>
  <si>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</si>
  <si>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</si>
  <si>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</si>
  <si>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</si>
  <si>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</si>
  <si>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</si>
  <si>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</si>
  <si>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</si>
  <si>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</si>
  <si>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</si>
  <si>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</si>
  <si>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</si>
  <si>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</si>
  <si>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</si>
  <si>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</si>
  <si>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</si>
  <si>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</si>
  <si>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</si>
  <si>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</si>
  <si>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</si>
  <si>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</si>
  <si>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</si>
  <si>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</si>
  <si>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</si>
  <si>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</si>
  <si>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</si>
  <si>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</si>
  <si>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</si>
  <si>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</si>
  <si>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</si>
  <si>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</si>
  <si>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</si>
  <si>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</si>
  <si>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</si>
  <si>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</si>
  <si>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</si>
  <si>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</si>
  <si>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</si>
  <si>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</si>
  <si>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</si>
  <si>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</si>
  <si>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</si>
  <si>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</si>
  <si>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</si>
  <si>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</si>
  <si>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</si>
  <si>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</si>
  <si>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</si>
  <si>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</si>
  <si>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</si>
  <si>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</si>
  <si>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</si>
  <si>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</si>
  <si>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</si>
  <si>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</si>
  <si>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</si>
  <si>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</si>
  <si>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</si>
  <si>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</si>
  <si>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</si>
  <si>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</si>
  <si>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</si>
  <si>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</si>
  <si>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</si>
  <si>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</si>
  <si>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</si>
  <si>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</si>
  <si>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</si>
  <si>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</si>
  <si>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</si>
  <si>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</si>
  <si>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</si>
  <si>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</si>
  <si>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</si>
  <si>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</si>
  <si>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</si>
  <si>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</si>
  <si>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</si>
  <si>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</si>
  <si>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</si>
  <si>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</si>
  <si>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</si>
  <si>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</si>
  <si>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</si>
  <si>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</si>
  <si>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</si>
  <si>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</si>
  <si>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</si>
  <si>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</si>
  <si>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</si>
  <si>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</si>
  <si>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</si>
  <si>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</si>
  <si>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</si>
  <si>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</si>
  <si>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</si>
  <si>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</si>
  <si>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</si>
  <si>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</si>
  <si>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</si>
  <si>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</si>
  <si>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</si>
  <si>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</si>
  <si>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</si>
  <si>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</si>
  <si>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</si>
  <si>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</si>
  <si>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</si>
  <si>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</si>
  <si>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</si>
  <si>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</si>
  <si>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</si>
  <si>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</si>
  <si>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</si>
  <si>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</si>
  <si>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</si>
  <si>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</si>
  <si>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</si>
  <si>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</si>
  <si>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</si>
  <si>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</si>
  <si>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</si>
  <si>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</si>
  <si>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</si>
  <si>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</si>
  <si>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</si>
  <si>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</si>
  <si>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</si>
  <si>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</si>
  <si>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</si>
  <si>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</si>
  <si>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</si>
  <si>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</si>
  <si>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</si>
  <si>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</si>
  <si>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</si>
  <si>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</si>
  <si>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</si>
  <si>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</si>
  <si>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</si>
  <si>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</si>
  <si>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</si>
  <si>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</si>
  <si>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</si>
  <si>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</si>
  <si>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</si>
  <si>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</si>
  <si>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</si>
  <si>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</si>
  <si>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</si>
  <si>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</si>
  <si>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</si>
  <si>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</si>
  <si>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</si>
  <si>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</si>
  <si>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</si>
  <si>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</si>
  <si>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</si>
  <si>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</si>
  <si>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</si>
  <si>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</si>
  <si>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</si>
  <si>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</si>
  <si>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</si>
  <si>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</si>
  <si>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</si>
  <si>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</si>
  <si>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</si>
  <si>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</si>
  <si>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</si>
  <si>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</si>
  <si>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</si>
  <si>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</si>
  <si>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</si>
  <si>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</si>
  <si>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</si>
  <si>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</si>
  <si>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</si>
  <si>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</si>
  <si>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</si>
  <si>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</si>
  <si>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</si>
  <si>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</si>
  <si>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</si>
  <si>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</si>
  <si>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</si>
  <si>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</si>
  <si>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</si>
  <si>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</si>
  <si>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</si>
  <si>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</si>
  <si>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</si>
  <si>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</si>
  <si>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</si>
  <si>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</si>
  <si>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</si>
  <si>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</si>
  <si>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</si>
  <si>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</si>
  <si>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</si>
  <si>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</si>
  <si>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</si>
  <si>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</si>
  <si>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</si>
  <si>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</si>
  <si>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</si>
  <si>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</si>
  <si>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</si>
  <si>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</si>
  <si>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</si>
  <si>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</si>
  <si>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</si>
  <si>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</si>
  <si>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</si>
  <si>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</si>
  <si>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</si>
  <si>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</si>
  <si>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</si>
  <si>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</si>
  <si>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</si>
  <si>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</si>
  <si>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</si>
  <si>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</si>
  <si>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</si>
  <si>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</si>
  <si>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</si>
  <si>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</si>
  <si>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</si>
  <si>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</si>
  <si>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</si>
  <si>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</si>
  <si>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</si>
  <si>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</si>
  <si>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</si>
  <si>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</si>
  <si>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</si>
  <si>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</si>
  <si>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</si>
  <si>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</si>
  <si>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</si>
  <si>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</si>
  <si>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</si>
  <si>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</si>
  <si>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</si>
  <si>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</si>
  <si>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</si>
  <si>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</si>
  <si>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</si>
  <si>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</si>
  <si>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</si>
  <si>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</si>
  <si>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</si>
  <si>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</si>
  <si>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</si>
  <si>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</si>
  <si>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</si>
  <si>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</si>
  <si>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</si>
  <si>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</si>
  <si>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</si>
  <si>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</si>
  <si>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</si>
  <si>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</si>
  <si>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</si>
  <si>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</si>
  <si>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</si>
  <si>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</si>
  <si>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</si>
  <si>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</si>
  <si>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</si>
  <si>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</si>
  <si>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</si>
  <si>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</si>
  <si>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</si>
  <si>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</si>
  <si>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</si>
  <si>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</si>
  <si>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</si>
  <si>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</si>
  <si>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</si>
  <si>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</si>
  <si>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</si>
  <si>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</si>
  <si>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</si>
  <si>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</si>
  <si>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</si>
  <si>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</si>
  <si>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</si>
  <si>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</si>
  <si>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</si>
  <si>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</si>
  <si>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</si>
  <si>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</si>
  <si>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</si>
  <si>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</si>
  <si>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</si>
  <si>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</si>
  <si>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</si>
  <si>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</si>
  <si>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</si>
  <si>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</si>
  <si>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</si>
  <si>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</si>
  <si>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</si>
  <si>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</si>
  <si>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</si>
  <si>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</si>
  <si>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</si>
  <si>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</si>
  <si>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</si>
  <si>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</si>
  <si>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</si>
  <si>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</si>
  <si>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</si>
  <si>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</si>
  <si>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</si>
  <si>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</si>
  <si>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</si>
  <si>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</si>
  <si>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</si>
  <si>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</si>
  <si>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</si>
  <si>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</si>
  <si>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</si>
  <si>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</si>
  <si>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</si>
  <si>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</si>
  <si>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</si>
  <si>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</si>
  <si>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</si>
  <si>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</si>
  <si>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</si>
  <si>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</si>
  <si>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</si>
  <si>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</si>
  <si>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</si>
  <si>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</si>
  <si>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</si>
  <si>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</si>
  <si>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</si>
  <si>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</si>
  <si>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</si>
  <si>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</si>
  <si>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</si>
  <si>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</si>
  <si>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</si>
  <si>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</si>
  <si>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</si>
  <si>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</si>
  <si>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</si>
  <si>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</si>
  <si>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</si>
  <si>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</si>
  <si>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</si>
  <si>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</si>
  <si>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</si>
  <si>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</si>
  <si>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</si>
  <si>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</si>
  <si>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</si>
  <si>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</si>
  <si>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</si>
  <si>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</si>
  <si>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</si>
  <si>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</si>
  <si>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</si>
  <si>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</si>
  <si>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</si>
  <si>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</si>
  <si>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</si>
  <si>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</si>
  <si>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</si>
  <si>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</si>
  <si>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</si>
  <si>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</si>
  <si>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</si>
  <si>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</si>
  <si>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</si>
  <si>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</si>
  <si>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</si>
  <si>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</si>
  <si>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</si>
  <si>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</si>
  <si>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</si>
  <si>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</si>
  <si>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</si>
  <si>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</si>
  <si>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</si>
  <si>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</si>
  <si>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</si>
  <si>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</si>
  <si>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</si>
  <si>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</si>
  <si>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</si>
  <si>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</si>
  <si>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</si>
  <si>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</si>
  <si>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</si>
  <si>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</si>
  <si>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</si>
  <si>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</si>
  <si>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</si>
  <si>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</si>
  <si>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</si>
  <si>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</si>
  <si>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</si>
  <si>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</si>
  <si>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</si>
  <si>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</si>
  <si>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</si>
  <si>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</si>
  <si>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</si>
  <si>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</si>
  <si>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</si>
  <si>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</si>
  <si>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</si>
  <si>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</si>
  <si>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</si>
  <si>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</si>
  <si>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</si>
  <si>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</si>
  <si>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</si>
  <si>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</si>
  <si>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</si>
  <si>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</si>
  <si>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</si>
  <si>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</si>
  <si>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</si>
  <si>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</si>
  <si>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</si>
  <si>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</si>
  <si>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</si>
  <si>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</si>
  <si>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</si>
  <si>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</si>
  <si>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</si>
  <si>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</si>
  <si>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</si>
  <si>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</si>
  <si>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</si>
  <si>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</si>
  <si>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</si>
  <si>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</si>
  <si>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</si>
  <si>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</si>
  <si>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</si>
  <si>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</si>
  <si>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</si>
  <si>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</si>
  <si>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</si>
  <si>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</si>
  <si>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</si>
  <si>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</si>
  <si>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</si>
  <si>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</si>
  <si>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</si>
  <si>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</si>
  <si>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</si>
  <si>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</si>
  <si>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</si>
  <si>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</si>
  <si>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</si>
  <si>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</si>
  <si>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</si>
  <si>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</si>
  <si>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</si>
  <si>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</si>
  <si>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</si>
  <si>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28-037-2280-26</t>
  </si>
  <si>
    <t>648 North Chicago St.</t>
  </si>
  <si>
    <t>309-945-0450</t>
  </si>
  <si>
    <t>309-945-0445</t>
  </si>
  <si>
    <t>tcustis@gorenzcpa.com</t>
  </si>
  <si>
    <t>GO 2015A Alternate Revenue Bonds</t>
  </si>
  <si>
    <t>GO 2015B Working Cash Bonds</t>
  </si>
  <si>
    <t>GO 2016A Working Cash Bonds</t>
  </si>
  <si>
    <t>GO 2016B Life Safety/WC Bonds</t>
  </si>
  <si>
    <t>Technology Loan</t>
  </si>
  <si>
    <t>Alternate Revenue</t>
  </si>
  <si>
    <t>x</t>
  </si>
  <si>
    <t>Northern Illinois Library</t>
  </si>
  <si>
    <t>Illinois Energy Consortium</t>
  </si>
  <si>
    <t>ISDA, Prairie State Insurance Co-op</t>
  </si>
  <si>
    <t>Illinois Liquid Asset Fund</t>
  </si>
  <si>
    <t>IASA Job Bank</t>
  </si>
  <si>
    <t>Bureau, Henry, Stark ROE</t>
  </si>
  <si>
    <t>Henry-Stark Special Education Co-op</t>
  </si>
  <si>
    <t>Bureau, Henry, Stark ROE (Paper)</t>
  </si>
  <si>
    <t>Quad Cities Area Vocational Co-op</t>
  </si>
  <si>
    <t>Henry</t>
  </si>
  <si>
    <t>Tim C. Custis, CPA</t>
  </si>
  <si>
    <t>NONE</t>
  </si>
  <si>
    <t>ED-INSTRUCTION-PROF SERVICES</t>
  </si>
  <si>
    <t>HAMMOND HENRY HOSPITAL</t>
  </si>
  <si>
    <t>TRANS-SUPPORT SERVICES-PROF SERVICES</t>
  </si>
  <si>
    <t>PINKS BUS SERVICE</t>
  </si>
  <si>
    <t>The opinion is adverse due to the use of the Regulatory Basis of Accounting.</t>
  </si>
  <si>
    <t>Geneseo Communtiy Unit School District No. 228</t>
  </si>
  <si>
    <t xml:space="preserve">                                  Year Ended June 30, 2018                                </t>
  </si>
  <si>
    <t>ISBE</t>
  </si>
  <si>
    <t xml:space="preserve">          Receipts/Revenues          </t>
  </si>
  <si>
    <t xml:space="preserve">  Expenditures/Disbursements  </t>
  </si>
  <si>
    <t>Project</t>
  </si>
  <si>
    <t xml:space="preserve">Prior to </t>
  </si>
  <si>
    <t>7/01/17 -</t>
  </si>
  <si>
    <t>Final</t>
  </si>
  <si>
    <t>Federal Grantor/Pass-Through Grantor,</t>
  </si>
  <si>
    <t>Number</t>
  </si>
  <si>
    <t>6/30/17</t>
  </si>
  <si>
    <t>6/30/18</t>
  </si>
  <si>
    <t>Encumbrances</t>
  </si>
  <si>
    <t>Program Title &amp; Major Program Designation</t>
  </si>
  <si>
    <t xml:space="preserve">        (A)        </t>
  </si>
  <si>
    <t xml:space="preserve">         (B)         </t>
  </si>
  <si>
    <t xml:space="preserve">         (C)         </t>
  </si>
  <si>
    <t xml:space="preserve">         (D)         </t>
  </si>
  <si>
    <t xml:space="preserve">         (E)         </t>
  </si>
  <si>
    <t xml:space="preserve">         (F)         </t>
  </si>
  <si>
    <t>***</t>
  </si>
  <si>
    <t xml:space="preserve">         (G)         </t>
  </si>
  <si>
    <t xml:space="preserve">         (H)         </t>
  </si>
  <si>
    <t xml:space="preserve">         (I)         </t>
  </si>
  <si>
    <t xml:space="preserve">U.S. Department of Agriculture - </t>
  </si>
  <si>
    <t xml:space="preserve">   Pass-through program from</t>
  </si>
  <si>
    <t xml:space="preserve">   Illinois State Board of Education</t>
  </si>
  <si>
    <t>(M)</t>
  </si>
  <si>
    <t>17-4210-00</t>
  </si>
  <si>
    <t>N/A</t>
  </si>
  <si>
    <t>10.555</t>
  </si>
  <si>
    <t>18-4210-00</t>
  </si>
  <si>
    <t>17-4220-00</t>
  </si>
  <si>
    <t>18-4220-00</t>
  </si>
  <si>
    <t>Food Donation (3)</t>
  </si>
  <si>
    <t>FY17</t>
  </si>
  <si>
    <t>FY18</t>
  </si>
  <si>
    <t>Dept of Defense-Fresh Fruits and Vegetables (3)</t>
  </si>
  <si>
    <t xml:space="preserve">   St. Malachy's School</t>
  </si>
  <si>
    <t>17-4210-01</t>
  </si>
  <si>
    <t>18-4210-01</t>
  </si>
  <si>
    <t>Total U.S. Department of Agriculture - Pass-through programs</t>
  </si>
  <si>
    <t xml:space="preserve">U.S. Department of Education - </t>
  </si>
  <si>
    <t>`</t>
  </si>
  <si>
    <t>17-4300-00</t>
  </si>
  <si>
    <t>18-4300-00</t>
  </si>
  <si>
    <t>Title IV - Student Support &amp; Academic Enrichment</t>
  </si>
  <si>
    <t>84.424A</t>
  </si>
  <si>
    <t>18-4400-00</t>
  </si>
  <si>
    <t>IDEA Room and Board</t>
  </si>
  <si>
    <t>18-4625-00</t>
  </si>
  <si>
    <t>17-4625-00</t>
  </si>
  <si>
    <t>17-4932-00</t>
  </si>
  <si>
    <t>18-4932-00</t>
  </si>
  <si>
    <t>Total Dept. of Education passed-through ISBE</t>
  </si>
  <si>
    <t>Henry-Stark Special Education Cooperative</t>
  </si>
  <si>
    <t>IDEA Flow Through</t>
  </si>
  <si>
    <t>17-4620-00</t>
  </si>
  <si>
    <t>18-4620-00</t>
  </si>
  <si>
    <t>Total U.S. Department of Education - Pass-through programs from Henry Stark SEA</t>
  </si>
  <si>
    <t xml:space="preserve">    Henry Stark Special Education Association</t>
  </si>
  <si>
    <t>IDEA - Flow Through</t>
  </si>
  <si>
    <t>15-4620-00</t>
  </si>
  <si>
    <t>16-4620-00</t>
  </si>
  <si>
    <t xml:space="preserve">   Illinois Department of Human Services</t>
  </si>
  <si>
    <t>S.T.E.P.    (Note #5)</t>
  </si>
  <si>
    <t>46CVF00020</t>
  </si>
  <si>
    <t>46CWF00020</t>
  </si>
  <si>
    <t>Total Dept. of Education passed-through IL Dept of Human Services</t>
  </si>
  <si>
    <t xml:space="preserve">   </t>
  </si>
  <si>
    <t>Total U.S. Department of Education - Pass-through programs</t>
  </si>
  <si>
    <t>U.S. Department of Health and Human Services -</t>
  </si>
  <si>
    <t xml:space="preserve">   Illinois Department of Healthcare and Family Services</t>
  </si>
  <si>
    <t>Medicaid Outreach</t>
  </si>
  <si>
    <t>17-4991-00</t>
  </si>
  <si>
    <t>18-4991-00</t>
  </si>
  <si>
    <t>Total U.S. Department of Health and Human Services - Pass-through programs</t>
  </si>
  <si>
    <t>Total Federal Awards</t>
  </si>
  <si>
    <t>Total Federal Awards Passed Through Illinois State Board of Education</t>
  </si>
  <si>
    <t>Total Federal Awards Passed Through Other Entities</t>
  </si>
  <si>
    <t>*** - No Pass through to Subrecipients</t>
  </si>
  <si>
    <t>(M) Indicates Major Federal Financial Assistance Program.</t>
  </si>
  <si>
    <t>(1) Revenue Carryover from Prior Year Project per ISBE.</t>
  </si>
  <si>
    <t>(2) Project not complete as of June 30, 2018.</t>
  </si>
  <si>
    <t>(3) Nonmonetary assistance is reported in the schedule at the fair market value of the commodities received and disbursed.</t>
  </si>
  <si>
    <t>Geneseo, IL</t>
  </si>
  <si>
    <t>The accompanying Schedule of Expenditures of Federal Awards includes the federal grant activity of Geneseo CUSD No. 228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</si>
  <si>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Geneseo CUSD No. 228 provided federal awards to subrecipients as follows:</t>
  </si>
  <si>
    <r>
      <t xml:space="preserve">The following amounts were expended in the form of non-cash assistance by Geneseo CUSD No. 228 and </t>
    </r>
    <r>
      <rPr>
        <b/>
        <sz val="9"/>
        <rFont val="Calibri"/>
        <family val="2"/>
        <scheme val="minor"/>
      </rPr>
      <t>should be</t>
    </r>
    <r>
      <rPr>
        <sz val="9"/>
        <rFont val="Calibri"/>
        <family val="2"/>
        <scheme val="minor"/>
      </rPr>
      <t xml:space="preserve"> included in the Schedule of Expenditures of Federal Awards:</t>
    </r>
  </si>
  <si>
    <t>Unmodified</t>
  </si>
  <si>
    <t>10.553 &amp; 10.555</t>
  </si>
  <si>
    <t>Child Nutrition Cluster</t>
  </si>
  <si>
    <t>There were no findings for the prior year ending June 30, 2017.</t>
  </si>
  <si>
    <r>
      <t>CORRECTIVE ACTION PLAN FOR CURRENT YEAR AUDIT FINDINGS</t>
    </r>
    <r>
      <rPr>
        <b/>
        <vertAlign val="superscript"/>
        <sz val="9"/>
        <rFont val="Arial"/>
        <family val="2"/>
      </rPr>
      <t>21</t>
    </r>
  </si>
  <si>
    <t>Corrective Action Plan</t>
  </si>
  <si>
    <t>Finding No.:</t>
  </si>
  <si>
    <t>None</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</si>
  <si>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</si>
  <si>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</si>
  <si>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</si>
  <si>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</si>
  <si>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</si>
  <si>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</si>
  <si>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Note 5:  Matching Expenditures</t>
  </si>
  <si>
    <t>S.T.E.P. (CFDA #84.126) (Contract #46CWF00020) required matching expenditures of $1,400. Total reported expenditures for the
grant were $78,751, not including the matching expenditures.</t>
  </si>
  <si>
    <t>Note 6: Relationship to Basis Financial Statements and Program Financial Reports</t>
  </si>
  <si>
    <t>Federal awards received are reflected in the District's financial statements within the Educational Fund as receipts from federal sources. Amounts reported in the accompanying Schedule of Expenditures of Federal Awards agree with the amounts in the Program Financial Records for programs which have filed final reports as of June 30, 2018 with ISBE.</t>
  </si>
  <si>
    <t>Note 7:  Other Information</t>
  </si>
  <si>
    <t>abrumbaugh@geneseoschools.org</t>
  </si>
  <si>
    <t>Dr. Adam Brumbaugh</t>
  </si>
  <si>
    <t>1&amp;4</t>
  </si>
  <si>
    <t>2018 WC Bonds</t>
  </si>
  <si>
    <t>GO 2010A Life Safety/WC</t>
  </si>
  <si>
    <t>GO 2010B Life Safety/WC</t>
  </si>
  <si>
    <t>10-1000-300</t>
  </si>
  <si>
    <t>40-2550-300</t>
  </si>
  <si>
    <t>Page 10, Line 72 - Sales to Excel - Café</t>
  </si>
  <si>
    <t>Page 10, Line 74 - School Lunch/Misc, Café, Open House Café</t>
  </si>
  <si>
    <t>Page 10, Line 78 - Bowling Activity Fund Lib Fine</t>
  </si>
  <si>
    <t>Page 10, Line 81 - S.A.F.E.</t>
  </si>
  <si>
    <t xml:space="preserve">Page 11, Line 107 </t>
  </si>
  <si>
    <t>Education Fund - Sam Grant ROE</t>
  </si>
  <si>
    <t>Operations and Maintanance - Insurance Claim</t>
  </si>
  <si>
    <t>Page 12, Line 171 - Library Grant</t>
  </si>
  <si>
    <t>Page 14, Line 272 - Step Grant</t>
  </si>
  <si>
    <t>Page 16, Line 83 - Early Childhood Block Grant Repayment</t>
  </si>
  <si>
    <t>Page 18, Line 171 - Bond Fees</t>
  </si>
  <si>
    <t>Less value of commodities</t>
  </si>
  <si>
    <t>066-005027</t>
  </si>
  <si>
    <t>Illinois State Board of Education</t>
  </si>
  <si>
    <t>Page 20, Line 278 - Leadership Benefits</t>
  </si>
  <si>
    <t>Page 16, Line 73 - Leadership Stipend</t>
  </si>
  <si>
    <t>see embedded PDF version</t>
  </si>
  <si>
    <t>tgronski@geneseoschools.org</t>
  </si>
  <si>
    <t>Geneseo Community Unit School District No. 228</t>
  </si>
  <si>
    <t>Geneseo CUSD 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</si>
</sst>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000_);\(#,##0.000\)"/>
  </numFmts>
  <fonts count="1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Garamond"/>
      <family val="1"/>
    </font>
    <font>
      <sz val="10"/>
      <name val="Courier"/>
      <family val="3"/>
    </font>
    <font>
      <sz val="12"/>
      <name val="Garamond"/>
      <family val="1"/>
    </font>
    <font>
      <sz val="12"/>
      <name val="Courier"/>
      <family val="3"/>
    </font>
    <font>
      <b/>
      <u/>
      <sz val="12"/>
      <name val="Garamond"/>
      <family val="1"/>
    </font>
    <font>
      <b/>
      <sz val="10"/>
      <name val="Times New Roman"/>
      <family val="1"/>
    </font>
    <font>
      <u/>
      <sz val="12"/>
      <name val="Garamond"/>
      <family val="1"/>
    </font>
    <font>
      <u val="singleAccounting"/>
      <sz val="10"/>
      <name val="Times New Roman"/>
      <family val="1"/>
    </font>
    <font>
      <u val="singleAccounting"/>
      <sz val="12"/>
      <name val="Garamond"/>
      <family val="1"/>
    </font>
    <font>
      <sz val="12"/>
      <name val="Times New Roman"/>
      <family val="1"/>
    </font>
    <font>
      <sz val="12"/>
      <color theme="1"/>
      <name val="Garamond"/>
      <family val="1"/>
    </font>
    <font>
      <u val="doubleAccounting"/>
      <sz val="12"/>
      <name val="Garamond"/>
      <family val="1"/>
    </font>
    <font>
      <b/>
      <vertAlign val="superscript"/>
      <sz val="9"/>
      <name val="Arial"/>
      <family val="2"/>
    </font>
    <font>
      <b/>
      <u/>
      <sz val="8"/>
      <name val="Arial"/>
      <family val="2"/>
    </font>
    <font>
      <b/>
      <i/>
      <sz val="10"/>
      <name val="Arial"/>
      <family val="2"/>
    </font>
    <font>
      <vertAlign val="superscript"/>
      <sz val="8"/>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40" fillId="0" borderId="0"/>
    <xf numFmtId="43" fontId="45" fillId="0" borderId="0" applyFont="0" applyFill="0" applyBorder="0" applyAlignment="0" applyProtection="0"/>
    <xf numFmtId="37" fontId="140" fillId="0" borderId="0"/>
    <xf numFmtId="9" fontId="45" fillId="0" borderId="0" applyFont="0" applyFill="0" applyBorder="0" applyAlignment="0" applyProtection="0"/>
  </cellStyleXfs>
  <cellXfs count="264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37" fontId="45" fillId="0" borderId="0" xfId="19" applyFont="1" applyAlignment="1">
      <alignment vertical="center"/>
    </xf>
    <xf numFmtId="37" fontId="141" fillId="0" borderId="0" xfId="19" applyFont="1"/>
    <xf numFmtId="37" fontId="142" fillId="0" borderId="0" xfId="19" applyFont="1" applyAlignment="1">
      <alignment vertical="center"/>
    </xf>
    <xf numFmtId="37" fontId="141" fillId="0" borderId="0" xfId="19" applyFont="1" applyBorder="1" applyAlignment="1">
      <alignment horizontal="centerContinuous"/>
    </xf>
    <xf numFmtId="37" fontId="141" fillId="0" borderId="0" xfId="19" applyFont="1" applyBorder="1" applyAlignment="1">
      <alignment horizontal="left"/>
    </xf>
    <xf numFmtId="37" fontId="141" fillId="0" borderId="0" xfId="19" applyFont="1" applyBorder="1"/>
    <xf numFmtId="37" fontId="141" fillId="0" borderId="0" xfId="19" applyFont="1" applyBorder="1" applyAlignment="1">
      <alignment horizontal="center"/>
    </xf>
    <xf numFmtId="37" fontId="145" fillId="0" borderId="0" xfId="19" applyFont="1" applyBorder="1" applyAlignment="1">
      <alignment horizontal="centerContinuous"/>
    </xf>
    <xf numFmtId="37" fontId="141" fillId="0" borderId="0" xfId="19" applyFont="1" applyAlignment="1">
      <alignment horizontal="center"/>
    </xf>
    <xf numFmtId="37" fontId="141" fillId="0" borderId="0" xfId="19" applyFont="1" applyAlignment="1">
      <alignment horizontal="left"/>
    </xf>
    <xf numFmtId="37" fontId="141" fillId="0" borderId="0" xfId="19" quotePrefix="1" applyFont="1" applyAlignment="1">
      <alignment horizontal="center"/>
    </xf>
    <xf numFmtId="14" fontId="141" fillId="0" borderId="0" xfId="19" quotePrefix="1" applyNumberFormat="1" applyFont="1" applyAlignment="1">
      <alignment horizontal="center"/>
    </xf>
    <xf numFmtId="14" fontId="141" fillId="0" borderId="0" xfId="19" applyNumberFormat="1" applyFont="1" applyAlignment="1">
      <alignment horizontal="center"/>
    </xf>
    <xf numFmtId="37" fontId="145" fillId="0" borderId="0" xfId="19" applyFont="1" applyAlignment="1">
      <alignment horizontal="left"/>
    </xf>
    <xf numFmtId="37" fontId="145" fillId="0" borderId="0" xfId="19" applyFont="1" applyAlignment="1">
      <alignment horizontal="center"/>
    </xf>
    <xf numFmtId="37" fontId="145" fillId="0" borderId="0" xfId="19" applyNumberFormat="1" applyFont="1" applyAlignment="1" applyProtection="1">
      <alignment horizontal="center"/>
    </xf>
    <xf numFmtId="37" fontId="141" fillId="0" borderId="0" xfId="19" applyNumberFormat="1" applyFont="1" applyProtection="1"/>
    <xf numFmtId="37" fontId="141" fillId="0" borderId="0" xfId="19" applyNumberFormat="1" applyFont="1" applyAlignment="1" applyProtection="1">
      <alignment horizontal="center"/>
    </xf>
    <xf numFmtId="37" fontId="139" fillId="0" borderId="0" xfId="19" applyFont="1" applyAlignment="1">
      <alignment horizontal="left"/>
    </xf>
    <xf numFmtId="37" fontId="45" fillId="0" borderId="0" xfId="19" applyFont="1" applyAlignment="1">
      <alignment horizontal="center" vertical="center"/>
    </xf>
    <xf numFmtId="37" fontId="145" fillId="0" borderId="0" xfId="19" applyFont="1"/>
    <xf numFmtId="37" fontId="139" fillId="0" borderId="0" xfId="19" applyFont="1" applyAlignment="1"/>
    <xf numFmtId="37" fontId="141" fillId="0" borderId="0" xfId="19" applyFont="1" applyAlignment="1">
      <alignment horizontal="right"/>
    </xf>
    <xf numFmtId="181" fontId="141" fillId="0" borderId="0" xfId="19" applyNumberFormat="1" applyFont="1" applyAlignment="1" applyProtection="1">
      <alignment horizontal="center"/>
    </xf>
    <xf numFmtId="182" fontId="141" fillId="0" borderId="0" xfId="19" applyNumberFormat="1" applyFont="1" applyFill="1"/>
    <xf numFmtId="182" fontId="141" fillId="0" borderId="0" xfId="19" applyNumberFormat="1" applyFont="1" applyFill="1" applyAlignment="1">
      <alignment horizontal="center"/>
    </xf>
    <xf numFmtId="183" fontId="141" fillId="0" borderId="0" xfId="19" applyNumberFormat="1" applyFont="1" applyProtection="1"/>
    <xf numFmtId="182" fontId="141" fillId="0" borderId="0" xfId="19" applyNumberFormat="1" applyFont="1" applyAlignment="1" applyProtection="1">
      <alignment horizontal="right"/>
    </xf>
    <xf numFmtId="37" fontId="141" fillId="0" borderId="0" xfId="19" applyFont="1" applyFill="1" applyAlignment="1">
      <alignment horizontal="center"/>
    </xf>
    <xf numFmtId="183" fontId="141" fillId="0" borderId="0" xfId="19" applyNumberFormat="1" applyFont="1" applyFill="1" applyProtection="1"/>
    <xf numFmtId="182" fontId="141" fillId="0" borderId="0" xfId="19" applyNumberFormat="1" applyFont="1"/>
    <xf numFmtId="182" fontId="141" fillId="0" borderId="0" xfId="19" applyNumberFormat="1" applyFont="1" applyFill="1" applyProtection="1"/>
    <xf numFmtId="182" fontId="147" fillId="0" borderId="0" xfId="19" applyNumberFormat="1" applyFont="1" applyFill="1" applyProtection="1"/>
    <xf numFmtId="182" fontId="141" fillId="0" borderId="0" xfId="19" applyNumberFormat="1" applyFont="1" applyProtection="1"/>
    <xf numFmtId="182" fontId="147" fillId="0" borderId="0" xfId="19" applyNumberFormat="1" applyFont="1" applyProtection="1"/>
    <xf numFmtId="37" fontId="141" fillId="0" borderId="0" xfId="22" applyFont="1" applyAlignment="1">
      <alignment horizontal="center"/>
    </xf>
    <xf numFmtId="37" fontId="141" fillId="28" borderId="0" xfId="19" applyFont="1" applyFill="1" applyAlignment="1">
      <alignment horizontal="center"/>
    </xf>
    <xf numFmtId="182" fontId="141" fillId="28" borderId="0" xfId="19" applyNumberFormat="1" applyFont="1" applyFill="1" applyProtection="1"/>
    <xf numFmtId="182" fontId="141" fillId="28" borderId="0" xfId="19" applyNumberFormat="1" applyFont="1" applyFill="1"/>
    <xf numFmtId="182" fontId="147" fillId="28" borderId="0" xfId="19" applyNumberFormat="1" applyFont="1" applyFill="1" applyProtection="1"/>
    <xf numFmtId="37" fontId="141" fillId="0" borderId="0" xfId="22" applyFont="1" applyAlignment="1">
      <alignment horizontal="left"/>
    </xf>
    <xf numFmtId="181" fontId="141" fillId="0" borderId="0" xfId="22" applyNumberFormat="1" applyFont="1" applyAlignment="1" applyProtection="1">
      <alignment horizontal="center"/>
    </xf>
    <xf numFmtId="37" fontId="141" fillId="0" borderId="0" xfId="22" applyFont="1"/>
    <xf numFmtId="182" fontId="141" fillId="0" borderId="0" xfId="19" applyNumberFormat="1" applyFont="1" applyAlignment="1">
      <alignment horizontal="center"/>
    </xf>
    <xf numFmtId="182" fontId="141" fillId="0" borderId="0" xfId="19" applyNumberFormat="1" applyFont="1" applyAlignment="1">
      <alignment horizontal="right"/>
    </xf>
    <xf numFmtId="37" fontId="148" fillId="0" borderId="0" xfId="19" applyFont="1" applyAlignment="1">
      <alignment horizontal="center" vertical="center"/>
    </xf>
    <xf numFmtId="182" fontId="147" fillId="0" borderId="0" xfId="19" applyNumberFormat="1" applyFont="1" applyFill="1"/>
    <xf numFmtId="183" fontId="147" fillId="0" borderId="0" xfId="19" applyNumberFormat="1" applyFont="1" applyProtection="1"/>
    <xf numFmtId="181" fontId="141" fillId="0" borderId="0" xfId="19" applyNumberFormat="1" applyFont="1" applyFill="1" applyAlignment="1" applyProtection="1">
      <alignment horizontal="center"/>
    </xf>
    <xf numFmtId="182" fontId="149" fillId="0" borderId="0" xfId="19" applyNumberFormat="1" applyFont="1" applyFill="1" applyProtection="1"/>
    <xf numFmtId="182" fontId="141" fillId="0" borderId="0" xfId="19" applyNumberFormat="1" applyFont="1" applyFill="1" applyAlignment="1">
      <alignment horizontal="right"/>
    </xf>
    <xf numFmtId="182" fontId="141" fillId="21" borderId="0" xfId="19" applyNumberFormat="1" applyFont="1" applyFill="1" applyProtection="1"/>
    <xf numFmtId="37" fontId="141" fillId="0" borderId="0" xfId="19" quotePrefix="1" applyFont="1" applyAlignment="1">
      <alignment horizontal="left"/>
    </xf>
    <xf numFmtId="182" fontId="141" fillId="0" borderId="0" xfId="19" quotePrefix="1" applyNumberFormat="1" applyFont="1" applyFill="1" applyProtection="1"/>
    <xf numFmtId="183" fontId="147" fillId="0" borderId="0" xfId="19" applyNumberFormat="1" applyFont="1" applyFill="1" applyProtection="1"/>
    <xf numFmtId="182" fontId="141" fillId="0" borderId="0" xfId="19" quotePrefix="1" applyNumberFormat="1" applyFont="1" applyProtection="1"/>
    <xf numFmtId="182" fontId="147" fillId="0" borderId="0" xfId="19" applyNumberFormat="1" applyFont="1"/>
    <xf numFmtId="182" fontId="141" fillId="0" borderId="0" xfId="19" quotePrefix="1" applyNumberFormat="1" applyFont="1" applyFill="1"/>
    <xf numFmtId="37" fontId="144" fillId="0" borderId="0" xfId="19" applyFont="1" applyAlignment="1">
      <alignment horizontal="left" vertical="center"/>
    </xf>
    <xf numFmtId="182" fontId="45" fillId="0" borderId="0" xfId="19" applyNumberFormat="1" applyFont="1" applyAlignment="1">
      <alignment vertical="center"/>
    </xf>
    <xf numFmtId="182" fontId="45" fillId="0" borderId="0" xfId="19" applyNumberFormat="1" applyFont="1" applyAlignment="1">
      <alignment horizontal="center" vertical="center"/>
    </xf>
    <xf numFmtId="182" fontId="146" fillId="0" borderId="0" xfId="19" applyNumberFormat="1" applyFont="1" applyAlignment="1" applyProtection="1">
      <alignment vertical="center"/>
    </xf>
    <xf numFmtId="183" fontId="45" fillId="0" borderId="0" xfId="19" applyNumberFormat="1" applyFont="1" applyAlignment="1" applyProtection="1">
      <alignment vertical="center"/>
    </xf>
    <xf numFmtId="37" fontId="45" fillId="0" borderId="0" xfId="19" applyFont="1" applyAlignment="1">
      <alignment horizontal="right" vertical="center"/>
    </xf>
    <xf numFmtId="181" fontId="45" fillId="0" borderId="0" xfId="19" applyNumberFormat="1" applyFont="1" applyAlignment="1" applyProtection="1">
      <alignment horizontal="center" vertical="center"/>
    </xf>
    <xf numFmtId="182" fontId="45" fillId="0" borderId="0" xfId="19" applyNumberFormat="1" applyFont="1" applyFill="1" applyAlignment="1">
      <alignment vertical="center"/>
    </xf>
    <xf numFmtId="182" fontId="45" fillId="0" borderId="0" xfId="19" applyNumberFormat="1" applyFont="1" applyFill="1" applyAlignment="1">
      <alignment horizontal="center" vertical="center"/>
    </xf>
    <xf numFmtId="182" fontId="45" fillId="0" borderId="0" xfId="19" applyNumberFormat="1" applyFont="1" applyFill="1" applyAlignment="1" applyProtection="1">
      <alignment vertical="center"/>
    </xf>
    <xf numFmtId="183" fontId="45" fillId="0" borderId="0" xfId="19" applyNumberFormat="1" applyFont="1" applyFill="1" applyAlignment="1" applyProtection="1">
      <alignment vertical="center"/>
    </xf>
    <xf numFmtId="182" fontId="146" fillId="0" borderId="0" xfId="19" applyNumberFormat="1" applyFont="1" applyAlignment="1">
      <alignment vertical="center"/>
    </xf>
    <xf numFmtId="182" fontId="146" fillId="0" borderId="0" xfId="19" applyNumberFormat="1" applyFont="1" applyFill="1" applyAlignment="1">
      <alignment vertical="center"/>
    </xf>
    <xf numFmtId="182" fontId="146" fillId="0" borderId="0" xfId="19" applyNumberFormat="1" applyFont="1" applyFill="1" applyAlignment="1" applyProtection="1">
      <alignment vertical="center"/>
    </xf>
    <xf numFmtId="183" fontId="146" fillId="0" borderId="0" xfId="19" applyNumberFormat="1" applyFont="1" applyFill="1" applyAlignment="1" applyProtection="1">
      <alignment vertical="center"/>
    </xf>
    <xf numFmtId="182" fontId="45" fillId="21" borderId="0" xfId="19" applyNumberFormat="1" applyFont="1" applyFill="1" applyAlignment="1">
      <alignment vertical="center"/>
    </xf>
    <xf numFmtId="37" fontId="144" fillId="0" borderId="0" xfId="19" applyFont="1" applyAlignment="1">
      <alignment vertical="center"/>
    </xf>
    <xf numFmtId="37" fontId="45" fillId="0" borderId="0" xfId="19" applyFont="1" applyAlignment="1">
      <alignment horizontal="left" vertical="center"/>
    </xf>
    <xf numFmtId="182" fontId="45" fillId="0" borderId="0" xfId="19" applyNumberFormat="1" applyFont="1" applyAlignment="1" applyProtection="1">
      <alignment horizontal="center" vertical="center"/>
    </xf>
    <xf numFmtId="182" fontId="45" fillId="0" borderId="0" xfId="19" applyNumberFormat="1" applyFont="1" applyAlignment="1">
      <alignment horizontal="right" vertical="center"/>
    </xf>
    <xf numFmtId="37" fontId="141" fillId="28" borderId="0" xfId="19" applyFont="1" applyFill="1" applyAlignment="1">
      <alignment horizontal="left"/>
    </xf>
    <xf numFmtId="37" fontId="141" fillId="28" borderId="0" xfId="19" quotePrefix="1" applyFont="1" applyFill="1" applyAlignment="1">
      <alignment horizontal="center"/>
    </xf>
    <xf numFmtId="184" fontId="141" fillId="0" borderId="0" xfId="19" applyNumberFormat="1" applyFont="1" applyProtection="1"/>
    <xf numFmtId="182" fontId="141" fillId="0" borderId="0" xfId="19" applyNumberFormat="1" applyFont="1" applyAlignment="1" applyProtection="1">
      <alignment horizontal="left"/>
    </xf>
    <xf numFmtId="37" fontId="141" fillId="0" borderId="0" xfId="19" applyFont="1" applyFill="1"/>
    <xf numFmtId="183" fontId="141" fillId="0" borderId="0" xfId="19" applyNumberFormat="1" applyFont="1" applyFill="1" applyBorder="1" applyProtection="1"/>
    <xf numFmtId="182" fontId="141" fillId="0" borderId="0" xfId="19" applyNumberFormat="1" applyFont="1" applyFill="1" applyAlignment="1" applyProtection="1">
      <alignment horizontal="left"/>
    </xf>
    <xf numFmtId="37" fontId="141" fillId="28" borderId="0" xfId="19" applyFont="1" applyFill="1"/>
    <xf numFmtId="183" fontId="147" fillId="28" borderId="0" xfId="19" applyNumberFormat="1" applyFont="1" applyFill="1" applyProtection="1"/>
    <xf numFmtId="184" fontId="141" fillId="28" borderId="0" xfId="19" applyNumberFormat="1" applyFont="1" applyFill="1" applyProtection="1"/>
    <xf numFmtId="37" fontId="142" fillId="0" borderId="0" xfId="19" applyFont="1" applyAlignment="1">
      <alignment horizontal="center" vertical="center"/>
    </xf>
    <xf numFmtId="37" fontId="142" fillId="0" borderId="0" xfId="19" applyFont="1" applyFill="1" applyAlignment="1">
      <alignment vertical="center"/>
    </xf>
    <xf numFmtId="37" fontId="142" fillId="0" borderId="0" xfId="19" applyFont="1" applyAlignment="1" applyProtection="1">
      <alignment horizontal="left"/>
    </xf>
    <xf numFmtId="183" fontId="141" fillId="0" borderId="78" xfId="19" applyNumberFormat="1" applyFont="1" applyFill="1" applyBorder="1" applyProtection="1"/>
    <xf numFmtId="183" fontId="141" fillId="0" borderId="78" xfId="19" applyNumberFormat="1" applyFont="1" applyBorder="1" applyProtection="1"/>
    <xf numFmtId="183" fontId="141" fillId="0" borderId="76" xfId="19" applyNumberFormat="1" applyFont="1" applyBorder="1" applyProtection="1"/>
    <xf numFmtId="37" fontId="139" fillId="0" borderId="0" xfId="19" quotePrefix="1" applyFont="1" applyAlignment="1">
      <alignment horizontal="left"/>
    </xf>
    <xf numFmtId="10" fontId="141" fillId="0" borderId="0" xfId="19" applyNumberFormat="1" applyFont="1"/>
    <xf numFmtId="183" fontId="150" fillId="0" borderId="0" xfId="19" applyNumberFormat="1" applyFont="1" applyProtection="1"/>
    <xf numFmtId="37" fontId="139" fillId="0" borderId="0" xfId="19" applyFont="1"/>
    <xf numFmtId="182" fontId="141" fillId="0" borderId="0" xfId="19" applyNumberFormat="1" applyFont="1" applyAlignment="1" applyProtection="1">
      <alignment horizontal="center"/>
    </xf>
    <xf numFmtId="181" fontId="141" fillId="0" borderId="0" xfId="19" applyNumberFormat="1" applyFont="1" applyProtection="1"/>
    <xf numFmtId="182" fontId="141" fillId="0" borderId="0" xfId="19" applyNumberFormat="1" applyFont="1" applyAlignment="1">
      <alignment horizontal="left"/>
    </xf>
    <xf numFmtId="37" fontId="148" fillId="0" borderId="0" xfId="19" applyFont="1" applyAlignment="1">
      <alignment horizontal="left" vertical="center"/>
    </xf>
    <xf numFmtId="182" fontId="141" fillId="0" borderId="0" xfId="19" applyNumberFormat="1" applyFont="1" applyAlignment="1">
      <alignment horizontal="fill"/>
    </xf>
    <xf numFmtId="37" fontId="141" fillId="0" borderId="0" xfId="19" applyFont="1" applyAlignment="1"/>
    <xf numFmtId="49" fontId="13" fillId="0" borderId="0" xfId="3" applyNumberFormat="1" applyFont="1" applyBorder="1" applyAlignment="1" applyProtection="1">
      <alignment horizontal="center" vertical="center"/>
    </xf>
    <xf numFmtId="0" fontId="10" fillId="0" borderId="0" xfId="3" applyProtection="1"/>
    <xf numFmtId="166" fontId="13" fillId="0" borderId="0" xfId="3" applyNumberFormat="1" applyFont="1" applyBorder="1" applyAlignment="1" applyProtection="1">
      <alignment horizontal="center" vertical="center"/>
    </xf>
    <xf numFmtId="0" fontId="13" fillId="0" borderId="0" xfId="3" applyFont="1" applyAlignment="1" applyProtection="1">
      <alignment horizontal="center" vertical="center"/>
    </xf>
    <xf numFmtId="171" fontId="13" fillId="0" borderId="0" xfId="3" applyNumberFormat="1" applyFont="1" applyAlignment="1" applyProtection="1">
      <alignment horizontal="center" vertical="center"/>
    </xf>
    <xf numFmtId="0" fontId="10" fillId="0" borderId="0" xfId="3" applyBorder="1" applyProtection="1"/>
    <xf numFmtId="0" fontId="152" fillId="0" borderId="0" xfId="3" applyFont="1" applyBorder="1" applyAlignment="1" applyProtection="1">
      <alignment horizontal="left"/>
    </xf>
    <xf numFmtId="0" fontId="34" fillId="0" borderId="0" xfId="3" applyFont="1" applyBorder="1" applyAlignment="1" applyProtection="1">
      <alignment horizontal="left"/>
    </xf>
    <xf numFmtId="0" fontId="34" fillId="0" borderId="0" xfId="3" applyFont="1" applyBorder="1" applyProtection="1"/>
    <xf numFmtId="0" fontId="13" fillId="0" borderId="0" xfId="3" applyFont="1" applyBorder="1" applyAlignment="1" applyProtection="1">
      <alignment horizontal="left"/>
    </xf>
    <xf numFmtId="0" fontId="11" fillId="0" borderId="0" xfId="3" applyFont="1" applyBorder="1" applyProtection="1"/>
    <xf numFmtId="0" fontId="13" fillId="0" borderId="0" xfId="3" applyFont="1" applyBorder="1" applyAlignment="1" applyProtection="1">
      <alignment horizontal="center"/>
    </xf>
    <xf numFmtId="178" fontId="13" fillId="0" borderId="9" xfId="3" applyNumberFormat="1" applyFont="1" applyBorder="1" applyAlignment="1" applyProtection="1">
      <alignment horizontal="center"/>
      <protection locked="0"/>
    </xf>
    <xf numFmtId="0" fontId="153" fillId="0" borderId="0" xfId="3" applyFont="1" applyBorder="1" applyAlignment="1" applyProtection="1">
      <alignment horizontal="left"/>
    </xf>
    <xf numFmtId="14" fontId="10" fillId="0" borderId="0" xfId="3" applyNumberFormat="1" applyAlignment="1" applyProtection="1">
      <alignment horizontal="left" indent="2"/>
      <protection locked="0"/>
    </xf>
    <xf numFmtId="0" fontId="10" fillId="0" borderId="0" xfId="3" applyBorder="1" applyProtection="1">
      <protection locked="0"/>
    </xf>
    <xf numFmtId="0" fontId="10" fillId="0" borderId="0" xfId="3" applyProtection="1">
      <protection locked="0"/>
    </xf>
    <xf numFmtId="0" fontId="12" fillId="0" borderId="0" xfId="3" applyFont="1" applyProtection="1"/>
    <xf numFmtId="0" fontId="10" fillId="0" borderId="0" xfId="3" applyFont="1" applyAlignment="1" applyProtection="1">
      <alignment horizontal="left"/>
    </xf>
    <xf numFmtId="0" fontId="10" fillId="0" borderId="0" xfId="3" applyAlignment="1" applyProtection="1">
      <alignment horizontal="left"/>
    </xf>
    <xf numFmtId="0" fontId="10" fillId="0" borderId="78" xfId="3" applyFont="1" applyBorder="1" applyAlignment="1" applyProtection="1"/>
    <xf numFmtId="0" fontId="10" fillId="0" borderId="78" xfId="3" applyBorder="1" applyProtection="1"/>
    <xf numFmtId="0" fontId="154" fillId="0" borderId="0" xfId="3" applyFont="1" applyBorder="1" applyAlignment="1" applyProtection="1">
      <alignment horizontal="left"/>
    </xf>
    <xf numFmtId="0" fontId="11" fillId="0" borderId="0" xfId="3" applyFont="1" applyAlignment="1" applyProtection="1">
      <alignment horizontal="left"/>
    </xf>
    <xf numFmtId="0" fontId="11" fillId="0" borderId="0" xfId="3" applyFont="1" applyProtection="1"/>
    <xf numFmtId="0" fontId="36" fillId="0" borderId="0" xfId="3" applyFont="1" applyProtection="1"/>
    <xf numFmtId="0" fontId="154" fillId="0" borderId="0" xfId="3" applyFont="1" applyBorder="1" applyProtection="1"/>
    <xf numFmtId="0" fontId="154" fillId="0" borderId="0" xfId="3" applyFont="1" applyProtection="1"/>
    <xf numFmtId="5" fontId="55" fillId="0" borderId="0" xfId="3" applyNumberFormat="1" applyFont="1" applyBorder="1" applyAlignment="1" applyProtection="1">
      <protection locked="0"/>
    </xf>
    <xf numFmtId="5" fontId="65" fillId="0" borderId="0" xfId="3" applyNumberFormat="1" applyFont="1" applyBorder="1" applyAlignment="1" applyProtection="1">
      <protection locked="0"/>
    </xf>
    <xf numFmtId="0" fontId="65" fillId="0" borderId="0" xfId="3" applyFont="1" applyBorder="1" applyAlignment="1" applyProtection="1">
      <protection locked="0"/>
    </xf>
    <xf numFmtId="0" fontId="55" fillId="0" borderId="0" xfId="3" applyFont="1" applyBorder="1" applyAlignment="1" applyProtection="1">
      <alignment horizontal="left" vertical="top" wrapText="1"/>
    </xf>
    <xf numFmtId="5" fontId="57" fillId="0" borderId="0" xfId="3" applyNumberFormat="1" applyFont="1" applyProtection="1"/>
    <xf numFmtId="49" fontId="2" fillId="0" borderId="158"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 fillId="0" borderId="0" xfId="17" applyFont="1" applyAlignment="1">
      <alignment horizontal="center" vertical="center"/>
    </xf>
    <xf numFmtId="0" fontId="5" fillId="0" borderId="0" xfId="17" applyFont="1" applyAlignment="1">
      <alignment horizontal="center" vertical="center" wrapText="1"/>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center" wrapText="1"/>
    </xf>
    <xf numFmtId="0" fontId="55"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39" fillId="0" borderId="0" xfId="19" applyFont="1" applyAlignment="1">
      <alignment horizontal="center"/>
    </xf>
    <xf numFmtId="37" fontId="143" fillId="0" borderId="0" xfId="19" applyFont="1" applyAlignment="1">
      <alignment horizontal="center"/>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65" fillId="0" borderId="0" xfId="3" applyNumberFormat="1" applyFont="1" applyBorder="1" applyAlignment="1" applyProtection="1">
      <alignment horizontal="center" vertical="center" wrapText="1"/>
    </xf>
    <xf numFmtId="165" fontId="65"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57" fillId="0" borderId="0" xfId="3" applyNumberFormat="1" applyFont="1" applyAlignment="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13" fillId="0" borderId="0" xfId="3" applyNumberFormat="1" applyFont="1" applyBorder="1" applyAlignment="1" applyProtection="1">
      <alignment horizontal="center" vertical="center" wrapText="1"/>
    </xf>
    <xf numFmtId="165" fontId="13" fillId="0" borderId="0" xfId="3" applyNumberFormat="1" applyFont="1" applyBorder="1" applyAlignment="1" applyProtection="1">
      <alignment horizontal="center" vertical="center" wrapText="1"/>
    </xf>
    <xf numFmtId="0" fontId="20" fillId="0" borderId="0" xfId="3" applyFont="1" applyAlignment="1" applyProtection="1">
      <alignment horizontal="center" vertical="center" wrapText="1"/>
    </xf>
    <xf numFmtId="171" fontId="20" fillId="0" borderId="0" xfId="3" applyNumberFormat="1" applyFont="1" applyAlignment="1" applyProtection="1">
      <alignment horizontal="center" vertical="center" wrapText="1"/>
    </xf>
  </cellXfs>
  <cellStyles count="24">
    <cellStyle name="Comma" xfId="1" builtinId="3"/>
    <cellStyle name="Comma 2" xfId="21"/>
    <cellStyle name="Hyperlink" xfId="2" builtinId="8"/>
    <cellStyle name="Hyperlink 2" xfId="15"/>
    <cellStyle name="Normal" xfId="0" builtinId="0"/>
    <cellStyle name="Normal 2" xfId="3"/>
    <cellStyle name="Normal 2 2" xfId="20"/>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6" xfId="22"/>
    <cellStyle name="Normal_THRESHOLD CALCULATOR v3" xfId="13"/>
    <cellStyle name="Percent 2"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76AC0113-9CAF-446E-8330-F5152DA0B69E}"/>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EAF53928-6222-4F11-A4DB-C0A19FE9482B}"/>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161" t="s">
        <v>424</v>
      </c>
      <c r="J1" s="2162"/>
      <c r="K1" s="2162"/>
      <c r="L1" s="2162"/>
      <c r="M1" s="2162"/>
      <c r="N1" s="2162"/>
      <c r="O1" s="2162"/>
      <c r="P1" s="2162"/>
      <c r="Q1" s="2162"/>
      <c r="R1" s="2162"/>
      <c r="S1" s="2162"/>
    </row>
    <row r="2" spans="1:28" ht="12" customHeight="1" x14ac:dyDescent="0.2">
      <c r="A2" s="47" t="s">
        <v>1682</v>
      </c>
      <c r="D2" s="48"/>
      <c r="I2" s="2163" t="s">
        <v>1035</v>
      </c>
      <c r="J2" s="2162"/>
      <c r="K2" s="2162"/>
      <c r="L2" s="2162"/>
      <c r="M2" s="2162"/>
      <c r="N2" s="2162"/>
      <c r="O2" s="2162"/>
      <c r="P2" s="2162"/>
      <c r="Q2" s="2162"/>
      <c r="R2" s="2162"/>
      <c r="S2" s="2162"/>
    </row>
    <row r="3" spans="1:28" ht="12" customHeight="1" x14ac:dyDescent="0.2">
      <c r="A3" s="155" t="s">
        <v>1683</v>
      </c>
      <c r="B3" s="156"/>
      <c r="C3" s="156"/>
      <c r="D3" s="157"/>
      <c r="I3" s="2163" t="s">
        <v>54</v>
      </c>
      <c r="J3" s="2162"/>
      <c r="K3" s="2162"/>
      <c r="L3" s="2162"/>
      <c r="M3" s="2162"/>
      <c r="N3" s="2162"/>
      <c r="O3" s="2162"/>
      <c r="P3" s="2162"/>
      <c r="Q3" s="2162"/>
      <c r="R3" s="2162"/>
      <c r="S3" s="2162"/>
    </row>
    <row r="4" spans="1:28" ht="12" customHeight="1" x14ac:dyDescent="0.2">
      <c r="A4" s="37"/>
      <c r="I4" s="2163" t="s">
        <v>544</v>
      </c>
      <c r="J4" s="2162"/>
      <c r="K4" s="2162"/>
      <c r="L4" s="2162"/>
      <c r="M4" s="2162"/>
      <c r="N4" s="2162"/>
      <c r="O4" s="2162"/>
      <c r="P4" s="2162"/>
      <c r="Q4" s="2162"/>
      <c r="R4" s="2162"/>
      <c r="S4" s="2162"/>
    </row>
    <row r="5" spans="1:28" ht="14.1" customHeight="1" x14ac:dyDescent="0.2">
      <c r="B5" s="104" t="s">
        <v>2071</v>
      </c>
      <c r="C5" s="26" t="s">
        <v>965</v>
      </c>
      <c r="D5" s="84"/>
      <c r="E5" s="84"/>
      <c r="H5" s="38"/>
      <c r="I5" s="2170" t="s">
        <v>700</v>
      </c>
      <c r="J5" s="2115"/>
      <c r="K5" s="2115"/>
      <c r="L5" s="2115"/>
      <c r="M5" s="2115"/>
      <c r="N5" s="2115"/>
      <c r="O5" s="2115"/>
      <c r="P5" s="2115"/>
      <c r="Q5" s="2115"/>
      <c r="R5" s="2115"/>
      <c r="S5" s="2115"/>
    </row>
    <row r="6" spans="1:28" ht="14.1" customHeight="1" x14ac:dyDescent="0.2">
      <c r="B6" s="104"/>
      <c r="C6" s="26" t="s">
        <v>966</v>
      </c>
      <c r="D6" s="84"/>
      <c r="E6" s="84"/>
      <c r="I6" s="2169" t="s">
        <v>937</v>
      </c>
      <c r="J6" s="2115"/>
      <c r="K6" s="2115"/>
      <c r="L6" s="2115"/>
      <c r="M6" s="2115"/>
      <c r="N6" s="2115"/>
      <c r="O6" s="2115"/>
      <c r="P6" s="2115"/>
      <c r="Q6" s="2115"/>
      <c r="R6" s="2115"/>
      <c r="S6" s="2115"/>
    </row>
    <row r="7" spans="1:28" ht="12.2" customHeight="1" x14ac:dyDescent="0.2">
      <c r="I7" s="2164">
        <v>43281</v>
      </c>
      <c r="J7" s="2165"/>
      <c r="K7" s="2165"/>
      <c r="L7" s="2165"/>
      <c r="M7" s="2165"/>
      <c r="N7" s="2165"/>
      <c r="O7" s="2165"/>
      <c r="P7" s="2165"/>
      <c r="Q7" s="2165"/>
      <c r="R7" s="2165"/>
      <c r="S7" s="216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6" t="s">
        <v>694</v>
      </c>
      <c r="J9" s="2167"/>
      <c r="K9" s="2167"/>
      <c r="L9" s="2167"/>
      <c r="M9" s="2167"/>
      <c r="N9" s="2167"/>
      <c r="O9" s="2167"/>
      <c r="P9" s="2167"/>
      <c r="Q9" s="2167"/>
      <c r="R9" s="2167"/>
      <c r="S9" s="2168"/>
      <c r="T9" s="2111" t="s">
        <v>553</v>
      </c>
      <c r="U9" s="2112"/>
      <c r="V9" s="2112"/>
      <c r="W9" s="2112"/>
      <c r="X9" s="2112"/>
      <c r="Y9" s="2112"/>
      <c r="Z9" s="2112"/>
      <c r="AA9" s="2113"/>
    </row>
    <row r="10" spans="1:28" ht="13.5" customHeight="1" x14ac:dyDescent="0.2">
      <c r="A10" s="2120" t="s">
        <v>695</v>
      </c>
      <c r="B10" s="2121"/>
      <c r="C10" s="2121"/>
      <c r="D10" s="2121"/>
      <c r="E10" s="2121"/>
      <c r="F10" s="2121"/>
      <c r="G10" s="2121"/>
      <c r="H10" s="2122"/>
      <c r="I10" s="29"/>
      <c r="J10" s="30"/>
      <c r="K10" s="28"/>
      <c r="R10" s="30"/>
      <c r="S10" s="30"/>
      <c r="T10" s="2114"/>
      <c r="U10" s="2115"/>
      <c r="V10" s="2115"/>
      <c r="W10" s="2115"/>
      <c r="X10" s="2115"/>
      <c r="Y10" s="2115"/>
      <c r="Z10" s="2115"/>
      <c r="AA10" s="2116"/>
    </row>
    <row r="11" spans="1:28" ht="14.25" customHeight="1" x14ac:dyDescent="0.2">
      <c r="A11" s="2123" t="s">
        <v>1011</v>
      </c>
      <c r="B11" s="2124"/>
      <c r="C11" s="2124"/>
      <c r="D11" s="2124"/>
      <c r="E11" s="2124"/>
      <c r="F11" s="2124"/>
      <c r="G11" s="2124"/>
      <c r="H11" s="2125"/>
      <c r="I11" s="27"/>
      <c r="J11" s="74"/>
      <c r="K11" s="27"/>
      <c r="O11" s="148" t="s">
        <v>2071</v>
      </c>
      <c r="P11" s="100" t="s">
        <v>210</v>
      </c>
      <c r="Q11" s="30"/>
      <c r="R11" s="28"/>
      <c r="S11" s="27"/>
      <c r="T11" s="2117"/>
      <c r="U11" s="2118"/>
      <c r="V11" s="2118"/>
      <c r="W11" s="2118"/>
      <c r="X11" s="2118"/>
      <c r="Y11" s="2118"/>
      <c r="Z11" s="2118"/>
      <c r="AA11" s="2119"/>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131">
        <v>28037228026</v>
      </c>
      <c r="B13" s="2132"/>
      <c r="C13" s="2132"/>
      <c r="D13" s="2132"/>
      <c r="E13" s="2132"/>
      <c r="F13" s="2132"/>
      <c r="G13" s="2132"/>
      <c r="H13" s="2133"/>
      <c r="I13" s="31"/>
      <c r="J13" s="30"/>
      <c r="K13" s="28"/>
      <c r="L13" s="30"/>
      <c r="M13" s="30"/>
      <c r="N13" s="30"/>
      <c r="O13" s="30"/>
      <c r="P13" s="30"/>
      <c r="Q13" s="30"/>
      <c r="R13" s="30"/>
      <c r="S13" s="30"/>
      <c r="T13" s="2136" t="s">
        <v>2072</v>
      </c>
      <c r="U13" s="2137"/>
      <c r="V13" s="2137"/>
      <c r="W13" s="2137"/>
      <c r="X13" s="2137"/>
      <c r="Y13" s="2138"/>
      <c r="Z13" s="2138"/>
      <c r="AA13" s="213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129" t="s">
        <v>2101</v>
      </c>
      <c r="B15" s="2134"/>
      <c r="C15" s="2134"/>
      <c r="D15" s="2134"/>
      <c r="E15" s="2134"/>
      <c r="F15" s="2134"/>
      <c r="G15" s="2134"/>
      <c r="H15" s="2135"/>
      <c r="T15" s="2097" t="s">
        <v>2102</v>
      </c>
      <c r="U15" s="2098"/>
      <c r="V15" s="2098"/>
      <c r="W15" s="2098"/>
      <c r="X15" s="2098"/>
      <c r="Y15" s="2140"/>
      <c r="Z15" s="2140"/>
      <c r="AA15" s="214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89" t="s">
        <v>2245</v>
      </c>
      <c r="B17" s="2159"/>
      <c r="C17" s="2159"/>
      <c r="D17" s="2159"/>
      <c r="E17" s="2159"/>
      <c r="F17" s="2159"/>
      <c r="G17" s="2159"/>
      <c r="H17" s="2160"/>
      <c r="T17" s="2146" t="s">
        <v>2073</v>
      </c>
      <c r="U17" s="2147"/>
      <c r="V17" s="2147"/>
      <c r="W17" s="2147"/>
      <c r="X17" s="2147"/>
      <c r="Y17" s="2147"/>
      <c r="Z17" s="2147"/>
      <c r="AA17" s="2148"/>
    </row>
    <row r="18" spans="1:27" ht="13.5" customHeight="1" x14ac:dyDescent="0.2">
      <c r="A18" s="85" t="s">
        <v>550</v>
      </c>
      <c r="B18" s="76"/>
      <c r="C18" s="72"/>
      <c r="D18" s="76"/>
      <c r="E18" s="76"/>
      <c r="F18" s="76"/>
      <c r="G18" s="76"/>
      <c r="H18" s="56"/>
      <c r="I18" s="2156" t="s">
        <v>696</v>
      </c>
      <c r="J18" s="2157"/>
      <c r="K18" s="2157"/>
      <c r="L18" s="2157"/>
      <c r="M18" s="2157"/>
      <c r="N18" s="2157"/>
      <c r="O18" s="2157"/>
      <c r="P18" s="2157"/>
      <c r="Q18" s="2157"/>
      <c r="R18" s="2157"/>
      <c r="S18" s="2158"/>
      <c r="T18" s="85" t="s">
        <v>734</v>
      </c>
      <c r="U18" s="51"/>
      <c r="V18" s="72"/>
      <c r="W18" s="50"/>
      <c r="X18" s="85" t="s">
        <v>283</v>
      </c>
      <c r="Y18" s="81"/>
      <c r="Z18" s="159" t="s">
        <v>697</v>
      </c>
      <c r="AA18" s="46"/>
    </row>
    <row r="19" spans="1:27" ht="13.5" customHeight="1" x14ac:dyDescent="0.2">
      <c r="A19" s="2129" t="s">
        <v>2081</v>
      </c>
      <c r="B19" s="2130"/>
      <c r="C19" s="2130"/>
      <c r="D19" s="2130"/>
      <c r="E19" s="2130"/>
      <c r="F19" s="2130"/>
      <c r="G19" s="2130"/>
      <c r="H19" s="2128"/>
      <c r="I19" s="30"/>
      <c r="J19" s="99"/>
      <c r="K19" s="40"/>
      <c r="L19" s="38"/>
      <c r="M19" s="112" t="s">
        <v>332</v>
      </c>
      <c r="P19" s="27"/>
      <c r="Q19" s="27"/>
      <c r="R19" s="27"/>
      <c r="S19" s="31"/>
      <c r="T19" s="2129" t="s">
        <v>2074</v>
      </c>
      <c r="U19" s="2127"/>
      <c r="V19" s="2127"/>
      <c r="W19" s="2128"/>
      <c r="X19" s="2144" t="s">
        <v>2075</v>
      </c>
      <c r="Y19" s="2145"/>
      <c r="Z19" s="2142">
        <v>61614</v>
      </c>
      <c r="AA19" s="214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126" t="s">
        <v>2195</v>
      </c>
      <c r="B21" s="2127"/>
      <c r="C21" s="2127"/>
      <c r="D21" s="2127"/>
      <c r="E21" s="2127"/>
      <c r="F21" s="2127"/>
      <c r="G21" s="2127"/>
      <c r="H21" s="2128"/>
      <c r="I21" s="2152" t="s">
        <v>698</v>
      </c>
      <c r="J21" s="2115"/>
      <c r="K21" s="2115"/>
      <c r="L21" s="2115"/>
      <c r="M21" s="2115"/>
      <c r="N21" s="2115"/>
      <c r="O21" s="2115"/>
      <c r="P21" s="2115"/>
      <c r="Q21" s="2115"/>
      <c r="R21" s="2115"/>
      <c r="S21" s="2116"/>
      <c r="T21" s="2094" t="s">
        <v>2076</v>
      </c>
      <c r="U21" s="2095"/>
      <c r="V21" s="2095"/>
      <c r="W21" s="2095"/>
      <c r="X21" s="2108" t="s">
        <v>2077</v>
      </c>
      <c r="Y21" s="2109"/>
      <c r="Z21" s="2109"/>
      <c r="AA21" s="2110"/>
    </row>
    <row r="22" spans="1:27" ht="13.5" customHeight="1" x14ac:dyDescent="0.2">
      <c r="A22" s="87" t="s">
        <v>551</v>
      </c>
      <c r="B22" s="59"/>
      <c r="C22" s="59"/>
      <c r="D22" s="59"/>
      <c r="E22" s="59"/>
      <c r="F22" s="59"/>
      <c r="G22" s="59"/>
      <c r="H22" s="60"/>
      <c r="I22" s="2153" t="s">
        <v>1503</v>
      </c>
      <c r="J22" s="2154"/>
      <c r="K22" s="2154"/>
      <c r="L22" s="2154"/>
      <c r="M22" s="2154"/>
      <c r="N22" s="2154"/>
      <c r="O22" s="2154"/>
      <c r="P22" s="2154"/>
      <c r="Q22" s="2154"/>
      <c r="R22" s="2154"/>
      <c r="S22" s="2155"/>
      <c r="T22" s="85" t="s">
        <v>1595</v>
      </c>
      <c r="U22" s="51"/>
      <c r="V22" s="72"/>
      <c r="W22" s="51"/>
      <c r="X22" s="160" t="s">
        <v>1384</v>
      </c>
      <c r="Z22" s="45"/>
      <c r="AA22" s="46"/>
    </row>
    <row r="23" spans="1:27" ht="13.5" customHeight="1" x14ac:dyDescent="0.2">
      <c r="A23" s="2149" t="s">
        <v>2243</v>
      </c>
      <c r="B23" s="2150"/>
      <c r="C23" s="2150"/>
      <c r="D23" s="2150"/>
      <c r="E23" s="2150"/>
      <c r="F23" s="2150"/>
      <c r="G23" s="2150"/>
      <c r="H23" s="2151"/>
      <c r="T23" s="2089" t="s">
        <v>2238</v>
      </c>
      <c r="U23" s="2090"/>
      <c r="V23" s="2090"/>
      <c r="W23" s="2090"/>
      <c r="X23" s="2105">
        <v>44530</v>
      </c>
      <c r="Y23" s="2106"/>
      <c r="Z23" s="2106"/>
      <c r="AA23" s="2107"/>
    </row>
    <row r="24" spans="1:27" ht="14.1" customHeight="1" x14ac:dyDescent="0.2">
      <c r="A24" s="88" t="s">
        <v>697</v>
      </c>
      <c r="B24" s="49"/>
      <c r="C24" s="49"/>
      <c r="D24" s="49"/>
      <c r="E24" s="49"/>
      <c r="F24" s="49"/>
      <c r="G24" s="49"/>
      <c r="H24" s="61"/>
      <c r="J24" s="2191">
        <f>IF(B5="x",IF(AUDITCHECK!D29="AFR form Incomplete.","",IF(AUDITCHECK!D29="Deficit reduction plan is required.","School District must complete a deficit reduction plan in the 2018-2019 Budget",)),"")</f>
        <v>0</v>
      </c>
      <c r="K24" s="2191"/>
      <c r="L24" s="2191"/>
      <c r="M24" s="2191"/>
      <c r="N24" s="2191"/>
      <c r="O24" s="2191"/>
      <c r="P24" s="2191"/>
      <c r="Q24" s="2191"/>
      <c r="R24" s="2191"/>
      <c r="S24" s="2192"/>
      <c r="T24" s="105" t="s">
        <v>551</v>
      </c>
      <c r="U24" s="106"/>
      <c r="V24" s="106"/>
      <c r="W24" s="106"/>
      <c r="X24" s="107"/>
      <c r="Y24" s="107"/>
      <c r="Z24" s="107"/>
      <c r="AA24" s="108"/>
    </row>
    <row r="25" spans="1:27" ht="14.1" customHeight="1" x14ac:dyDescent="0.2">
      <c r="A25" s="2126">
        <v>61254</v>
      </c>
      <c r="B25" s="2127"/>
      <c r="C25" s="2127"/>
      <c r="D25" s="2127"/>
      <c r="E25" s="2127"/>
      <c r="F25" s="2127"/>
      <c r="G25" s="2127"/>
      <c r="H25" s="2128"/>
      <c r="I25" s="113"/>
      <c r="J25" s="2193"/>
      <c r="K25" s="2193"/>
      <c r="L25" s="2193"/>
      <c r="M25" s="2193"/>
      <c r="N25" s="2193"/>
      <c r="O25" s="2193"/>
      <c r="P25" s="2193"/>
      <c r="Q25" s="2193"/>
      <c r="R25" s="2193"/>
      <c r="S25" s="2194"/>
      <c r="T25" s="2086" t="s">
        <v>2084</v>
      </c>
      <c r="U25" s="2087"/>
      <c r="V25" s="2087"/>
      <c r="W25" s="2087"/>
      <c r="X25" s="2087"/>
      <c r="Y25" s="2087"/>
      <c r="Z25" s="2087"/>
      <c r="AA25" s="208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184" t="s">
        <v>1590</v>
      </c>
      <c r="J27" s="2157"/>
      <c r="K27" s="2157"/>
      <c r="L27" s="2157"/>
      <c r="M27" s="2157"/>
      <c r="N27" s="2157"/>
      <c r="O27" s="2157"/>
      <c r="P27" s="2157"/>
      <c r="Q27" s="2157"/>
      <c r="R27" s="2157"/>
      <c r="S27" s="215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2071</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2071</v>
      </c>
      <c r="C30" s="124" t="s">
        <v>1225</v>
      </c>
      <c r="D30" s="28"/>
      <c r="E30" s="28"/>
      <c r="F30" s="140"/>
      <c r="G30" s="114"/>
      <c r="H30" s="114"/>
      <c r="I30" s="54"/>
      <c r="J30" s="148" t="s">
        <v>2071</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2071</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130"/>
      <c r="Q35" s="2127"/>
      <c r="R35" s="212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89" t="s">
        <v>2219</v>
      </c>
      <c r="B38" s="2159"/>
      <c r="C38" s="2159"/>
      <c r="D38" s="2159"/>
      <c r="E38" s="2159"/>
      <c r="F38" s="2127"/>
      <c r="G38" s="2127"/>
      <c r="H38" s="2128"/>
      <c r="I38" s="2178"/>
      <c r="J38" s="2098"/>
      <c r="K38" s="2098"/>
      <c r="L38" s="2098"/>
      <c r="M38" s="2098"/>
      <c r="N38" s="2098"/>
      <c r="O38" s="2098"/>
      <c r="P38" s="2099"/>
      <c r="Q38" s="2099"/>
      <c r="R38" s="2099"/>
      <c r="S38" s="2100"/>
      <c r="T38" s="2097"/>
      <c r="U38" s="2098"/>
      <c r="V38" s="2098"/>
      <c r="W38" s="2098"/>
      <c r="X38" s="2099"/>
      <c r="Y38" s="2099"/>
      <c r="Z38" s="2099"/>
      <c r="AA38" s="2100"/>
    </row>
    <row r="39" spans="1:27" ht="12" customHeight="1" x14ac:dyDescent="0.2">
      <c r="A39" s="2182" t="s">
        <v>551</v>
      </c>
      <c r="B39" s="2183"/>
      <c r="C39" s="72"/>
      <c r="D39" s="69"/>
      <c r="E39" s="69"/>
      <c r="F39" s="79"/>
      <c r="G39" s="69"/>
      <c r="H39" s="56"/>
      <c r="I39" s="2182" t="s">
        <v>551</v>
      </c>
      <c r="J39" s="2183"/>
      <c r="K39" s="2183"/>
      <c r="L39" s="2183"/>
      <c r="M39" s="2183"/>
      <c r="N39" s="67"/>
      <c r="O39" s="72"/>
      <c r="P39" s="72"/>
      <c r="Q39" s="78"/>
      <c r="R39" s="72"/>
      <c r="S39" s="56"/>
      <c r="T39" s="72" t="s">
        <v>551</v>
      </c>
      <c r="U39" s="51"/>
      <c r="V39" s="72"/>
      <c r="W39" s="50"/>
      <c r="X39" s="78"/>
      <c r="Y39" s="45"/>
      <c r="Z39" s="45"/>
      <c r="AA39" s="46"/>
    </row>
    <row r="40" spans="1:27" ht="13.5" customHeight="1" x14ac:dyDescent="0.2">
      <c r="A40" s="2185" t="s">
        <v>2218</v>
      </c>
      <c r="B40" s="2186"/>
      <c r="C40" s="2187"/>
      <c r="D40" s="2187"/>
      <c r="E40" s="2187"/>
      <c r="F40" s="2188"/>
      <c r="G40" s="2188"/>
      <c r="H40" s="2189"/>
      <c r="I40" s="2101"/>
      <c r="J40" s="2103"/>
      <c r="K40" s="2103"/>
      <c r="L40" s="2103"/>
      <c r="M40" s="2103"/>
      <c r="N40" s="2103"/>
      <c r="O40" s="2103"/>
      <c r="P40" s="2103"/>
      <c r="Q40" s="2103"/>
      <c r="R40" s="2103"/>
      <c r="S40" s="2104"/>
      <c r="T40" s="2101"/>
      <c r="U40" s="2102"/>
      <c r="V40" s="2103"/>
      <c r="W40" s="2103"/>
      <c r="X40" s="2103"/>
      <c r="Y40" s="2103"/>
      <c r="Z40" s="2103"/>
      <c r="AA40" s="210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75" t="s">
        <v>2082</v>
      </c>
      <c r="B42" s="2176"/>
      <c r="C42" s="2177"/>
      <c r="D42" s="2190" t="s">
        <v>2083</v>
      </c>
      <c r="E42" s="2176"/>
      <c r="F42" s="2176"/>
      <c r="G42" s="2176"/>
      <c r="H42" s="2177"/>
      <c r="I42" s="2096"/>
      <c r="J42" s="2092"/>
      <c r="K42" s="2092"/>
      <c r="L42" s="2092"/>
      <c r="M42" s="2092"/>
      <c r="N42" s="2092"/>
      <c r="O42" s="2093"/>
      <c r="P42" s="2091"/>
      <c r="Q42" s="2092"/>
      <c r="R42" s="2092"/>
      <c r="S42" s="2093"/>
      <c r="T42" s="2096"/>
      <c r="U42" s="2092"/>
      <c r="V42" s="2092"/>
      <c r="W42" s="2093"/>
      <c r="X42" s="2091"/>
      <c r="Y42" s="2092"/>
      <c r="Z42" s="2092"/>
      <c r="AA42" s="209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79"/>
      <c r="B44" s="2180"/>
      <c r="C44" s="2180"/>
      <c r="D44" s="2180"/>
      <c r="E44" s="2180"/>
      <c r="F44" s="2180"/>
      <c r="G44" s="2180"/>
      <c r="H44" s="2181"/>
      <c r="I44" s="2171"/>
      <c r="J44" s="2173"/>
      <c r="K44" s="2173"/>
      <c r="L44" s="2173"/>
      <c r="M44" s="2173"/>
      <c r="N44" s="2173"/>
      <c r="O44" s="2173"/>
      <c r="P44" s="2173"/>
      <c r="Q44" s="2173"/>
      <c r="R44" s="2173"/>
      <c r="S44" s="2174"/>
      <c r="T44" s="2171"/>
      <c r="U44" s="2172"/>
      <c r="V44" s="2172"/>
      <c r="W44" s="2172"/>
      <c r="X44" s="2172"/>
      <c r="Y44" s="2172"/>
      <c r="Z44" s="2173"/>
      <c r="AA44" s="217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1685</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328" t="s">
        <v>1900</v>
      </c>
      <c r="B2" s="1547" t="s">
        <v>2031</v>
      </c>
      <c r="C2" s="713" t="s">
        <v>1905</v>
      </c>
      <c r="D2" s="713" t="s">
        <v>1906</v>
      </c>
      <c r="E2" s="713" t="s">
        <v>1907</v>
      </c>
      <c r="F2" s="713" t="s">
        <v>1908</v>
      </c>
    </row>
    <row r="3" spans="1:6" ht="12" customHeight="1" x14ac:dyDescent="0.2">
      <c r="A3" s="2329"/>
      <c r="B3" s="1544"/>
      <c r="C3" s="1545"/>
      <c r="D3" s="1546" t="s">
        <v>274</v>
      </c>
      <c r="E3" s="1545"/>
      <c r="F3" s="1546" t="s">
        <v>275</v>
      </c>
    </row>
    <row r="4" spans="1:6" ht="13.7" customHeight="1" x14ac:dyDescent="0.2">
      <c r="A4" s="714" t="s">
        <v>1216</v>
      </c>
      <c r="B4" s="1763">
        <f>'Revenues 9-14'!C5</f>
        <v>8481618</v>
      </c>
      <c r="C4" s="1543">
        <v>4844845</v>
      </c>
      <c r="D4" s="1766">
        <f>B4-C4</f>
        <v>3636773</v>
      </c>
      <c r="E4" s="1543">
        <v>8510130</v>
      </c>
      <c r="F4" s="1766">
        <f>E4-C4</f>
        <v>3665285</v>
      </c>
    </row>
    <row r="5" spans="1:6" ht="13.7" customHeight="1" x14ac:dyDescent="0.2">
      <c r="A5" s="714" t="s">
        <v>924</v>
      </c>
      <c r="B5" s="1764">
        <f>'Revenues 9-14'!D5</f>
        <v>1804600</v>
      </c>
      <c r="C5" s="583">
        <v>1030818</v>
      </c>
      <c r="D5" s="1767">
        <f t="shared" ref="D5:D18" si="0">B5-C5</f>
        <v>773782</v>
      </c>
      <c r="E5" s="583">
        <v>1810666</v>
      </c>
      <c r="F5" s="1767">
        <f>E5-C5</f>
        <v>779848</v>
      </c>
    </row>
    <row r="6" spans="1:6" ht="13.7" customHeight="1" x14ac:dyDescent="0.2">
      <c r="A6" s="714" t="s">
        <v>430</v>
      </c>
      <c r="B6" s="1764">
        <f>'Revenues 9-14'!E5</f>
        <v>2488783</v>
      </c>
      <c r="C6" s="583">
        <v>1398202</v>
      </c>
      <c r="D6" s="1767">
        <f t="shared" si="0"/>
        <v>1090581</v>
      </c>
      <c r="E6" s="583">
        <v>2455987</v>
      </c>
      <c r="F6" s="1767">
        <f t="shared" ref="F6:F18" si="1">E6-C6</f>
        <v>1057785</v>
      </c>
    </row>
    <row r="7" spans="1:6" ht="13.7" customHeight="1" x14ac:dyDescent="0.2">
      <c r="A7" s="714" t="s">
        <v>157</v>
      </c>
      <c r="B7" s="1764">
        <f>'Revenues 9-14'!F5</f>
        <v>721839</v>
      </c>
      <c r="C7" s="583">
        <v>412327</v>
      </c>
      <c r="D7" s="1767">
        <f t="shared" si="0"/>
        <v>309512</v>
      </c>
      <c r="E7" s="583">
        <v>724266</v>
      </c>
      <c r="F7" s="1767">
        <f t="shared" si="1"/>
        <v>311939</v>
      </c>
    </row>
    <row r="8" spans="1:6" ht="13.7" customHeight="1" x14ac:dyDescent="0.2">
      <c r="A8" s="714" t="s">
        <v>1240</v>
      </c>
      <c r="B8" s="1764">
        <f>'Revenues 9-14'!G5</f>
        <v>319346</v>
      </c>
      <c r="C8" s="583">
        <v>185135</v>
      </c>
      <c r="D8" s="1767">
        <f t="shared" si="0"/>
        <v>134211</v>
      </c>
      <c r="E8" s="583">
        <v>325196</v>
      </c>
      <c r="F8" s="1767">
        <f t="shared" si="1"/>
        <v>140061</v>
      </c>
    </row>
    <row r="9" spans="1:6" ht="13.7" customHeight="1" x14ac:dyDescent="0.2">
      <c r="A9" s="714" t="s">
        <v>427</v>
      </c>
      <c r="B9" s="1764">
        <f>'Revenues 9-14'!H5</f>
        <v>0</v>
      </c>
      <c r="C9" s="583">
        <v>0</v>
      </c>
      <c r="D9" s="1767">
        <f t="shared" si="0"/>
        <v>0</v>
      </c>
      <c r="E9" s="583">
        <v>0</v>
      </c>
      <c r="F9" s="1767">
        <f t="shared" si="1"/>
        <v>0</v>
      </c>
    </row>
    <row r="10" spans="1:6" ht="13.7" customHeight="1" x14ac:dyDescent="0.2">
      <c r="A10" s="714" t="s">
        <v>426</v>
      </c>
      <c r="B10" s="1764">
        <f>'Revenues 9-14'!I5</f>
        <v>177733</v>
      </c>
      <c r="C10" s="583">
        <v>103082</v>
      </c>
      <c r="D10" s="1767">
        <f t="shared" si="0"/>
        <v>74651</v>
      </c>
      <c r="E10" s="583">
        <v>181067</v>
      </c>
      <c r="F10" s="1767">
        <f t="shared" si="1"/>
        <v>77985</v>
      </c>
    </row>
    <row r="11" spans="1:6" x14ac:dyDescent="0.2">
      <c r="A11" s="714" t="s">
        <v>428</v>
      </c>
      <c r="B11" s="1764">
        <f>'Revenues 9-14'!J5</f>
        <v>711045</v>
      </c>
      <c r="C11" s="583">
        <v>412946</v>
      </c>
      <c r="D11" s="1767">
        <f t="shared" si="0"/>
        <v>298099</v>
      </c>
      <c r="E11" s="583">
        <v>725353</v>
      </c>
      <c r="F11" s="1767">
        <f t="shared" si="1"/>
        <v>312407</v>
      </c>
    </row>
    <row r="12" spans="1:6" ht="13.7" customHeight="1" x14ac:dyDescent="0.2">
      <c r="A12" s="714" t="s">
        <v>159</v>
      </c>
      <c r="B12" s="1764">
        <f>'Revenues 9-14'!K5</f>
        <v>0</v>
      </c>
      <c r="C12" s="583">
        <v>0</v>
      </c>
      <c r="D12" s="1767">
        <f t="shared" si="0"/>
        <v>0</v>
      </c>
      <c r="E12" s="583">
        <v>0</v>
      </c>
      <c r="F12" s="1767">
        <f t="shared" si="1"/>
        <v>0</v>
      </c>
    </row>
    <row r="13" spans="1:6" ht="13.7" customHeight="1" x14ac:dyDescent="0.2">
      <c r="A13" s="714" t="s">
        <v>992</v>
      </c>
      <c r="B13" s="1764">
        <f>SUM('Revenues 9-14'!C6:D6)</f>
        <v>42882</v>
      </c>
      <c r="C13" s="583">
        <v>42882</v>
      </c>
      <c r="D13" s="1767">
        <f t="shared" si="0"/>
        <v>0</v>
      </c>
      <c r="E13" s="583">
        <v>75324</v>
      </c>
      <c r="F13" s="1767">
        <f t="shared" si="1"/>
        <v>32442</v>
      </c>
    </row>
    <row r="14" spans="1:6" ht="13.7" customHeight="1" x14ac:dyDescent="0.2">
      <c r="A14" s="714" t="s">
        <v>429</v>
      </c>
      <c r="B14" s="1764">
        <f>SUM('Revenues 9-14'!C7:D7,'Revenues 9-14'!F7:H7)</f>
        <v>144369</v>
      </c>
      <c r="C14" s="583">
        <v>82466</v>
      </c>
      <c r="D14" s="1767">
        <f t="shared" si="0"/>
        <v>61903</v>
      </c>
      <c r="E14" s="583">
        <v>144853</v>
      </c>
      <c r="F14" s="1767">
        <f t="shared" si="1"/>
        <v>62387</v>
      </c>
    </row>
    <row r="15" spans="1:6" ht="13.7" customHeight="1" x14ac:dyDescent="0.2">
      <c r="A15" s="714" t="s">
        <v>1219</v>
      </c>
      <c r="B15" s="1764">
        <f>'Revenues 9-14'!E9</f>
        <v>0</v>
      </c>
      <c r="C15" s="583">
        <v>0</v>
      </c>
      <c r="D15" s="1767">
        <f t="shared" si="0"/>
        <v>0</v>
      </c>
      <c r="E15" s="583">
        <v>0</v>
      </c>
      <c r="F15" s="1767">
        <f t="shared" si="1"/>
        <v>0</v>
      </c>
    </row>
    <row r="16" spans="1:6" ht="13.7" customHeight="1" x14ac:dyDescent="0.2">
      <c r="A16" s="714" t="s">
        <v>1220</v>
      </c>
      <c r="B16" s="1764">
        <f>'Revenues 9-14'!G8</f>
        <v>341657</v>
      </c>
      <c r="C16" s="583">
        <v>185135</v>
      </c>
      <c r="D16" s="1767">
        <f t="shared" si="0"/>
        <v>156522</v>
      </c>
      <c r="E16" s="583">
        <v>325196</v>
      </c>
      <c r="F16" s="1767">
        <f t="shared" si="1"/>
        <v>140061</v>
      </c>
    </row>
    <row r="17" spans="1:6" ht="13.7" customHeight="1" x14ac:dyDescent="0.2">
      <c r="A17" s="714" t="s">
        <v>1221</v>
      </c>
      <c r="B17" s="1764">
        <f>'Revenues 9-14'!C10</f>
        <v>0</v>
      </c>
      <c r="C17" s="583">
        <v>0</v>
      </c>
      <c r="D17" s="1767">
        <f t="shared" si="0"/>
        <v>0</v>
      </c>
      <c r="E17" s="583"/>
      <c r="F17" s="1767">
        <f t="shared" si="1"/>
        <v>0</v>
      </c>
    </row>
    <row r="18" spans="1:6" ht="13.7" customHeight="1" x14ac:dyDescent="0.2">
      <c r="A18" s="714" t="s">
        <v>785</v>
      </c>
      <c r="B18" s="1764">
        <f>SUM('Revenues 9-14'!C11:K11)</f>
        <v>0</v>
      </c>
      <c r="C18" s="583">
        <v>0</v>
      </c>
      <c r="D18" s="1767">
        <f t="shared" si="0"/>
        <v>0</v>
      </c>
      <c r="E18" s="583"/>
      <c r="F18" s="1767">
        <f t="shared" si="1"/>
        <v>0</v>
      </c>
    </row>
    <row r="19" spans="1:6" ht="13.7" customHeight="1" thickBot="1" x14ac:dyDescent="0.25">
      <c r="A19" s="1768" t="s">
        <v>1222</v>
      </c>
      <c r="B19" s="1765">
        <f>SUM(B4:B18)</f>
        <v>15233872</v>
      </c>
      <c r="C19" s="1765">
        <f>SUM(C4:C18)</f>
        <v>8697838</v>
      </c>
      <c r="D19" s="1765">
        <f>SUM(D4:D18)</f>
        <v>6536034</v>
      </c>
      <c r="E19" s="1765">
        <f>SUM(E4:E18)</f>
        <v>15278038</v>
      </c>
      <c r="F19" s="1765">
        <f>SUM(F4:F18)</f>
        <v>6580200</v>
      </c>
    </row>
    <row r="20" spans="1:6" ht="13.5" thickTop="1" x14ac:dyDescent="0.2">
      <c r="B20" s="712"/>
      <c r="F20" s="715"/>
    </row>
    <row r="21" spans="1:6" x14ac:dyDescent="0.2">
      <c r="A21" s="716" t="s">
        <v>1910</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4" t="s">
        <v>649</v>
      </c>
      <c r="B1" s="2335"/>
      <c r="C1" s="720"/>
    </row>
    <row r="2" spans="1:7" ht="33.75" x14ac:dyDescent="0.2">
      <c r="A2" s="2343" t="s">
        <v>1900</v>
      </c>
      <c r="B2" s="2344"/>
      <c r="C2" s="1900" t="s">
        <v>2032</v>
      </c>
      <c r="D2" s="722" t="s">
        <v>2039</v>
      </c>
      <c r="E2" s="722" t="s">
        <v>2040</v>
      </c>
      <c r="F2" s="1900" t="s">
        <v>2033</v>
      </c>
    </row>
    <row r="3" spans="1:7" ht="15.75" customHeight="1" x14ac:dyDescent="0.2">
      <c r="A3" s="2347" t="s">
        <v>1175</v>
      </c>
      <c r="B3" s="2348"/>
      <c r="C3" s="2336"/>
      <c r="D3" s="2337"/>
      <c r="E3" s="2337"/>
      <c r="F3" s="2338"/>
    </row>
    <row r="4" spans="1:7" ht="12.75" customHeight="1" thickBot="1" x14ac:dyDescent="0.25">
      <c r="A4" s="2345" t="s">
        <v>650</v>
      </c>
      <c r="B4" s="2346"/>
      <c r="C4" s="579"/>
      <c r="D4" s="579"/>
      <c r="E4" s="579"/>
      <c r="F4" s="1769">
        <f>SUM(C4+D4)-E4</f>
        <v>0</v>
      </c>
    </row>
    <row r="5" spans="1:7" ht="15.75" customHeight="1" thickTop="1" x14ac:dyDescent="0.2">
      <c r="A5" s="2330" t="s">
        <v>1171</v>
      </c>
      <c r="B5" s="2331"/>
      <c r="C5" s="2339"/>
      <c r="D5" s="2340"/>
      <c r="E5" s="2340"/>
      <c r="F5" s="2341"/>
    </row>
    <row r="6" spans="1:7" ht="12.75" customHeight="1" thickBot="1" x14ac:dyDescent="0.25">
      <c r="A6" s="723" t="s">
        <v>66</v>
      </c>
      <c r="B6" s="724"/>
      <c r="C6" s="725"/>
      <c r="D6" s="583"/>
      <c r="E6" s="725"/>
      <c r="F6" s="1769">
        <f t="shared" ref="F6:F14" si="0">SUM(C6+D6)-E6</f>
        <v>0</v>
      </c>
    </row>
    <row r="7" spans="1:7" ht="12.75" customHeight="1" thickTop="1" thickBot="1" x14ac:dyDescent="0.25">
      <c r="A7" s="723" t="s">
        <v>6</v>
      </c>
      <c r="B7" s="724"/>
      <c r="C7" s="725"/>
      <c r="D7" s="583"/>
      <c r="E7" s="725"/>
      <c r="F7" s="1769">
        <f t="shared" si="0"/>
        <v>0</v>
      </c>
    </row>
    <row r="8" spans="1:7" ht="12.75" customHeight="1" thickTop="1" thickBot="1" x14ac:dyDescent="0.25">
      <c r="A8" s="723" t="s">
        <v>528</v>
      </c>
      <c r="B8" s="724"/>
      <c r="C8" s="725"/>
      <c r="D8" s="583"/>
      <c r="E8" s="725"/>
      <c r="F8" s="1769">
        <f t="shared" si="0"/>
        <v>0</v>
      </c>
    </row>
    <row r="9" spans="1:7" ht="12.75" customHeight="1" thickTop="1" thickBot="1" x14ac:dyDescent="0.25">
      <c r="A9" s="723" t="s">
        <v>529</v>
      </c>
      <c r="B9" s="724"/>
      <c r="C9" s="725"/>
      <c r="D9" s="583"/>
      <c r="E9" s="725"/>
      <c r="F9" s="1769">
        <f t="shared" si="0"/>
        <v>0</v>
      </c>
    </row>
    <row r="10" spans="1:7" ht="12.75" customHeight="1" thickTop="1" thickBot="1" x14ac:dyDescent="0.25">
      <c r="A10" s="723" t="s">
        <v>530</v>
      </c>
      <c r="B10" s="724"/>
      <c r="C10" s="725"/>
      <c r="D10" s="583"/>
      <c r="E10" s="725"/>
      <c r="F10" s="1769">
        <f t="shared" si="0"/>
        <v>0</v>
      </c>
    </row>
    <row r="11" spans="1:7" ht="12.75" customHeight="1" thickTop="1" thickBot="1" x14ac:dyDescent="0.25">
      <c r="A11" s="723" t="s">
        <v>358</v>
      </c>
      <c r="B11" s="724"/>
      <c r="C11" s="725"/>
      <c r="D11" s="583"/>
      <c r="E11" s="725"/>
      <c r="F11" s="1769">
        <f t="shared" si="0"/>
        <v>0</v>
      </c>
    </row>
    <row r="12" spans="1:7" ht="12.75" customHeight="1" thickTop="1" thickBot="1" x14ac:dyDescent="0.25">
      <c r="A12" s="723" t="s">
        <v>1218</v>
      </c>
      <c r="B12" s="724"/>
      <c r="C12" s="725"/>
      <c r="D12" s="583"/>
      <c r="E12" s="725"/>
      <c r="F12" s="1769">
        <f t="shared" si="0"/>
        <v>0</v>
      </c>
    </row>
    <row r="13" spans="1:7" ht="12.75" customHeight="1" thickTop="1" thickBot="1" x14ac:dyDescent="0.25">
      <c r="A13" s="723" t="s">
        <v>405</v>
      </c>
      <c r="B13" s="724"/>
      <c r="C13" s="725"/>
      <c r="D13" s="583"/>
      <c r="E13" s="725"/>
      <c r="F13" s="1769">
        <f t="shared" si="0"/>
        <v>0</v>
      </c>
    </row>
    <row r="14" spans="1:7" ht="12.75" customHeight="1" thickTop="1" thickBot="1" x14ac:dyDescent="0.25">
      <c r="A14" s="723" t="s">
        <v>467</v>
      </c>
      <c r="B14" s="724"/>
      <c r="C14" s="725"/>
      <c r="D14" s="583"/>
      <c r="E14" s="725"/>
      <c r="F14" s="1769">
        <f t="shared" si="0"/>
        <v>0</v>
      </c>
    </row>
    <row r="15" spans="1:7" ht="14.25" thickTop="1" thickBot="1" x14ac:dyDescent="0.25">
      <c r="A15" s="2332" t="s">
        <v>651</v>
      </c>
      <c r="B15" s="2333"/>
      <c r="C15" s="1769">
        <f>SUM(C6:C14)</f>
        <v>0</v>
      </c>
      <c r="D15" s="1769">
        <f>SUM(D6:D14)</f>
        <v>0</v>
      </c>
      <c r="E15" s="1769">
        <f>SUM(E6:E14)</f>
        <v>0</v>
      </c>
      <c r="F15" s="1769">
        <f>SUM(F6:F14)</f>
        <v>0</v>
      </c>
      <c r="G15" s="550"/>
    </row>
    <row r="16" spans="1:7" s="202" customFormat="1" ht="15.75" customHeight="1" thickTop="1" x14ac:dyDescent="0.2">
      <c r="A16" s="2342" t="s">
        <v>1172</v>
      </c>
      <c r="B16" s="2331"/>
      <c r="C16" s="2339"/>
      <c r="D16" s="2340"/>
      <c r="E16" s="2340"/>
      <c r="F16" s="2341"/>
    </row>
    <row r="17" spans="1:11" ht="12.75" customHeight="1" thickBot="1" x14ac:dyDescent="0.25">
      <c r="A17" s="2355" t="s">
        <v>66</v>
      </c>
      <c r="B17" s="2356"/>
      <c r="C17" s="725"/>
      <c r="D17" s="583"/>
      <c r="E17" s="725"/>
      <c r="F17" s="1769">
        <f>SUM(C17+D17)-E17</f>
        <v>0</v>
      </c>
    </row>
    <row r="18" spans="1:11" ht="12.75" customHeight="1" thickTop="1" thickBot="1" x14ac:dyDescent="0.25">
      <c r="A18" s="2355" t="s">
        <v>6</v>
      </c>
      <c r="B18" s="2356"/>
      <c r="C18" s="725"/>
      <c r="D18" s="583"/>
      <c r="E18" s="725"/>
      <c r="F18" s="1769">
        <f>SUM(C18+D18)-E18</f>
        <v>0</v>
      </c>
    </row>
    <row r="19" spans="1:11" ht="12.75" customHeight="1" thickTop="1" thickBot="1" x14ac:dyDescent="0.25">
      <c r="A19" s="2355" t="s">
        <v>405</v>
      </c>
      <c r="B19" s="2356"/>
      <c r="C19" s="725"/>
      <c r="D19" s="583"/>
      <c r="E19" s="725"/>
      <c r="F19" s="1769">
        <f>SUM(C19+D19)-E19</f>
        <v>0</v>
      </c>
    </row>
    <row r="20" spans="1:11" ht="12.75" customHeight="1" thickTop="1" thickBot="1" x14ac:dyDescent="0.25">
      <c r="A20" s="2355" t="s">
        <v>467</v>
      </c>
      <c r="B20" s="2356"/>
      <c r="C20" s="725"/>
      <c r="D20" s="583"/>
      <c r="E20" s="725"/>
      <c r="F20" s="1769">
        <f>SUM(C20+D20)-E20</f>
        <v>0</v>
      </c>
    </row>
    <row r="21" spans="1:11" ht="14.25" thickTop="1" thickBot="1" x14ac:dyDescent="0.25">
      <c r="A21" s="2332" t="s">
        <v>652</v>
      </c>
      <c r="B21" s="2333"/>
      <c r="C21" s="1769">
        <f>SUM(C17:C20)</f>
        <v>0</v>
      </c>
      <c r="D21" s="1769">
        <f>SUM(D17:D20)</f>
        <v>0</v>
      </c>
      <c r="E21" s="1769">
        <f>SUM(E17:E20)</f>
        <v>0</v>
      </c>
      <c r="F21" s="1769">
        <f>SUM(F17:F20)</f>
        <v>0</v>
      </c>
      <c r="G21" s="550"/>
    </row>
    <row r="22" spans="1:11" ht="15.75" customHeight="1" thickTop="1" x14ac:dyDescent="0.2">
      <c r="A22" s="2357" t="s">
        <v>1173</v>
      </c>
      <c r="B22" s="2331"/>
      <c r="C22" s="2339"/>
      <c r="D22" s="2340"/>
      <c r="E22" s="2340"/>
      <c r="F22" s="2341"/>
    </row>
    <row r="23" spans="1:11" ht="13.5" thickBot="1" x14ac:dyDescent="0.25">
      <c r="A23" s="2345" t="s">
        <v>653</v>
      </c>
      <c r="B23" s="2346"/>
      <c r="C23" s="579"/>
      <c r="D23" s="579"/>
      <c r="E23" s="579"/>
      <c r="F23" s="1769">
        <f>SUM(C23+D23)-E23</f>
        <v>0</v>
      </c>
      <c r="G23" s="550"/>
    </row>
    <row r="24" spans="1:11" ht="15.75" customHeight="1" thickTop="1" x14ac:dyDescent="0.2">
      <c r="A24" s="2357" t="s">
        <v>1174</v>
      </c>
      <c r="B24" s="2331"/>
      <c r="C24" s="2339"/>
      <c r="D24" s="2340"/>
      <c r="E24" s="2340"/>
      <c r="F24" s="2341"/>
    </row>
    <row r="25" spans="1:11" ht="13.5" thickBot="1" x14ac:dyDescent="0.25">
      <c r="A25" s="2345" t="s">
        <v>654</v>
      </c>
      <c r="B25" s="2346"/>
      <c r="C25" s="579"/>
      <c r="D25" s="579"/>
      <c r="E25" s="579"/>
      <c r="F25" s="1769">
        <f>SUM(C25+D25)-E25</f>
        <v>0</v>
      </c>
      <c r="G25" s="550"/>
    </row>
    <row r="26" spans="1:11" ht="15.75" customHeight="1" thickTop="1" x14ac:dyDescent="0.2">
      <c r="A26" s="2330" t="s">
        <v>677</v>
      </c>
      <c r="B26" s="2331"/>
      <c r="C26" s="726"/>
      <c r="D26" s="726"/>
      <c r="E26" s="726"/>
      <c r="F26" s="727"/>
    </row>
    <row r="27" spans="1:11" ht="13.5" thickBot="1" x14ac:dyDescent="0.25">
      <c r="A27" s="2332" t="s">
        <v>1129</v>
      </c>
      <c r="B27" s="2333"/>
      <c r="C27" s="583"/>
      <c r="D27" s="583"/>
      <c r="E27" s="583"/>
      <c r="F27" s="1769">
        <f>SUM(C27+D27)-E27</f>
        <v>0</v>
      </c>
      <c r="G27" s="550"/>
    </row>
    <row r="28" spans="1:11" ht="7.5" customHeight="1" thickTop="1" x14ac:dyDescent="0.2">
      <c r="A28" s="592"/>
    </row>
    <row r="29" spans="1:11" ht="23.25" customHeight="1" x14ac:dyDescent="0.2">
      <c r="A29" s="2358" t="s">
        <v>602</v>
      </c>
      <c r="B29" s="2335"/>
      <c r="C29" s="728"/>
      <c r="D29" s="728"/>
      <c r="E29" s="728"/>
      <c r="F29" s="728"/>
      <c r="G29" s="728"/>
      <c r="H29" s="728"/>
      <c r="I29" s="728"/>
      <c r="J29" s="728"/>
    </row>
    <row r="30" spans="1:11" ht="33.75" x14ac:dyDescent="0.2">
      <c r="A30" s="1548" t="s">
        <v>1130</v>
      </c>
      <c r="B30" s="729" t="s">
        <v>1185</v>
      </c>
      <c r="C30" s="1901" t="s">
        <v>603</v>
      </c>
      <c r="D30" s="1901" t="s">
        <v>1770</v>
      </c>
      <c r="E30" s="1901" t="s">
        <v>2034</v>
      </c>
      <c r="F30" s="1901" t="s">
        <v>2035</v>
      </c>
      <c r="G30" s="1901" t="s">
        <v>2038</v>
      </c>
      <c r="H30" s="1901" t="s">
        <v>2036</v>
      </c>
      <c r="I30" s="1901" t="s">
        <v>2037</v>
      </c>
      <c r="J30" s="1902" t="s">
        <v>2</v>
      </c>
      <c r="K30" s="730"/>
    </row>
    <row r="31" spans="1:11" ht="12" customHeight="1" x14ac:dyDescent="0.2">
      <c r="A31" s="731" t="s">
        <v>2085</v>
      </c>
      <c r="B31" s="732">
        <v>42248</v>
      </c>
      <c r="C31" s="733">
        <v>10685000</v>
      </c>
      <c r="D31" s="734">
        <v>7</v>
      </c>
      <c r="E31" s="733">
        <v>10520000</v>
      </c>
      <c r="F31" s="733"/>
      <c r="G31" s="733"/>
      <c r="H31" s="733">
        <v>315000</v>
      </c>
      <c r="I31" s="1770">
        <f>((E31+F31)-H31)+G31</f>
        <v>10205000</v>
      </c>
      <c r="J31" s="733">
        <f>I31-61196</f>
        <v>10143804</v>
      </c>
      <c r="K31" s="735"/>
    </row>
    <row r="32" spans="1:11" ht="12" customHeight="1" x14ac:dyDescent="0.2">
      <c r="A32" s="731" t="s">
        <v>2086</v>
      </c>
      <c r="B32" s="732">
        <v>42248</v>
      </c>
      <c r="C32" s="733">
        <v>15063327</v>
      </c>
      <c r="D32" s="734">
        <v>1</v>
      </c>
      <c r="E32" s="733">
        <v>15063327</v>
      </c>
      <c r="F32" s="733"/>
      <c r="G32" s="733"/>
      <c r="H32" s="733">
        <v>930000</v>
      </c>
      <c r="I32" s="1770">
        <f>((E32+F32)-H32)+G32</f>
        <v>14133327</v>
      </c>
      <c r="J32" s="733">
        <f>I32-926901</f>
        <v>13206426</v>
      </c>
      <c r="K32" s="735"/>
    </row>
    <row r="33" spans="1:11" ht="12" customHeight="1" x14ac:dyDescent="0.2">
      <c r="A33" s="731" t="s">
        <v>2087</v>
      </c>
      <c r="B33" s="732">
        <v>42424</v>
      </c>
      <c r="C33" s="733">
        <v>2000000</v>
      </c>
      <c r="D33" s="734">
        <v>1</v>
      </c>
      <c r="E33" s="733">
        <v>1050000</v>
      </c>
      <c r="F33" s="733"/>
      <c r="G33" s="733"/>
      <c r="H33" s="733">
        <v>520000</v>
      </c>
      <c r="I33" s="1770">
        <f t="shared" ref="I33:I48" si="1">((E33+F33)-H33)+G33</f>
        <v>530000</v>
      </c>
      <c r="J33" s="733">
        <f>I33-327534</f>
        <v>202466</v>
      </c>
      <c r="K33" s="735"/>
    </row>
    <row r="34" spans="1:11" ht="12" customHeight="1" x14ac:dyDescent="0.2">
      <c r="A34" s="731" t="s">
        <v>2088</v>
      </c>
      <c r="B34" s="732">
        <v>42424</v>
      </c>
      <c r="C34" s="733">
        <v>9000000</v>
      </c>
      <c r="D34" s="734" t="s">
        <v>2220</v>
      </c>
      <c r="E34" s="733">
        <v>9000000</v>
      </c>
      <c r="F34" s="733"/>
      <c r="G34" s="733"/>
      <c r="H34" s="733"/>
      <c r="I34" s="1770">
        <f t="shared" si="1"/>
        <v>9000000</v>
      </c>
      <c r="J34" s="733">
        <f>I34-220870</f>
        <v>8779130</v>
      </c>
      <c r="K34" s="736"/>
    </row>
    <row r="35" spans="1:11" ht="12" customHeight="1" x14ac:dyDescent="0.2">
      <c r="A35" s="731" t="s">
        <v>2221</v>
      </c>
      <c r="B35" s="732">
        <v>43223</v>
      </c>
      <c r="C35" s="737">
        <v>4170000</v>
      </c>
      <c r="D35" s="734">
        <v>1</v>
      </c>
      <c r="E35" s="737"/>
      <c r="F35" s="737">
        <v>4170000</v>
      </c>
      <c r="G35" s="737"/>
      <c r="H35" s="737"/>
      <c r="I35" s="1770">
        <f t="shared" si="1"/>
        <v>4170000</v>
      </c>
      <c r="J35" s="737">
        <f>I35-106884</f>
        <v>4063116</v>
      </c>
      <c r="K35" s="736"/>
    </row>
    <row r="36" spans="1:11" ht="12" customHeight="1" x14ac:dyDescent="0.2">
      <c r="A36" s="731" t="s">
        <v>2089</v>
      </c>
      <c r="B36" s="732">
        <v>42755</v>
      </c>
      <c r="C36" s="733">
        <v>146500</v>
      </c>
      <c r="D36" s="734">
        <v>8</v>
      </c>
      <c r="E36" s="733">
        <v>122351</v>
      </c>
      <c r="F36" s="733"/>
      <c r="G36" s="733"/>
      <c r="H36" s="733">
        <v>48211</v>
      </c>
      <c r="I36" s="1770">
        <f t="shared" si="1"/>
        <v>74140</v>
      </c>
      <c r="J36" s="733">
        <v>74140</v>
      </c>
      <c r="K36" s="738"/>
    </row>
    <row r="37" spans="1:11" ht="12" customHeight="1" x14ac:dyDescent="0.2">
      <c r="A37" s="731" t="s">
        <v>2222</v>
      </c>
      <c r="B37" s="732">
        <v>40422</v>
      </c>
      <c r="C37" s="467">
        <v>1060000</v>
      </c>
      <c r="D37" s="739" t="s">
        <v>2220</v>
      </c>
      <c r="E37" s="467"/>
      <c r="F37" s="467"/>
      <c r="G37" s="467"/>
      <c r="H37" s="467"/>
      <c r="I37" s="1770">
        <f t="shared" si="1"/>
        <v>0</v>
      </c>
      <c r="J37" s="467">
        <v>-53493</v>
      </c>
      <c r="K37" s="736"/>
    </row>
    <row r="38" spans="1:11" ht="12" customHeight="1" x14ac:dyDescent="0.2">
      <c r="A38" s="731" t="s">
        <v>2223</v>
      </c>
      <c r="B38" s="732">
        <v>40422</v>
      </c>
      <c r="C38" s="733">
        <v>1545000</v>
      </c>
      <c r="D38" s="740" t="s">
        <v>2220</v>
      </c>
      <c r="E38" s="741"/>
      <c r="F38" s="741"/>
      <c r="G38" s="741"/>
      <c r="H38" s="741"/>
      <c r="I38" s="1770">
        <f t="shared" si="1"/>
        <v>0</v>
      </c>
      <c r="J38" s="742">
        <v>-15885</v>
      </c>
      <c r="K38" s="743"/>
    </row>
    <row r="39" spans="1:11" ht="12" customHeight="1" x14ac:dyDescent="0.2">
      <c r="A39" s="731"/>
      <c r="B39" s="732"/>
      <c r="C39" s="733"/>
      <c r="D39" s="740"/>
      <c r="E39" s="741"/>
      <c r="F39" s="741"/>
      <c r="G39" s="741"/>
      <c r="H39" s="741"/>
      <c r="I39" s="1770">
        <f t="shared" si="1"/>
        <v>0</v>
      </c>
      <c r="J39" s="742"/>
      <c r="K39" s="743"/>
    </row>
    <row r="40" spans="1:11" ht="12" customHeight="1" x14ac:dyDescent="0.2">
      <c r="A40" s="731"/>
      <c r="B40" s="732"/>
      <c r="C40" s="733"/>
      <c r="D40" s="740"/>
      <c r="E40" s="741"/>
      <c r="F40" s="741"/>
      <c r="G40" s="741"/>
      <c r="H40" s="741"/>
      <c r="I40" s="1770">
        <f t="shared" si="1"/>
        <v>0</v>
      </c>
      <c r="J40" s="742"/>
      <c r="K40" s="743"/>
    </row>
    <row r="41" spans="1:11" ht="12" customHeight="1" x14ac:dyDescent="0.2">
      <c r="A41" s="731"/>
      <c r="B41" s="732"/>
      <c r="C41" s="733"/>
      <c r="D41" s="740"/>
      <c r="E41" s="741"/>
      <c r="F41" s="741"/>
      <c r="G41" s="741"/>
      <c r="H41" s="741"/>
      <c r="I41" s="1770">
        <f t="shared" si="1"/>
        <v>0</v>
      </c>
      <c r="J41" s="742"/>
      <c r="K41" s="743"/>
    </row>
    <row r="42" spans="1:11" ht="12" customHeight="1" x14ac:dyDescent="0.2">
      <c r="A42" s="731"/>
      <c r="B42" s="732"/>
      <c r="C42" s="733"/>
      <c r="D42" s="740"/>
      <c r="E42" s="741"/>
      <c r="F42" s="741"/>
      <c r="G42" s="741"/>
      <c r="H42" s="741"/>
      <c r="I42" s="1770">
        <f t="shared" si="1"/>
        <v>0</v>
      </c>
      <c r="J42" s="742"/>
      <c r="K42" s="743"/>
    </row>
    <row r="43" spans="1:11" ht="12" customHeight="1" x14ac:dyDescent="0.2">
      <c r="A43" s="731"/>
      <c r="B43" s="732"/>
      <c r="C43" s="733"/>
      <c r="D43" s="740"/>
      <c r="E43" s="741"/>
      <c r="F43" s="741"/>
      <c r="G43" s="741"/>
      <c r="H43" s="741"/>
      <c r="I43" s="1770">
        <f t="shared" si="1"/>
        <v>0</v>
      </c>
      <c r="J43" s="742"/>
      <c r="K43" s="743"/>
    </row>
    <row r="44" spans="1:11" ht="12" customHeight="1" x14ac:dyDescent="0.2">
      <c r="A44" s="731"/>
      <c r="B44" s="732"/>
      <c r="C44" s="733"/>
      <c r="D44" s="734"/>
      <c r="E44" s="733"/>
      <c r="F44" s="733"/>
      <c r="G44" s="733"/>
      <c r="H44" s="733"/>
      <c r="I44" s="1770">
        <f t="shared" si="1"/>
        <v>0</v>
      </c>
      <c r="J44" s="733"/>
      <c r="K44" s="736"/>
    </row>
    <row r="45" spans="1:11" ht="12" customHeight="1" x14ac:dyDescent="0.2">
      <c r="A45" s="731"/>
      <c r="B45" s="732"/>
      <c r="C45" s="733"/>
      <c r="D45" s="734"/>
      <c r="E45" s="733"/>
      <c r="F45" s="733"/>
      <c r="G45" s="733"/>
      <c r="H45" s="733"/>
      <c r="I45" s="1770">
        <f t="shared" si="1"/>
        <v>0</v>
      </c>
      <c r="J45" s="733"/>
      <c r="K45" s="736"/>
    </row>
    <row r="46" spans="1:11" ht="12" customHeight="1" x14ac:dyDescent="0.2">
      <c r="A46" s="731"/>
      <c r="B46" s="732"/>
      <c r="C46" s="733"/>
      <c r="D46" s="734"/>
      <c r="E46" s="733"/>
      <c r="F46" s="733"/>
      <c r="G46" s="733"/>
      <c r="H46" s="733"/>
      <c r="I46" s="1770">
        <f t="shared" si="1"/>
        <v>0</v>
      </c>
      <c r="J46" s="733"/>
      <c r="K46" s="736"/>
    </row>
    <row r="47" spans="1:11" ht="12" customHeight="1" x14ac:dyDescent="0.2">
      <c r="A47" s="731"/>
      <c r="B47" s="732"/>
      <c r="C47" s="737"/>
      <c r="D47" s="734"/>
      <c r="E47" s="737"/>
      <c r="F47" s="737"/>
      <c r="G47" s="737"/>
      <c r="H47" s="737"/>
      <c r="I47" s="1770">
        <f t="shared" si="1"/>
        <v>0</v>
      </c>
      <c r="J47" s="737"/>
      <c r="K47" s="736"/>
    </row>
    <row r="48" spans="1:11" ht="12" customHeight="1" x14ac:dyDescent="0.2">
      <c r="A48" s="731"/>
      <c r="B48" s="732"/>
      <c r="C48" s="733"/>
      <c r="D48" s="734"/>
      <c r="E48" s="733"/>
      <c r="F48" s="733"/>
      <c r="G48" s="733"/>
      <c r="H48" s="733"/>
      <c r="I48" s="1770">
        <f t="shared" si="1"/>
        <v>0</v>
      </c>
      <c r="J48" s="733"/>
      <c r="K48" s="736"/>
    </row>
    <row r="49" spans="1:11" ht="12" customHeight="1" x14ac:dyDescent="0.2">
      <c r="A49" s="731"/>
      <c r="B49" s="732"/>
      <c r="C49" s="1770">
        <f>SUM(C31:C48)</f>
        <v>43669827</v>
      </c>
      <c r="D49" s="744"/>
      <c r="E49" s="1770">
        <f t="shared" ref="E49:J49" si="2">SUM(E31:E48)</f>
        <v>35755678</v>
      </c>
      <c r="F49" s="1770">
        <f t="shared" si="2"/>
        <v>4170000</v>
      </c>
      <c r="G49" s="1770">
        <f t="shared" si="2"/>
        <v>0</v>
      </c>
      <c r="H49" s="1770">
        <f t="shared" si="2"/>
        <v>1813211</v>
      </c>
      <c r="I49" s="1770">
        <f t="shared" si="2"/>
        <v>38112467</v>
      </c>
      <c r="J49" s="1770">
        <f t="shared" si="2"/>
        <v>36399704</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967</v>
      </c>
      <c r="B52" s="2349" t="s">
        <v>604</v>
      </c>
      <c r="C52" s="2350"/>
      <c r="D52" s="2350"/>
      <c r="E52" s="748" t="s">
        <v>899</v>
      </c>
      <c r="F52" s="2351" t="s">
        <v>2090</v>
      </c>
      <c r="G52" s="2352"/>
      <c r="H52" s="735"/>
      <c r="I52" s="735"/>
      <c r="J52" s="745"/>
    </row>
    <row r="53" spans="1:11" ht="11.25" customHeight="1" x14ac:dyDescent="0.2">
      <c r="A53" s="749" t="s">
        <v>968</v>
      </c>
      <c r="B53" s="750" t="s">
        <v>1007</v>
      </c>
      <c r="C53" s="745"/>
      <c r="D53" s="736"/>
      <c r="E53" s="748" t="s">
        <v>517</v>
      </c>
      <c r="F53" s="2353" t="s">
        <v>2089</v>
      </c>
      <c r="G53" s="2354"/>
      <c r="H53" s="735"/>
      <c r="I53" s="735"/>
      <c r="J53" s="745"/>
    </row>
    <row r="54" spans="1:11" ht="11.25" customHeight="1" x14ac:dyDescent="0.2">
      <c r="A54" s="751" t="s">
        <v>969</v>
      </c>
      <c r="B54" s="746" t="s">
        <v>1008</v>
      </c>
      <c r="C54" s="745"/>
      <c r="D54" s="736"/>
      <c r="E54" s="748" t="s">
        <v>518</v>
      </c>
      <c r="F54" s="2353"/>
      <c r="G54" s="235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3" t="s">
        <v>910</v>
      </c>
      <c r="B1" s="2384"/>
      <c r="C1" s="2384"/>
      <c r="D1" s="2384"/>
      <c r="E1" s="2384"/>
      <c r="F1" s="2384"/>
      <c r="G1" s="2385"/>
      <c r="H1" s="1549"/>
      <c r="I1" s="759"/>
      <c r="J1" s="433"/>
    </row>
    <row r="2" spans="1:11" ht="26.25" x14ac:dyDescent="0.2">
      <c r="A2" s="2362" t="s">
        <v>1774</v>
      </c>
      <c r="B2" s="2363"/>
      <c r="C2" s="2363"/>
      <c r="D2" s="2363"/>
      <c r="E2" s="2364"/>
      <c r="F2" s="760" t="s">
        <v>959</v>
      </c>
      <c r="G2" s="761" t="s">
        <v>1771</v>
      </c>
      <c r="H2" s="761" t="s">
        <v>429</v>
      </c>
      <c r="I2" s="761" t="s">
        <v>1219</v>
      </c>
      <c r="J2" s="761" t="s">
        <v>1914</v>
      </c>
      <c r="K2" s="761" t="s">
        <v>140</v>
      </c>
    </row>
    <row r="3" spans="1:11" x14ac:dyDescent="0.2">
      <c r="A3" s="2365" t="s">
        <v>1696</v>
      </c>
      <c r="B3" s="2366"/>
      <c r="C3" s="2366"/>
      <c r="D3" s="2366"/>
      <c r="E3" s="2367"/>
      <c r="F3" s="762"/>
      <c r="G3" s="763"/>
      <c r="H3" s="763"/>
      <c r="I3" s="763"/>
      <c r="J3" s="764">
        <v>1433457</v>
      </c>
      <c r="K3" s="764"/>
    </row>
    <row r="4" spans="1:11" x14ac:dyDescent="0.2">
      <c r="A4" s="2368" t="s">
        <v>386</v>
      </c>
      <c r="B4" s="2369"/>
      <c r="C4" s="2369"/>
      <c r="D4" s="2369"/>
      <c r="E4" s="2350"/>
      <c r="F4" s="765"/>
      <c r="G4" s="766"/>
      <c r="H4" s="767"/>
      <c r="I4" s="766"/>
      <c r="J4" s="768"/>
      <c r="K4" s="768"/>
    </row>
    <row r="5" spans="1:11" x14ac:dyDescent="0.2">
      <c r="A5" s="2386" t="s">
        <v>1128</v>
      </c>
      <c r="B5" s="2359"/>
      <c r="C5" s="2359"/>
      <c r="D5" s="2359"/>
      <c r="E5" s="2387"/>
      <c r="F5" s="769" t="s">
        <v>902</v>
      </c>
      <c r="G5" s="770"/>
      <c r="H5" s="763">
        <v>144369</v>
      </c>
      <c r="I5" s="771"/>
      <c r="J5" s="772"/>
      <c r="K5" s="772"/>
    </row>
    <row r="6" spans="1:11" x14ac:dyDescent="0.2">
      <c r="A6" s="773" t="s">
        <v>743</v>
      </c>
      <c r="B6" s="774"/>
      <c r="C6" s="774"/>
      <c r="D6" s="774"/>
      <c r="E6" s="775"/>
      <c r="F6" s="776" t="s">
        <v>903</v>
      </c>
      <c r="G6" s="763"/>
      <c r="H6" s="763">
        <v>95</v>
      </c>
      <c r="I6" s="763"/>
      <c r="J6" s="764">
        <v>1298</v>
      </c>
      <c r="K6" s="764"/>
    </row>
    <row r="7" spans="1:11" x14ac:dyDescent="0.2">
      <c r="A7" s="777" t="s">
        <v>264</v>
      </c>
      <c r="B7" s="778"/>
      <c r="C7" s="778"/>
      <c r="D7" s="778"/>
      <c r="E7" s="779"/>
      <c r="F7" s="769" t="s">
        <v>904</v>
      </c>
      <c r="G7" s="766"/>
      <c r="H7" s="766"/>
      <c r="I7" s="766"/>
      <c r="J7" s="780"/>
      <c r="K7" s="764">
        <v>23074</v>
      </c>
    </row>
    <row r="8" spans="1:11" x14ac:dyDescent="0.2">
      <c r="A8" s="777" t="s">
        <v>362</v>
      </c>
      <c r="B8" s="778"/>
      <c r="C8" s="778"/>
      <c r="D8" s="778"/>
      <c r="E8" s="779"/>
      <c r="F8" s="769" t="s">
        <v>905</v>
      </c>
      <c r="G8" s="781"/>
      <c r="H8" s="781"/>
      <c r="I8" s="781"/>
      <c r="J8" s="764">
        <v>982393</v>
      </c>
      <c r="K8" s="768"/>
    </row>
    <row r="9" spans="1:11" x14ac:dyDescent="0.2">
      <c r="A9" s="777" t="s">
        <v>140</v>
      </c>
      <c r="B9" s="778"/>
      <c r="C9" s="778"/>
      <c r="D9" s="778"/>
      <c r="E9" s="779"/>
      <c r="F9" s="776" t="s">
        <v>907</v>
      </c>
      <c r="G9" s="781"/>
      <c r="H9" s="770"/>
      <c r="I9" s="770"/>
      <c r="J9" s="780"/>
      <c r="K9" s="764">
        <v>40258</v>
      </c>
    </row>
    <row r="10" spans="1:11" x14ac:dyDescent="0.2">
      <c r="A10" s="2386" t="s">
        <v>1915</v>
      </c>
      <c r="B10" s="2359"/>
      <c r="C10" s="2359"/>
      <c r="D10" s="2359"/>
      <c r="E10" s="2388"/>
      <c r="F10" s="782" t="s">
        <v>916</v>
      </c>
      <c r="G10" s="781"/>
      <c r="H10" s="783"/>
      <c r="I10" s="763"/>
      <c r="J10" s="764"/>
      <c r="K10" s="764" t="s">
        <v>1230</v>
      </c>
    </row>
    <row r="11" spans="1:11" x14ac:dyDescent="0.2">
      <c r="A11" s="2386" t="s">
        <v>162</v>
      </c>
      <c r="B11" s="2359"/>
      <c r="C11" s="2359"/>
      <c r="D11" s="2359"/>
      <c r="E11" s="2387"/>
      <c r="F11" s="769" t="s">
        <v>906</v>
      </c>
      <c r="G11" s="770"/>
      <c r="H11" s="763"/>
      <c r="I11" s="763"/>
      <c r="J11" s="764"/>
      <c r="K11" s="772"/>
    </row>
    <row r="12" spans="1:11" ht="13.5" thickBot="1" x14ac:dyDescent="0.25">
      <c r="A12" s="2376" t="s">
        <v>960</v>
      </c>
      <c r="B12" s="2377"/>
      <c r="C12" s="2377"/>
      <c r="D12" s="2377"/>
      <c r="E12" s="2378"/>
      <c r="F12" s="1771"/>
      <c r="G12" s="1772">
        <f>SUM(G5:G11)</f>
        <v>0</v>
      </c>
      <c r="H12" s="1772">
        <f>SUM(H5:H11)</f>
        <v>144464</v>
      </c>
      <c r="I12" s="1772">
        <f>SUM(I5:I11)</f>
        <v>0</v>
      </c>
      <c r="J12" s="1772">
        <f>SUM(J5:J11)</f>
        <v>983691</v>
      </c>
      <c r="K12" s="1772">
        <f>SUM(K5:K11)</f>
        <v>63332</v>
      </c>
    </row>
    <row r="13" spans="1:11" ht="13.5" thickTop="1" x14ac:dyDescent="0.2">
      <c r="A13" s="2370" t="s">
        <v>387</v>
      </c>
      <c r="B13" s="2371"/>
      <c r="C13" s="2371"/>
      <c r="D13" s="2371"/>
      <c r="E13" s="2372"/>
      <c r="F13" s="784"/>
      <c r="G13" s="785"/>
      <c r="H13" s="786"/>
      <c r="I13" s="787"/>
      <c r="J13" s="787"/>
      <c r="K13" s="787"/>
    </row>
    <row r="14" spans="1:11" x14ac:dyDescent="0.2">
      <c r="A14" s="2392" t="s">
        <v>475</v>
      </c>
      <c r="B14" s="2392"/>
      <c r="C14" s="2392"/>
      <c r="D14" s="2392"/>
      <c r="E14" s="2393"/>
      <c r="F14" s="788" t="s">
        <v>908</v>
      </c>
      <c r="G14" s="781"/>
      <c r="H14" s="763">
        <v>144464</v>
      </c>
      <c r="I14" s="770"/>
      <c r="J14" s="772"/>
      <c r="K14" s="764">
        <v>63332</v>
      </c>
    </row>
    <row r="15" spans="1:11" x14ac:dyDescent="0.2">
      <c r="A15" s="2359" t="s">
        <v>4</v>
      </c>
      <c r="B15" s="2359"/>
      <c r="C15" s="2359"/>
      <c r="D15" s="2359"/>
      <c r="E15" s="2387"/>
      <c r="F15" s="788" t="s">
        <v>909</v>
      </c>
      <c r="G15" s="770"/>
      <c r="H15" s="763"/>
      <c r="I15" s="763"/>
      <c r="J15" s="764">
        <v>32359</v>
      </c>
      <c r="K15" s="764"/>
    </row>
    <row r="16" spans="1:11" x14ac:dyDescent="0.2">
      <c r="A16" s="2359" t="s">
        <v>315</v>
      </c>
      <c r="B16" s="2359"/>
      <c r="C16" s="2359"/>
      <c r="D16" s="2359"/>
      <c r="E16" s="2387"/>
      <c r="F16" s="788" t="s">
        <v>979</v>
      </c>
      <c r="G16" s="771"/>
      <c r="H16" s="766"/>
      <c r="I16" s="766"/>
      <c r="J16" s="768"/>
      <c r="K16" s="768"/>
    </row>
    <row r="17" spans="1:11" x14ac:dyDescent="0.2">
      <c r="A17" s="2381" t="s">
        <v>991</v>
      </c>
      <c r="B17" s="2381"/>
      <c r="C17" s="2381"/>
      <c r="D17" s="2381"/>
      <c r="E17" s="2382"/>
      <c r="F17" s="789"/>
      <c r="G17" s="790"/>
      <c r="H17" s="791"/>
      <c r="I17" s="791"/>
      <c r="J17" s="792"/>
      <c r="K17" s="793"/>
    </row>
    <row r="18" spans="1:11" x14ac:dyDescent="0.2">
      <c r="A18" s="2373" t="s">
        <v>385</v>
      </c>
      <c r="B18" s="2374"/>
      <c r="C18" s="2374"/>
      <c r="D18" s="2374"/>
      <c r="E18" s="2375"/>
      <c r="F18" s="788" t="s">
        <v>988</v>
      </c>
      <c r="G18" s="781"/>
      <c r="H18" s="781"/>
      <c r="I18" s="781"/>
      <c r="J18" s="764"/>
      <c r="K18" s="794"/>
    </row>
    <row r="19" spans="1:11" ht="21.75" customHeight="1" x14ac:dyDescent="0.2">
      <c r="A19" s="2394" t="s">
        <v>1911</v>
      </c>
      <c r="B19" s="2394"/>
      <c r="C19" s="2394"/>
      <c r="D19" s="2394"/>
      <c r="E19" s="2395"/>
      <c r="F19" s="788" t="s">
        <v>989</v>
      </c>
      <c r="G19" s="781"/>
      <c r="H19" s="781"/>
      <c r="I19" s="781"/>
      <c r="J19" s="764"/>
      <c r="K19" s="794"/>
    </row>
    <row r="20" spans="1:11" x14ac:dyDescent="0.2">
      <c r="A20" s="2373" t="s">
        <v>1916</v>
      </c>
      <c r="B20" s="2374"/>
      <c r="C20" s="2374"/>
      <c r="D20" s="2374"/>
      <c r="E20" s="2375"/>
      <c r="F20" s="788" t="s">
        <v>990</v>
      </c>
      <c r="G20" s="781"/>
      <c r="H20" s="781"/>
      <c r="I20" s="781"/>
      <c r="J20" s="764"/>
      <c r="K20" s="794"/>
    </row>
    <row r="21" spans="1:11" ht="13.5" thickBot="1" x14ac:dyDescent="0.25">
      <c r="A21" s="2379" t="s">
        <v>658</v>
      </c>
      <c r="B21" s="2379"/>
      <c r="C21" s="2379"/>
      <c r="D21" s="2379"/>
      <c r="E21" s="2379"/>
      <c r="F21" s="1773"/>
      <c r="G21" s="791"/>
      <c r="H21" s="795"/>
      <c r="I21" s="795"/>
      <c r="J21" s="1774">
        <f>SUM(J18:J20)</f>
        <v>0</v>
      </c>
      <c r="K21" s="792"/>
    </row>
    <row r="22" spans="1:11" ht="13.5" thickTop="1" x14ac:dyDescent="0.2">
      <c r="A22" s="2359" t="s">
        <v>1917</v>
      </c>
      <c r="B22" s="2359"/>
      <c r="C22" s="2359"/>
      <c r="D22" s="2359"/>
      <c r="E22" s="2387"/>
      <c r="F22" s="788" t="s">
        <v>916</v>
      </c>
      <c r="G22" s="781"/>
      <c r="H22" s="763"/>
      <c r="I22" s="763"/>
      <c r="J22" s="796"/>
      <c r="K22" s="764"/>
    </row>
    <row r="23" spans="1:11" ht="13.5" thickBot="1" x14ac:dyDescent="0.25">
      <c r="A23" s="2380" t="s">
        <v>961</v>
      </c>
      <c r="B23" s="2379"/>
      <c r="C23" s="2379"/>
      <c r="D23" s="2379"/>
      <c r="E23" s="2379"/>
      <c r="F23" s="1775"/>
      <c r="G23" s="1772">
        <f>SUM(G14:G16,G21,G22)</f>
        <v>0</v>
      </c>
      <c r="H23" s="1772">
        <f>SUM(H14:H16,H21,H22)</f>
        <v>144464</v>
      </c>
      <c r="I23" s="1772">
        <f>SUM(I14:I16,I21,I22)</f>
        <v>0</v>
      </c>
      <c r="J23" s="1772">
        <f>SUM(J14:J16,J21,J22)</f>
        <v>32359</v>
      </c>
      <c r="K23" s="1772">
        <f>SUM(K14:K16,K21,K22)</f>
        <v>63332</v>
      </c>
    </row>
    <row r="24" spans="1:11" ht="14.25" thickTop="1" thickBot="1" x14ac:dyDescent="0.25">
      <c r="A24" s="2380" t="s">
        <v>2020</v>
      </c>
      <c r="B24" s="2379"/>
      <c r="C24" s="2379"/>
      <c r="D24" s="2379"/>
      <c r="E24" s="2379"/>
      <c r="F24" s="1776"/>
      <c r="G24" s="1777">
        <f>SUM(G3,G12)-G23</f>
        <v>0</v>
      </c>
      <c r="H24" s="1777">
        <f>SUM(H3,H12)-H23</f>
        <v>0</v>
      </c>
      <c r="I24" s="1777">
        <f>SUM(I3,I12)-I23</f>
        <v>0</v>
      </c>
      <c r="J24" s="1777">
        <f>SUM(J3,J12)-J23</f>
        <v>2384789</v>
      </c>
      <c r="K24" s="1777">
        <f>SUM(K3,K12)-K23</f>
        <v>0</v>
      </c>
    </row>
    <row r="25" spans="1:11" ht="13.5" thickTop="1" x14ac:dyDescent="0.2">
      <c r="A25" s="797" t="s">
        <v>439</v>
      </c>
      <c r="B25" s="798"/>
      <c r="C25" s="798"/>
      <c r="D25" s="798"/>
      <c r="E25" s="799"/>
      <c r="F25" s="800">
        <v>714</v>
      </c>
      <c r="G25" s="801"/>
      <c r="H25" s="801"/>
      <c r="I25" s="801"/>
      <c r="J25" s="796">
        <v>2384789</v>
      </c>
      <c r="K25" s="796"/>
    </row>
    <row r="26" spans="1:11" ht="13.5" thickBot="1" x14ac:dyDescent="0.25">
      <c r="A26" s="797" t="s">
        <v>359</v>
      </c>
      <c r="B26" s="798"/>
      <c r="C26" s="798"/>
      <c r="D26" s="798"/>
      <c r="E26" s="799"/>
      <c r="F26" s="800">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6" t="s">
        <v>2030</v>
      </c>
      <c r="B28" s="1897"/>
      <c r="C28" s="1897"/>
      <c r="D28" s="1897"/>
      <c r="E28" s="1898"/>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389"/>
      <c r="I31" s="2390"/>
      <c r="J31" s="2390"/>
      <c r="K31" s="2390"/>
    </row>
    <row r="32" spans="1:11" x14ac:dyDescent="0.2">
      <c r="A32" s="808"/>
      <c r="B32" s="237"/>
      <c r="C32" s="237"/>
      <c r="D32" s="237"/>
      <c r="E32" s="804"/>
      <c r="F32" s="810" t="s">
        <v>560</v>
      </c>
      <c r="G32" s="763"/>
      <c r="H32" s="2391"/>
      <c r="I32" s="2390"/>
      <c r="J32" s="2390"/>
      <c r="K32" s="2390"/>
    </row>
    <row r="33" spans="1:11" ht="1.5" customHeight="1" x14ac:dyDescent="0.2">
      <c r="A33" s="811" t="s">
        <v>1230</v>
      </c>
      <c r="B33" s="364"/>
      <c r="C33" s="364"/>
      <c r="D33" s="364"/>
      <c r="E33" s="364"/>
      <c r="F33" s="364"/>
      <c r="G33" s="812"/>
      <c r="H33" s="2391"/>
      <c r="I33" s="2390"/>
      <c r="J33" s="2390"/>
      <c r="K33" s="2390"/>
    </row>
    <row r="34" spans="1:11" x14ac:dyDescent="0.2">
      <c r="A34" s="813" t="s">
        <v>1918</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359" t="s">
        <v>561</v>
      </c>
      <c r="B41" s="2360"/>
      <c r="C41" s="2360"/>
      <c r="D41" s="2360"/>
      <c r="E41" s="2360"/>
      <c r="F41" s="2361"/>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50" t="s">
        <v>1912</v>
      </c>
      <c r="B46" s="408" t="s">
        <v>1772</v>
      </c>
    </row>
    <row r="47" spans="1:11" s="822" customFormat="1" ht="12.75" customHeight="1" x14ac:dyDescent="0.2">
      <c r="A47" s="820"/>
      <c r="B47" s="821" t="s">
        <v>1773</v>
      </c>
      <c r="E47" s="821"/>
      <c r="K47" s="823"/>
    </row>
    <row r="48" spans="1:11" ht="12.75" customHeight="1" x14ac:dyDescent="0.2">
      <c r="A48" s="1551" t="s">
        <v>1913</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98" t="s">
        <v>2029</v>
      </c>
      <c r="B1" s="2399"/>
      <c r="C1" s="2400"/>
      <c r="D1" s="825"/>
      <c r="E1" s="826"/>
      <c r="F1" s="826"/>
      <c r="G1" s="827"/>
      <c r="H1" s="828"/>
      <c r="I1" s="829"/>
      <c r="J1" s="2396"/>
      <c r="K1" s="2397"/>
      <c r="L1" s="2397"/>
    </row>
    <row r="2" spans="1:14" ht="69.75" customHeight="1" x14ac:dyDescent="0.2">
      <c r="A2" s="830" t="s">
        <v>1775</v>
      </c>
      <c r="B2" s="831" t="s">
        <v>395</v>
      </c>
      <c r="C2" s="832" t="s">
        <v>2024</v>
      </c>
      <c r="D2" s="832" t="s">
        <v>2021</v>
      </c>
      <c r="E2" s="832" t="s">
        <v>2022</v>
      </c>
      <c r="F2" s="832" t="s">
        <v>2023</v>
      </c>
      <c r="G2" s="832" t="s">
        <v>625</v>
      </c>
      <c r="H2" s="832" t="s">
        <v>2025</v>
      </c>
      <c r="I2" s="832" t="s">
        <v>2026</v>
      </c>
      <c r="J2" s="832" t="s">
        <v>2041</v>
      </c>
      <c r="K2" s="832" t="s">
        <v>2027</v>
      </c>
      <c r="L2" s="832" t="s">
        <v>2028</v>
      </c>
      <c r="M2" s="833"/>
      <c r="N2" s="833"/>
    </row>
    <row r="3" spans="1:14" ht="13.5" thickBot="1" x14ac:dyDescent="0.25">
      <c r="A3" s="1648" t="s">
        <v>947</v>
      </c>
      <c r="B3" s="1649">
        <v>210</v>
      </c>
      <c r="C3" s="834">
        <v>0</v>
      </c>
      <c r="D3" s="834">
        <v>0</v>
      </c>
      <c r="E3" s="834">
        <v>0</v>
      </c>
      <c r="F3" s="1774">
        <f>(C3+D3)-E3</f>
        <v>0</v>
      </c>
      <c r="G3" s="835"/>
      <c r="H3" s="834">
        <v>0</v>
      </c>
      <c r="I3" s="834">
        <v>0</v>
      </c>
      <c r="J3" s="834">
        <v>0</v>
      </c>
      <c r="K3" s="1783">
        <f>(H3+I3)-J3</f>
        <v>0</v>
      </c>
      <c r="L3" s="1783">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948</v>
      </c>
      <c r="B5" s="839">
        <v>221</v>
      </c>
      <c r="C5" s="840">
        <v>542305</v>
      </c>
      <c r="D5" s="840">
        <v>0</v>
      </c>
      <c r="E5" s="840">
        <v>0</v>
      </c>
      <c r="F5" s="1774">
        <f>(C5+D5)-E5</f>
        <v>542305</v>
      </c>
      <c r="G5" s="836"/>
      <c r="H5" s="841"/>
      <c r="I5" s="841"/>
      <c r="J5" s="841"/>
      <c r="K5" s="792"/>
      <c r="L5" s="1783">
        <f>F5-K5</f>
        <v>542305</v>
      </c>
    </row>
    <row r="6" spans="1:14" ht="14.25" thickTop="1" thickBot="1" x14ac:dyDescent="0.25">
      <c r="A6" s="777" t="s">
        <v>1178</v>
      </c>
      <c r="B6" s="839">
        <v>222</v>
      </c>
      <c r="C6" s="764">
        <v>0</v>
      </c>
      <c r="D6" s="764">
        <v>0</v>
      </c>
      <c r="E6" s="764">
        <v>0</v>
      </c>
      <c r="F6" s="1774">
        <f>(C6+D6)-E6</f>
        <v>0</v>
      </c>
      <c r="G6" s="836">
        <v>50</v>
      </c>
      <c r="H6" s="764">
        <v>0</v>
      </c>
      <c r="I6" s="764">
        <v>0</v>
      </c>
      <c r="J6" s="764">
        <v>0</v>
      </c>
      <c r="K6" s="1783">
        <f>(H6+I6)-J6</f>
        <v>0</v>
      </c>
      <c r="L6" s="1783">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1179</v>
      </c>
      <c r="B8" s="839">
        <v>231</v>
      </c>
      <c r="C8" s="843">
        <v>42388988</v>
      </c>
      <c r="D8" s="843">
        <v>14649038</v>
      </c>
      <c r="E8" s="843">
        <v>0</v>
      </c>
      <c r="F8" s="1774">
        <f>(C8+D8)-E8</f>
        <v>57038026</v>
      </c>
      <c r="G8" s="842">
        <v>50</v>
      </c>
      <c r="H8" s="764">
        <v>13894147</v>
      </c>
      <c r="I8" s="764">
        <v>1071119</v>
      </c>
      <c r="J8" s="764">
        <v>0</v>
      </c>
      <c r="K8" s="1783">
        <f>(H8+I8)-J8</f>
        <v>14965266</v>
      </c>
      <c r="L8" s="1783">
        <f>F8-K8</f>
        <v>42072760</v>
      </c>
    </row>
    <row r="9" spans="1:14" ht="14.25" thickTop="1" thickBot="1" x14ac:dyDescent="0.25">
      <c r="A9" s="777" t="s">
        <v>1180</v>
      </c>
      <c r="B9" s="839">
        <v>232</v>
      </c>
      <c r="C9" s="764">
        <v>0</v>
      </c>
      <c r="D9" s="764">
        <v>12010</v>
      </c>
      <c r="E9" s="764">
        <v>0</v>
      </c>
      <c r="F9" s="1774">
        <f>(C9+D9)-E9</f>
        <v>12010</v>
      </c>
      <c r="G9" s="842">
        <v>20</v>
      </c>
      <c r="H9" s="764">
        <v>0</v>
      </c>
      <c r="I9" s="764">
        <v>601</v>
      </c>
      <c r="J9" s="764">
        <v>0</v>
      </c>
      <c r="K9" s="1783">
        <f>(H9+I9)-J9</f>
        <v>601</v>
      </c>
      <c r="L9" s="1783">
        <f>F9-K9</f>
        <v>11409</v>
      </c>
    </row>
    <row r="10" spans="1:14" ht="24" thickTop="1" thickBot="1" x14ac:dyDescent="0.25">
      <c r="A10" s="844" t="s">
        <v>1181</v>
      </c>
      <c r="B10" s="839">
        <v>240</v>
      </c>
      <c r="C10" s="845">
        <v>587130</v>
      </c>
      <c r="D10" s="845">
        <v>54512</v>
      </c>
      <c r="E10" s="845">
        <v>0</v>
      </c>
      <c r="F10" s="1778">
        <f>(C10+D10)-E10</f>
        <v>641642</v>
      </c>
      <c r="G10" s="842">
        <v>20</v>
      </c>
      <c r="H10" s="846">
        <v>366905</v>
      </c>
      <c r="I10" s="846">
        <v>20963</v>
      </c>
      <c r="J10" s="846">
        <v>0</v>
      </c>
      <c r="K10" s="1783">
        <f>(H10+I10)-J10</f>
        <v>387868</v>
      </c>
      <c r="L10" s="1783">
        <f>F10-K10</f>
        <v>253774</v>
      </c>
    </row>
    <row r="11" spans="1:14" ht="13.5" thickTop="1" x14ac:dyDescent="0.2">
      <c r="A11" s="1651" t="s">
        <v>1197</v>
      </c>
      <c r="B11" s="1649">
        <v>250</v>
      </c>
      <c r="C11" s="780"/>
      <c r="D11" s="780"/>
      <c r="E11" s="780"/>
      <c r="F11" s="772"/>
      <c r="G11" s="842"/>
      <c r="H11" s="780"/>
      <c r="I11" s="780"/>
      <c r="J11" s="780"/>
      <c r="K11" s="772"/>
      <c r="L11" s="772"/>
    </row>
    <row r="12" spans="1:14" ht="13.5" thickBot="1" x14ac:dyDescent="0.25">
      <c r="A12" s="847" t="s">
        <v>1182</v>
      </c>
      <c r="B12" s="839">
        <v>251</v>
      </c>
      <c r="C12" s="843">
        <v>2464498</v>
      </c>
      <c r="D12" s="843">
        <v>95497</v>
      </c>
      <c r="E12" s="843">
        <v>43173</v>
      </c>
      <c r="F12" s="1774">
        <f>(C12+D12)-E12</f>
        <v>2516822</v>
      </c>
      <c r="G12" s="842">
        <v>10</v>
      </c>
      <c r="H12" s="764">
        <v>1401296</v>
      </c>
      <c r="I12" s="764">
        <v>251685</v>
      </c>
      <c r="J12" s="764">
        <v>43173</v>
      </c>
      <c r="K12" s="1783">
        <f>(H12+I12)-J12</f>
        <v>1609808</v>
      </c>
      <c r="L12" s="1783">
        <f>F12-K12</f>
        <v>907014</v>
      </c>
    </row>
    <row r="13" spans="1:14" ht="14.25" thickTop="1" thickBot="1" x14ac:dyDescent="0.25">
      <c r="A13" s="847" t="s">
        <v>1183</v>
      </c>
      <c r="B13" s="839">
        <v>252</v>
      </c>
      <c r="C13" s="843">
        <v>170960</v>
      </c>
      <c r="D13" s="843">
        <v>24995</v>
      </c>
      <c r="E13" s="843">
        <v>130099</v>
      </c>
      <c r="F13" s="1774">
        <f>(C13+D13)-E13</f>
        <v>65856</v>
      </c>
      <c r="G13" s="842">
        <v>5</v>
      </c>
      <c r="H13" s="764">
        <v>157882</v>
      </c>
      <c r="I13" s="764">
        <v>13173</v>
      </c>
      <c r="J13" s="764">
        <v>130099</v>
      </c>
      <c r="K13" s="1783">
        <f>(H13+I13)-J13</f>
        <v>40956</v>
      </c>
      <c r="L13" s="1783">
        <f>F13-K13</f>
        <v>24900</v>
      </c>
    </row>
    <row r="14" spans="1:14" ht="14.25" thickTop="1" thickBot="1" x14ac:dyDescent="0.25">
      <c r="A14" s="847" t="s">
        <v>1184</v>
      </c>
      <c r="B14" s="839">
        <v>253</v>
      </c>
      <c r="C14" s="764">
        <v>63223</v>
      </c>
      <c r="D14" s="764">
        <v>0</v>
      </c>
      <c r="E14" s="764">
        <v>0</v>
      </c>
      <c r="F14" s="1774">
        <f>(C14+D14)-E14</f>
        <v>63223</v>
      </c>
      <c r="G14" s="842">
        <v>3</v>
      </c>
      <c r="H14" s="764">
        <v>63223</v>
      </c>
      <c r="I14" s="764">
        <v>0</v>
      </c>
      <c r="J14" s="764">
        <v>0</v>
      </c>
      <c r="K14" s="1783">
        <f>(H14+I14)-J14</f>
        <v>63223</v>
      </c>
      <c r="L14" s="1783">
        <f>F14-K14</f>
        <v>0</v>
      </c>
    </row>
    <row r="15" spans="1:14" ht="15" customHeight="1" thickTop="1" thickBot="1" x14ac:dyDescent="0.25">
      <c r="A15" s="1650" t="s">
        <v>548</v>
      </c>
      <c r="B15" s="1649">
        <v>260</v>
      </c>
      <c r="C15" s="843">
        <v>0</v>
      </c>
      <c r="D15" s="843">
        <v>504442</v>
      </c>
      <c r="E15" s="843">
        <v>0</v>
      </c>
      <c r="F15" s="1774">
        <f>(C15+D15)-E15</f>
        <v>504442</v>
      </c>
      <c r="G15" s="848" t="s">
        <v>916</v>
      </c>
      <c r="H15" s="780"/>
      <c r="I15" s="780"/>
      <c r="J15" s="780"/>
      <c r="K15" s="780"/>
      <c r="L15" s="1783">
        <f>F15-K15</f>
        <v>504442</v>
      </c>
    </row>
    <row r="16" spans="1:14" ht="15" customHeight="1" thickTop="1" thickBot="1" x14ac:dyDescent="0.25">
      <c r="A16" s="1779" t="s">
        <v>663</v>
      </c>
      <c r="B16" s="1780">
        <v>200</v>
      </c>
      <c r="C16" s="1774">
        <f>SUM(C3,C5:C6,C8:C10,C12:C15)</f>
        <v>46217104</v>
      </c>
      <c r="D16" s="1774">
        <f>SUM(D3,D5:D6,D8:D10,D12:D15)</f>
        <v>15340494</v>
      </c>
      <c r="E16" s="1774">
        <f>SUM(E3,E5:E6,E8:E10,E12:E15)</f>
        <v>173272</v>
      </c>
      <c r="F16" s="1774">
        <f>SUM(F3,F5:F6,F8:F10,F12:F15)</f>
        <v>61384326</v>
      </c>
      <c r="G16" s="842"/>
      <c r="H16" s="1774">
        <f>SUM(H3,H6,H8:H10,H12:H14,)</f>
        <v>15883453</v>
      </c>
      <c r="I16" s="1774">
        <f>SUM(I3,I6,I8:I10,I12:I14,)</f>
        <v>1357541</v>
      </c>
      <c r="J16" s="1774">
        <f>SUM(J3,J6,J8:J10,J12:J14,)</f>
        <v>173272</v>
      </c>
      <c r="K16" s="1774">
        <f>(H16+I16)-J16</f>
        <v>17067722</v>
      </c>
      <c r="L16" s="1774">
        <f>F16-K16</f>
        <v>44316604</v>
      </c>
    </row>
    <row r="17" spans="1:12" ht="15" customHeight="1" thickTop="1" thickBot="1" x14ac:dyDescent="0.25">
      <c r="A17" s="1652" t="s">
        <v>308</v>
      </c>
      <c r="B17" s="1649">
        <v>700</v>
      </c>
      <c r="C17" s="768"/>
      <c r="D17" s="768"/>
      <c r="E17" s="768"/>
      <c r="F17" s="1774">
        <f>SUM('Expenditures 15-22'!I114,'Expenditures 15-22'!I151,'Expenditures 15-22'!I210,'Expenditures 15-22'!I312,'Expenditures 15-22'!I342,'Expenditures 15-22'!I367)</f>
        <v>249867</v>
      </c>
      <c r="G17" s="836">
        <v>10</v>
      </c>
      <c r="H17" s="768"/>
      <c r="I17" s="1783">
        <f>F17/G17</f>
        <v>24986.7</v>
      </c>
      <c r="J17" s="768"/>
      <c r="K17" s="794"/>
      <c r="L17" s="794"/>
    </row>
    <row r="18" spans="1:12" ht="14.25" thickTop="1" thickBot="1" x14ac:dyDescent="0.25">
      <c r="A18" s="1781" t="s">
        <v>705</v>
      </c>
      <c r="B18" s="1782"/>
      <c r="C18" s="770"/>
      <c r="D18" s="770"/>
      <c r="E18" s="770"/>
      <c r="F18" s="849"/>
      <c r="G18" s="850"/>
      <c r="H18" s="772"/>
      <c r="I18" s="1774">
        <f>SUM(I16,I17)</f>
        <v>1382527.7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X24" sqref="X24"/>
      <selection pane="bottomLeft" activeCell="A29" sqref="A29:XFD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04" t="s">
        <v>1697</v>
      </c>
      <c r="B1" s="2405"/>
      <c r="C1" s="2405"/>
      <c r="D1" s="2405"/>
      <c r="E1" s="2405"/>
      <c r="F1" s="2406"/>
      <c r="G1" s="854"/>
    </row>
    <row r="2" spans="1:7" ht="15" customHeight="1" thickBot="1" x14ac:dyDescent="0.25">
      <c r="A2" s="2407" t="s">
        <v>497</v>
      </c>
      <c r="B2" s="2408"/>
      <c r="C2" s="2408"/>
      <c r="D2" s="2408"/>
      <c r="E2" s="2408"/>
      <c r="F2" s="2409"/>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410"/>
      <c r="B5" s="2411"/>
      <c r="C5" s="2411"/>
      <c r="D5" s="2411"/>
      <c r="E5" s="2411"/>
      <c r="F5" s="2411"/>
    </row>
    <row r="6" spans="1:7" ht="13.5" customHeight="1" thickBot="1" x14ac:dyDescent="0.25">
      <c r="A6" s="2401" t="s">
        <v>1165</v>
      </c>
      <c r="B6" s="2402"/>
      <c r="C6" s="2402"/>
      <c r="D6" s="2402"/>
      <c r="E6" s="2402"/>
      <c r="F6" s="2403"/>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24">
        <f>'Expenditures 15-22'!K114</f>
        <v>17057122</v>
      </c>
      <c r="G8" s="864"/>
    </row>
    <row r="9" spans="1:7" x14ac:dyDescent="0.2">
      <c r="A9" s="868" t="s">
        <v>479</v>
      </c>
      <c r="B9" s="869" t="s">
        <v>1983</v>
      </c>
      <c r="C9" s="870"/>
      <c r="D9" s="868" t="s">
        <v>521</v>
      </c>
      <c r="E9" s="867"/>
      <c r="F9" s="1925">
        <f>'Expenditures 15-22'!K151</f>
        <v>2088149</v>
      </c>
      <c r="G9" s="871"/>
    </row>
    <row r="10" spans="1:7" x14ac:dyDescent="0.2">
      <c r="A10" s="868" t="s">
        <v>519</v>
      </c>
      <c r="B10" s="869" t="s">
        <v>1984</v>
      </c>
      <c r="C10" s="870"/>
      <c r="D10" s="868" t="s">
        <v>521</v>
      </c>
      <c r="E10" s="867"/>
      <c r="F10" s="1925">
        <f>'Expenditures 15-22'!K174</f>
        <v>3238347</v>
      </c>
      <c r="G10" s="871"/>
    </row>
    <row r="11" spans="1:7" x14ac:dyDescent="0.2">
      <c r="A11" s="868" t="s">
        <v>480</v>
      </c>
      <c r="B11" s="869" t="s">
        <v>1985</v>
      </c>
      <c r="C11" s="870"/>
      <c r="D11" s="868" t="s">
        <v>521</v>
      </c>
      <c r="E11" s="867"/>
      <c r="F11" s="1925">
        <f>'Expenditures 15-22'!K210</f>
        <v>1878181</v>
      </c>
      <c r="G11" s="871"/>
    </row>
    <row r="12" spans="1:7" x14ac:dyDescent="0.2">
      <c r="A12" s="868" t="s">
        <v>481</v>
      </c>
      <c r="B12" s="869" t="s">
        <v>1986</v>
      </c>
      <c r="C12" s="870"/>
      <c r="D12" s="868" t="s">
        <v>521</v>
      </c>
      <c r="E12" s="867"/>
      <c r="F12" s="1925">
        <f>'Expenditures 15-22'!K295</f>
        <v>649499</v>
      </c>
      <c r="G12" s="871"/>
    </row>
    <row r="13" spans="1:7" x14ac:dyDescent="0.2">
      <c r="A13" s="868" t="s">
        <v>108</v>
      </c>
      <c r="B13" s="869" t="s">
        <v>1987</v>
      </c>
      <c r="C13" s="870"/>
      <c r="D13" s="868" t="s">
        <v>521</v>
      </c>
      <c r="E13" s="867"/>
      <c r="F13" s="1925">
        <f>'Expenditures 15-22'!K342</f>
        <v>575405</v>
      </c>
      <c r="G13" s="872"/>
    </row>
    <row r="14" spans="1:7" ht="12" customHeight="1" thickBot="1" x14ac:dyDescent="0.25">
      <c r="A14" s="1784"/>
      <c r="B14" s="1785"/>
      <c r="C14" s="1786"/>
      <c r="D14" s="1787" t="s">
        <v>521</v>
      </c>
      <c r="E14" s="1788" t="s">
        <v>1014</v>
      </c>
      <c r="F14" s="1789">
        <f>SUM(F8:F13)</f>
        <v>25486703</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26">
        <f>'Revenues 9-14'!F43</f>
        <v>0</v>
      </c>
      <c r="G18" s="864"/>
    </row>
    <row r="19" spans="1:7" x14ac:dyDescent="0.2">
      <c r="A19" s="868" t="s">
        <v>480</v>
      </c>
      <c r="B19" s="869" t="s">
        <v>1068</v>
      </c>
      <c r="C19" s="876">
        <f>'Revenues 9-14'!B47</f>
        <v>1421</v>
      </c>
      <c r="D19" s="877" t="str">
        <f>'Revenues 9-14'!A47</f>
        <v>Summer Sch - Transp. Fees from Pupils or Parents (In State)</v>
      </c>
      <c r="E19" s="878"/>
      <c r="F19" s="1927">
        <f>'Revenues 9-14'!F47</f>
        <v>0</v>
      </c>
      <c r="G19" s="864"/>
    </row>
    <row r="20" spans="1:7" x14ac:dyDescent="0.2">
      <c r="A20" s="868" t="s">
        <v>480</v>
      </c>
      <c r="B20" s="869" t="s">
        <v>1069</v>
      </c>
      <c r="C20" s="874">
        <f>'Revenues 9-14'!B48</f>
        <v>1422</v>
      </c>
      <c r="D20" s="875" t="str">
        <f>'Revenues 9-14'!A48</f>
        <v>Summer Sch - Transp. Fees from Other Districts (In State)</v>
      </c>
      <c r="E20" s="867"/>
      <c r="F20" s="1928">
        <f>'Revenues 9-14'!F48</f>
        <v>0</v>
      </c>
      <c r="G20" s="864"/>
    </row>
    <row r="21" spans="1:7" x14ac:dyDescent="0.2">
      <c r="A21" s="868" t="s">
        <v>480</v>
      </c>
      <c r="B21" s="869" t="s">
        <v>1070</v>
      </c>
      <c r="C21" s="876">
        <f>'Revenues 9-14'!B49</f>
        <v>1423</v>
      </c>
      <c r="D21" s="875" t="str">
        <f>'Revenues 9-14'!A49</f>
        <v>Summer Sch - Transp. Fees from Other Sources (In State)</v>
      </c>
      <c r="E21" s="867"/>
      <c r="F21" s="1929">
        <f>'Revenues 9-14'!F49</f>
        <v>0</v>
      </c>
      <c r="G21" s="864"/>
    </row>
    <row r="22" spans="1:7" x14ac:dyDescent="0.2">
      <c r="A22" s="868" t="s">
        <v>480</v>
      </c>
      <c r="B22" s="869" t="s">
        <v>1071</v>
      </c>
      <c r="C22" s="876">
        <f>'Revenues 9-14'!B50</f>
        <v>1424</v>
      </c>
      <c r="D22" s="875" t="str">
        <f>'Revenues 9-14'!A50</f>
        <v>Summer Sch - Transp. Fees from Other Sources (Out of State)</v>
      </c>
      <c r="E22" s="867"/>
      <c r="F22" s="1929">
        <f>'Revenues 9-14'!F50</f>
        <v>0</v>
      </c>
      <c r="G22" s="864"/>
    </row>
    <row r="23" spans="1:7" x14ac:dyDescent="0.2">
      <c r="A23" s="868" t="s">
        <v>480</v>
      </c>
      <c r="B23" s="869" t="s">
        <v>1072</v>
      </c>
      <c r="C23" s="874">
        <f>'Revenues 9-14'!B52</f>
        <v>1432</v>
      </c>
      <c r="D23" s="875" t="str">
        <f>'Revenues 9-14'!A52</f>
        <v>CTE - Transp Fees from Other Districts (In State)</v>
      </c>
      <c r="E23" s="867"/>
      <c r="F23" s="1929">
        <f>'Revenues 9-14'!F52</f>
        <v>0</v>
      </c>
      <c r="G23" s="864"/>
    </row>
    <row r="24" spans="1:7" x14ac:dyDescent="0.2">
      <c r="A24" s="868" t="s">
        <v>480</v>
      </c>
      <c r="B24" s="869" t="s">
        <v>1073</v>
      </c>
      <c r="C24" s="874">
        <f>'Revenues 9-14'!B56</f>
        <v>1442</v>
      </c>
      <c r="D24" s="875" t="str">
        <f>'Revenues 9-14'!A56</f>
        <v>Special Ed - Transp Fees from Other Districts (In State)</v>
      </c>
      <c r="E24" s="867"/>
      <c r="F24" s="1929">
        <f>'Revenues 9-14'!F56</f>
        <v>0</v>
      </c>
      <c r="G24" s="864"/>
    </row>
    <row r="25" spans="1:7" x14ac:dyDescent="0.2">
      <c r="A25" s="868" t="s">
        <v>480</v>
      </c>
      <c r="B25" s="869" t="s">
        <v>1074</v>
      </c>
      <c r="C25" s="874">
        <f>'Revenues 9-14'!B59</f>
        <v>1451</v>
      </c>
      <c r="D25" s="875" t="str">
        <f>'Revenues 9-14'!A59</f>
        <v>Adult - Transp Fees from Pupils or Parents (In State)</v>
      </c>
      <c r="E25" s="867"/>
      <c r="F25" s="1929">
        <f>'Revenues 9-14'!F59</f>
        <v>0</v>
      </c>
      <c r="G25" s="864"/>
    </row>
    <row r="26" spans="1:7" x14ac:dyDescent="0.2">
      <c r="A26" s="868" t="s">
        <v>480</v>
      </c>
      <c r="B26" s="869" t="s">
        <v>1075</v>
      </c>
      <c r="C26" s="874">
        <f>'Revenues 9-14'!B60</f>
        <v>1452</v>
      </c>
      <c r="D26" s="875" t="str">
        <f>'Revenues 9-14'!A60</f>
        <v>Adult - Transp Fees from Other Districts (In State)</v>
      </c>
      <c r="E26" s="867"/>
      <c r="F26" s="1929">
        <f>'Revenues 9-14'!F60</f>
        <v>0</v>
      </c>
      <c r="G26" s="864"/>
    </row>
    <row r="27" spans="1:7" x14ac:dyDescent="0.2">
      <c r="A27" s="868" t="s">
        <v>480</v>
      </c>
      <c r="B27" s="869" t="s">
        <v>1076</v>
      </c>
      <c r="C27" s="874">
        <f>'Revenues 9-14'!B61</f>
        <v>1453</v>
      </c>
      <c r="D27" s="875" t="str">
        <f>'Revenues 9-14'!A61</f>
        <v>Adult - Transp Fees from Other Sources (In State)</v>
      </c>
      <c r="E27" s="867"/>
      <c r="F27" s="1929">
        <f>'Revenues 9-14'!F61</f>
        <v>0</v>
      </c>
      <c r="G27" s="864"/>
    </row>
    <row r="28" spans="1:7" x14ac:dyDescent="0.2">
      <c r="A28" s="868" t="s">
        <v>480</v>
      </c>
      <c r="B28" s="869" t="s">
        <v>1077</v>
      </c>
      <c r="C28" s="874">
        <f>'Revenues 9-14'!B62</f>
        <v>1454</v>
      </c>
      <c r="D28" s="875" t="str">
        <f>'Revenues 9-14'!A62</f>
        <v>Adult - Transp Fees from Other Sources (Out of State)</v>
      </c>
      <c r="E28" s="867"/>
      <c r="F28" s="1929">
        <f>'Revenues 9-14'!F62</f>
        <v>0</v>
      </c>
      <c r="G28" s="864"/>
    </row>
    <row r="29" spans="1:7" x14ac:dyDescent="0.2">
      <c r="A29" s="868" t="s">
        <v>1158</v>
      </c>
      <c r="B29" s="869" t="s">
        <v>1681</v>
      </c>
      <c r="C29" s="879">
        <f>'Revenues 9-14'!B148</f>
        <v>3410</v>
      </c>
      <c r="D29" s="880" t="str">
        <f>'Revenues 9-14'!A148</f>
        <v>Adult Ed (from ICCB)</v>
      </c>
      <c r="E29" s="867"/>
      <c r="F29" s="1929">
        <f>SUM('Revenues 9-14'!D148,F149)</f>
        <v>0</v>
      </c>
      <c r="G29" s="864"/>
    </row>
    <row r="30" spans="1:7" x14ac:dyDescent="0.2">
      <c r="A30" s="868" t="s">
        <v>1158</v>
      </c>
      <c r="B30" s="869" t="s">
        <v>860</v>
      </c>
      <c r="C30" s="879">
        <f>'Revenues 9-14'!B149</f>
        <v>3499</v>
      </c>
      <c r="D30" s="880" t="str">
        <f>'Revenues 9-14'!A149</f>
        <v>Adult Ed - Other (Describe &amp; Itemize)</v>
      </c>
      <c r="E30" s="867"/>
      <c r="F30" s="1930">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29">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29">
        <f>SUM('Revenues 9-14'!D219,'Revenues 9-14'!F219)</f>
        <v>0</v>
      </c>
      <c r="G32" s="864"/>
    </row>
    <row r="33" spans="1:7" x14ac:dyDescent="0.2">
      <c r="A33" s="868" t="s">
        <v>479</v>
      </c>
      <c r="B33" s="869" t="s">
        <v>800</v>
      </c>
      <c r="C33" s="874">
        <f>'Revenues 9-14'!B229</f>
        <v>4810</v>
      </c>
      <c r="D33" s="882" t="str">
        <f>'Revenues 9-14'!A229</f>
        <v>Federal - Adult Education</v>
      </c>
      <c r="E33" s="867"/>
      <c r="F33" s="1929">
        <f>'Revenues 9-14'!D229</f>
        <v>0</v>
      </c>
      <c r="G33" s="864"/>
    </row>
    <row r="34" spans="1:7" x14ac:dyDescent="0.2">
      <c r="A34" s="868" t="s">
        <v>478</v>
      </c>
      <c r="B34" s="868" t="s">
        <v>1544</v>
      </c>
      <c r="C34" s="885" t="str">
        <f>'Expenditures 15-22'!B7</f>
        <v>1125</v>
      </c>
      <c r="D34" s="886" t="str">
        <f>'Expenditures 15-22'!A7</f>
        <v>Pre-K Programs</v>
      </c>
      <c r="E34" s="867"/>
      <c r="F34" s="1929">
        <f>'Expenditures 15-22'!K7-SUM('Expenditures 15-22'!G7,'Expenditures 15-22'!I7)</f>
        <v>75711</v>
      </c>
      <c r="G34" s="864"/>
    </row>
    <row r="35" spans="1:7" x14ac:dyDescent="0.2">
      <c r="A35" s="868" t="s">
        <v>478</v>
      </c>
      <c r="B35" s="868" t="s">
        <v>1545</v>
      </c>
      <c r="C35" s="885" t="str">
        <f>'Expenditures 15-22'!B9</f>
        <v>1225</v>
      </c>
      <c r="D35" s="886" t="str">
        <f>'Expenditures 15-22'!A9</f>
        <v>Special Education Programs Pre-K</v>
      </c>
      <c r="E35" s="867"/>
      <c r="F35" s="1929">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929">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29">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29">
        <f>'Expenditures 15-22'!K15-SUM('Expenditures 15-22'!G15,'Expenditures 15-22'!I15)</f>
        <v>4968</v>
      </c>
      <c r="G38" s="864"/>
    </row>
    <row r="39" spans="1:7" x14ac:dyDescent="0.2">
      <c r="A39" s="868" t="s">
        <v>478</v>
      </c>
      <c r="B39" s="868" t="s">
        <v>119</v>
      </c>
      <c r="C39" s="885" t="str">
        <f>'Expenditures 15-22'!B20</f>
        <v>1910</v>
      </c>
      <c r="D39" s="887" t="str">
        <f>'Expenditures 15-22'!A20</f>
        <v>Pre-K Programs - Private Tuition</v>
      </c>
      <c r="E39" s="867"/>
      <c r="F39" s="1929">
        <f>'Expenditures 15-22'!K20</f>
        <v>0</v>
      </c>
      <c r="G39" s="864"/>
    </row>
    <row r="40" spans="1:7" x14ac:dyDescent="0.2">
      <c r="A40" s="868" t="s">
        <v>478</v>
      </c>
      <c r="B40" s="868" t="s">
        <v>120</v>
      </c>
      <c r="C40" s="885" t="str">
        <f>'Expenditures 15-22'!B21</f>
        <v>1911</v>
      </c>
      <c r="D40" s="887" t="str">
        <f>'Expenditures 15-22'!A21</f>
        <v>Regular K-12 Programs - Private Tuition</v>
      </c>
      <c r="E40" s="867"/>
      <c r="F40" s="1929">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29">
        <f>'Expenditures 15-22'!K22</f>
        <v>0</v>
      </c>
      <c r="G41" s="864"/>
    </row>
    <row r="42" spans="1:7" x14ac:dyDescent="0.2">
      <c r="A42" s="868" t="s">
        <v>478</v>
      </c>
      <c r="B42" s="868" t="s">
        <v>122</v>
      </c>
      <c r="C42" s="888" t="str">
        <f>'Expenditures 15-22'!B23</f>
        <v>1913</v>
      </c>
      <c r="D42" s="887" t="str">
        <f>'Expenditures 15-22'!A23</f>
        <v>Special Education Programs Pre-K - Tuition</v>
      </c>
      <c r="E42" s="867"/>
      <c r="F42" s="1929">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29">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29">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29">
        <f>'Expenditures 15-22'!K26</f>
        <v>0</v>
      </c>
      <c r="G45" s="864"/>
    </row>
    <row r="46" spans="1:7" x14ac:dyDescent="0.2">
      <c r="A46" s="868" t="s">
        <v>478</v>
      </c>
      <c r="B46" s="868" t="s">
        <v>126</v>
      </c>
      <c r="C46" s="885" t="str">
        <f>'Expenditures 15-22'!B27</f>
        <v>1917</v>
      </c>
      <c r="D46" s="887" t="str">
        <f>'Expenditures 15-22'!A27</f>
        <v>CTE Programs - Private Tuition</v>
      </c>
      <c r="E46" s="867"/>
      <c r="F46" s="1929">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29">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29">
        <f>'Expenditures 15-22'!K29</f>
        <v>0</v>
      </c>
      <c r="G48" s="864"/>
    </row>
    <row r="49" spans="1:7" x14ac:dyDescent="0.2">
      <c r="A49" s="868" t="s">
        <v>478</v>
      </c>
      <c r="B49" s="868" t="s">
        <v>129</v>
      </c>
      <c r="C49" s="885" t="str">
        <f>'Expenditures 15-22'!B30</f>
        <v>1920</v>
      </c>
      <c r="D49" s="887" t="str">
        <f>'Expenditures 15-22'!A30</f>
        <v>Gifted Programs - Private Tuition</v>
      </c>
      <c r="E49" s="867"/>
      <c r="F49" s="1929">
        <f>'Expenditures 15-22'!K30</f>
        <v>0</v>
      </c>
      <c r="G49" s="864"/>
    </row>
    <row r="50" spans="1:7" x14ac:dyDescent="0.2">
      <c r="A50" s="868" t="s">
        <v>478</v>
      </c>
      <c r="B50" s="868" t="s">
        <v>130</v>
      </c>
      <c r="C50" s="885" t="str">
        <f>'Expenditures 15-22'!B31</f>
        <v>1921</v>
      </c>
      <c r="D50" s="887" t="str">
        <f>'Expenditures 15-22'!A31</f>
        <v>Bilingual Programs - Private Tuition</v>
      </c>
      <c r="E50" s="867"/>
      <c r="F50" s="1929">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29">
        <f>'Expenditures 15-22'!K32</f>
        <v>0</v>
      </c>
      <c r="G51" s="864"/>
    </row>
    <row r="52" spans="1:7" x14ac:dyDescent="0.2">
      <c r="A52" s="868" t="s">
        <v>478</v>
      </c>
      <c r="B52" s="868" t="s">
        <v>1549</v>
      </c>
      <c r="C52" s="888" t="str">
        <f>'Expenditures 15-22'!B75</f>
        <v>3000</v>
      </c>
      <c r="D52" s="887" t="s">
        <v>468</v>
      </c>
      <c r="E52" s="867"/>
      <c r="F52" s="1929">
        <f>'Expenditures 15-22'!K75-SUM('Expenditures 15-22'!G75,'Expenditures 15-22'!I75)</f>
        <v>143098</v>
      </c>
      <c r="G52" s="864"/>
    </row>
    <row r="53" spans="1:7" x14ac:dyDescent="0.2">
      <c r="A53" s="868" t="s">
        <v>478</v>
      </c>
      <c r="B53" s="868" t="s">
        <v>1550</v>
      </c>
      <c r="C53" s="888">
        <f>'Expenditures 15-22'!B102</f>
        <v>4000</v>
      </c>
      <c r="D53" s="887" t="str">
        <f>'Expenditures 15-22'!A102</f>
        <v>Total Payments to Other Govt Units</v>
      </c>
      <c r="E53" s="867"/>
      <c r="F53" s="1929">
        <f>'Expenditures 15-22'!K102</f>
        <v>1232140</v>
      </c>
      <c r="G53" s="864"/>
    </row>
    <row r="54" spans="1:7" x14ac:dyDescent="0.2">
      <c r="A54" s="868" t="s">
        <v>478</v>
      </c>
      <c r="B54" s="868" t="s">
        <v>1551</v>
      </c>
      <c r="C54" s="888" t="s">
        <v>1038</v>
      </c>
      <c r="D54" s="884" t="s">
        <v>1156</v>
      </c>
      <c r="E54" s="867"/>
      <c r="F54" s="1929">
        <f>'Expenditures 15-22'!G114</f>
        <v>50008</v>
      </c>
      <c r="G54" s="864"/>
    </row>
    <row r="55" spans="1:7" x14ac:dyDescent="0.2">
      <c r="A55" s="868" t="s">
        <v>478</v>
      </c>
      <c r="B55" s="868" t="s">
        <v>1552</v>
      </c>
      <c r="C55" s="888" t="s">
        <v>1038</v>
      </c>
      <c r="D55" s="884" t="s">
        <v>308</v>
      </c>
      <c r="E55" s="867"/>
      <c r="F55" s="1929">
        <f>'Expenditures 15-22'!I114</f>
        <v>213779</v>
      </c>
      <c r="G55" s="864"/>
    </row>
    <row r="56" spans="1:7" x14ac:dyDescent="0.2">
      <c r="A56" s="868" t="s">
        <v>479</v>
      </c>
      <c r="B56" s="868" t="s">
        <v>1553</v>
      </c>
      <c r="C56" s="885" t="str">
        <f>'Expenditures 15-22'!B130</f>
        <v>3000</v>
      </c>
      <c r="D56" s="891" t="s">
        <v>468</v>
      </c>
      <c r="E56" s="867"/>
      <c r="F56" s="1929">
        <f>'Expenditures 15-22'!K130-SUM('Expenditures 15-22'!G130+'Expenditures 15-22'!I130)</f>
        <v>0</v>
      </c>
      <c r="G56" s="864"/>
    </row>
    <row r="57" spans="1:7" x14ac:dyDescent="0.2">
      <c r="A57" s="868" t="s">
        <v>479</v>
      </c>
      <c r="B57" s="868" t="s">
        <v>1988</v>
      </c>
      <c r="C57" s="888">
        <f>'Expenditures 15-22'!B139</f>
        <v>4000</v>
      </c>
      <c r="D57" s="886" t="str">
        <f>'Expenditures 15-22'!A139</f>
        <v>Total Payments to Other Govt Units</v>
      </c>
      <c r="E57" s="867"/>
      <c r="F57" s="1929">
        <f>'Expenditures 15-22'!K139</f>
        <v>0</v>
      </c>
      <c r="G57" s="864"/>
    </row>
    <row r="58" spans="1:7" x14ac:dyDescent="0.2">
      <c r="A58" s="868" t="s">
        <v>479</v>
      </c>
      <c r="B58" s="868" t="s">
        <v>1989</v>
      </c>
      <c r="C58" s="885" t="s">
        <v>1038</v>
      </c>
      <c r="D58" s="884" t="s">
        <v>1156</v>
      </c>
      <c r="E58" s="867"/>
      <c r="F58" s="1931">
        <f>'Expenditures 15-22'!G151</f>
        <v>80340</v>
      </c>
      <c r="G58" s="864"/>
    </row>
    <row r="59" spans="1:7" x14ac:dyDescent="0.2">
      <c r="A59" s="892" t="s">
        <v>479</v>
      </c>
      <c r="B59" s="855" t="s">
        <v>1990</v>
      </c>
      <c r="C59" s="893" t="s">
        <v>1038</v>
      </c>
      <c r="D59" s="855" t="s">
        <v>308</v>
      </c>
      <c r="F59" s="1932">
        <f>'Expenditures 15-22'!I151</f>
        <v>0</v>
      </c>
      <c r="G59" s="864"/>
    </row>
    <row r="60" spans="1:7" x14ac:dyDescent="0.2">
      <c r="A60" s="892" t="s">
        <v>519</v>
      </c>
      <c r="B60" s="855" t="s">
        <v>1991</v>
      </c>
      <c r="C60" s="893">
        <v>4000</v>
      </c>
      <c r="D60" s="855" t="s">
        <v>329</v>
      </c>
      <c r="F60" s="1930">
        <f>'Expenditures 15-22'!K160</f>
        <v>0</v>
      </c>
      <c r="G60" s="864"/>
    </row>
    <row r="61" spans="1:7" x14ac:dyDescent="0.2">
      <c r="A61" s="894" t="s">
        <v>519</v>
      </c>
      <c r="B61" s="894" t="s">
        <v>1992</v>
      </c>
      <c r="C61" s="895" t="str">
        <f>'Expenditures 15-22'!B170</f>
        <v>5300</v>
      </c>
      <c r="D61" s="896" t="s">
        <v>328</v>
      </c>
      <c r="E61" s="878"/>
      <c r="F61" s="1929">
        <f>'Expenditures 15-22'!K170</f>
        <v>1813211</v>
      </c>
      <c r="G61" s="864"/>
    </row>
    <row r="62" spans="1:7" x14ac:dyDescent="0.2">
      <c r="A62" s="868" t="s">
        <v>480</v>
      </c>
      <c r="B62" s="868" t="s">
        <v>1993</v>
      </c>
      <c r="C62" s="885">
        <f>'Expenditures 15-22'!B185</f>
        <v>3000</v>
      </c>
      <c r="D62" s="875" t="s">
        <v>468</v>
      </c>
      <c r="E62" s="867"/>
      <c r="F62" s="1929">
        <f>'Expenditures 15-22'!K185-SUM('Expenditures 15-22'!G185,'Expenditures 15-22'!I185)</f>
        <v>0</v>
      </c>
      <c r="G62" s="864"/>
    </row>
    <row r="63" spans="1:7" x14ac:dyDescent="0.2">
      <c r="A63" s="868" t="s">
        <v>480</v>
      </c>
      <c r="B63" s="868" t="s">
        <v>1994</v>
      </c>
      <c r="C63" s="885" t="str">
        <f>'Expenditures 15-22'!B196</f>
        <v>4000</v>
      </c>
      <c r="D63" s="886" t="str">
        <f>'Expenditures 15-22'!A196</f>
        <v>Total Payments to Other Govt Units</v>
      </c>
      <c r="E63" s="867"/>
      <c r="F63" s="1929">
        <f>'Expenditures 15-22'!K196</f>
        <v>0</v>
      </c>
      <c r="G63" s="864"/>
    </row>
    <row r="64" spans="1:7" x14ac:dyDescent="0.2">
      <c r="A64" s="894" t="s">
        <v>480</v>
      </c>
      <c r="B64" s="894" t="s">
        <v>1995</v>
      </c>
      <c r="C64" s="895" t="str">
        <f>'Expenditures 15-22'!B206</f>
        <v>5300</v>
      </c>
      <c r="D64" s="891" t="s">
        <v>328</v>
      </c>
      <c r="E64" s="867"/>
      <c r="F64" s="1929">
        <f>'Expenditures 15-22'!K206</f>
        <v>0</v>
      </c>
      <c r="G64" s="864"/>
    </row>
    <row r="65" spans="1:8" x14ac:dyDescent="0.2">
      <c r="A65" s="868" t="s">
        <v>480</v>
      </c>
      <c r="B65" s="868" t="s">
        <v>1996</v>
      </c>
      <c r="C65" s="885" t="s">
        <v>1038</v>
      </c>
      <c r="D65" s="884" t="s">
        <v>1156</v>
      </c>
      <c r="E65" s="867"/>
      <c r="F65" s="1929">
        <f>'Expenditures 15-22'!G210</f>
        <v>0</v>
      </c>
      <c r="G65" s="864"/>
    </row>
    <row r="66" spans="1:8" x14ac:dyDescent="0.2">
      <c r="A66" s="868" t="s">
        <v>480</v>
      </c>
      <c r="B66" s="868" t="s">
        <v>1997</v>
      </c>
      <c r="C66" s="885" t="s">
        <v>1038</v>
      </c>
      <c r="D66" s="884" t="s">
        <v>308</v>
      </c>
      <c r="E66" s="867"/>
      <c r="F66" s="1929">
        <f>'Expenditures 15-22'!I210</f>
        <v>0</v>
      </c>
      <c r="G66" s="864"/>
    </row>
    <row r="67" spans="1:8" x14ac:dyDescent="0.2">
      <c r="A67" s="868" t="s">
        <v>481</v>
      </c>
      <c r="B67" s="868" t="s">
        <v>1998</v>
      </c>
      <c r="C67" s="885" t="str">
        <f>'Expenditures 15-22'!B216</f>
        <v>1125</v>
      </c>
      <c r="D67" s="891" t="str">
        <f>'Expenditures 15-22'!A216</f>
        <v>Pre-K Programs</v>
      </c>
      <c r="E67" s="867"/>
      <c r="F67" s="1929">
        <f>'Expenditures 15-22'!K216</f>
        <v>3917</v>
      </c>
      <c r="G67" s="864"/>
    </row>
    <row r="68" spans="1:8" x14ac:dyDescent="0.2">
      <c r="A68" s="868" t="s">
        <v>481</v>
      </c>
      <c r="B68" s="868" t="s">
        <v>1554</v>
      </c>
      <c r="C68" s="885" t="str">
        <f>'Expenditures 15-22'!B218</f>
        <v>1225</v>
      </c>
      <c r="D68" s="891" t="str">
        <f>'Expenditures 15-22'!A218</f>
        <v>Special Education Programs - Pre-K</v>
      </c>
      <c r="E68" s="867"/>
      <c r="F68" s="1929">
        <f>'Expenditures 15-22'!K218</f>
        <v>0</v>
      </c>
      <c r="G68" s="864"/>
    </row>
    <row r="69" spans="1:8" x14ac:dyDescent="0.2">
      <c r="A69" s="868" t="s">
        <v>481</v>
      </c>
      <c r="B69" s="868" t="s">
        <v>1999</v>
      </c>
      <c r="C69" s="885" t="str">
        <f>'Expenditures 15-22'!B220</f>
        <v>1275</v>
      </c>
      <c r="D69" s="891" t="str">
        <f>'Expenditures 15-22'!A220</f>
        <v>Remedial and Supplemental Programs - Pre-K</v>
      </c>
      <c r="E69" s="867"/>
      <c r="F69" s="1929">
        <f>'Expenditures 15-22'!K220</f>
        <v>0</v>
      </c>
      <c r="G69" s="864"/>
    </row>
    <row r="70" spans="1:8" x14ac:dyDescent="0.2">
      <c r="A70" s="868" t="s">
        <v>481</v>
      </c>
      <c r="B70" s="868" t="s">
        <v>2000</v>
      </c>
      <c r="C70" s="885">
        <f>'Expenditures 15-22'!B221</f>
        <v>1300</v>
      </c>
      <c r="D70" s="886" t="str">
        <f>'Expenditures 15-22'!A221</f>
        <v>Adult/Continuing Education Programs</v>
      </c>
      <c r="E70" s="867"/>
      <c r="F70" s="1929">
        <f>'Expenditures 15-22'!K221</f>
        <v>0</v>
      </c>
      <c r="G70" s="864"/>
    </row>
    <row r="71" spans="1:8" x14ac:dyDescent="0.2">
      <c r="A71" s="868" t="s">
        <v>481</v>
      </c>
      <c r="B71" s="868" t="s">
        <v>2001</v>
      </c>
      <c r="C71" s="885">
        <f>'Expenditures 15-22'!B224</f>
        <v>1600</v>
      </c>
      <c r="D71" s="886" t="str">
        <f>'Expenditures 15-22'!A224</f>
        <v>Summer School Programs</v>
      </c>
      <c r="E71" s="867"/>
      <c r="F71" s="1929">
        <f>'Expenditures 15-22'!K224</f>
        <v>252</v>
      </c>
      <c r="G71" s="864"/>
    </row>
    <row r="72" spans="1:8" x14ac:dyDescent="0.2">
      <c r="A72" s="868" t="s">
        <v>481</v>
      </c>
      <c r="B72" s="868" t="s">
        <v>2002</v>
      </c>
      <c r="C72" s="885">
        <f>'Expenditures 15-22'!B280</f>
        <v>3000</v>
      </c>
      <c r="D72" s="875" t="s">
        <v>468</v>
      </c>
      <c r="E72" s="867"/>
      <c r="F72" s="1929">
        <f>'Expenditures 15-22'!K280</f>
        <v>16121</v>
      </c>
      <c r="G72" s="864"/>
    </row>
    <row r="73" spans="1:8" x14ac:dyDescent="0.2">
      <c r="A73" s="868" t="s">
        <v>481</v>
      </c>
      <c r="B73" s="868" t="s">
        <v>2003</v>
      </c>
      <c r="C73" s="885" t="str">
        <f>'Expenditures 15-22'!B285</f>
        <v>4000</v>
      </c>
      <c r="D73" s="886" t="str">
        <f>'Expenditures 15-22'!A285</f>
        <v>Total Payments to Other Govt Units</v>
      </c>
      <c r="E73" s="867"/>
      <c r="F73" s="1929">
        <f>'Expenditures 15-22'!K285</f>
        <v>34483</v>
      </c>
      <c r="G73" s="864"/>
    </row>
    <row r="74" spans="1:8" x14ac:dyDescent="0.2">
      <c r="A74" s="868" t="s">
        <v>455</v>
      </c>
      <c r="B74" s="868" t="s">
        <v>2004</v>
      </c>
      <c r="C74" s="885" t="s">
        <v>914</v>
      </c>
      <c r="D74" s="886" t="s">
        <v>1566</v>
      </c>
      <c r="E74" s="867"/>
      <c r="F74" s="1933">
        <f>'Expenditures 15-22'!K334</f>
        <v>19449</v>
      </c>
      <c r="G74" s="864"/>
    </row>
    <row r="75" spans="1:8" ht="5.25" customHeight="1" x14ac:dyDescent="0.2">
      <c r="A75" s="864"/>
      <c r="B75" s="874"/>
      <c r="C75" s="874"/>
      <c r="D75" s="864"/>
      <c r="E75" s="867"/>
      <c r="F75" s="881"/>
      <c r="G75" s="866"/>
    </row>
    <row r="76" spans="1:8" ht="12" thickBot="1" x14ac:dyDescent="0.25">
      <c r="A76" s="1784"/>
      <c r="B76" s="1790"/>
      <c r="C76" s="1786"/>
      <c r="D76" s="1791" t="s">
        <v>2005</v>
      </c>
      <c r="E76" s="1788" t="s">
        <v>1014</v>
      </c>
      <c r="F76" s="1792">
        <f>SUM(F18:F74)</f>
        <v>3687477</v>
      </c>
      <c r="G76" s="864"/>
    </row>
    <row r="77" spans="1:8" s="892" customFormat="1" ht="12" customHeight="1" thickTop="1" thickBot="1" x14ac:dyDescent="0.25">
      <c r="A77" s="1793"/>
      <c r="B77" s="1790"/>
      <c r="C77" s="1786"/>
      <c r="D77" s="1791" t="s">
        <v>2006</v>
      </c>
      <c r="E77" s="1788"/>
      <c r="F77" s="1794">
        <f>(F14-F76)</f>
        <v>21799226</v>
      </c>
      <c r="G77" s="868"/>
    </row>
    <row r="78" spans="1:8" s="892" customFormat="1" ht="12" customHeight="1" thickTop="1" x14ac:dyDescent="0.2">
      <c r="A78" s="1795"/>
      <c r="B78" s="1790"/>
      <c r="C78" s="1786"/>
      <c r="D78" s="1791" t="s">
        <v>2053</v>
      </c>
      <c r="E78" s="1788"/>
      <c r="F78" s="897">
        <v>2146.73</v>
      </c>
      <c r="G78" s="898"/>
      <c r="H78" s="868"/>
    </row>
    <row r="79" spans="1:8" s="892" customFormat="1" ht="12" customHeight="1" thickBot="1" x14ac:dyDescent="0.25">
      <c r="A79" s="1796"/>
      <c r="B79" s="1790"/>
      <c r="C79" s="1786"/>
      <c r="D79" s="1791" t="s">
        <v>2007</v>
      </c>
      <c r="E79" s="1788" t="s">
        <v>1014</v>
      </c>
      <c r="F79" s="1797">
        <f>IF(F78&gt;0,F77/F78," Complete Line 78")</f>
        <v>10154.619351292431</v>
      </c>
      <c r="G79" s="868"/>
    </row>
    <row r="80" spans="1:8" s="892" customFormat="1" ht="8.25" customHeight="1" thickTop="1" x14ac:dyDescent="0.2">
      <c r="A80" s="899"/>
      <c r="B80" s="868"/>
      <c r="C80" s="870"/>
      <c r="D80" s="900"/>
      <c r="E80" s="867"/>
      <c r="F80" s="901"/>
      <c r="G80" s="868"/>
    </row>
    <row r="81" spans="1:7" s="892" customFormat="1" ht="12" thickBot="1" x14ac:dyDescent="0.25">
      <c r="A81" s="2401" t="s">
        <v>1166</v>
      </c>
      <c r="B81" s="2402"/>
      <c r="C81" s="2402"/>
      <c r="D81" s="2402"/>
      <c r="E81" s="2402"/>
      <c r="F81" s="2403"/>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23">
        <f>'Revenues 9-14'!F42</f>
        <v>2276</v>
      </c>
      <c r="G84" s="911"/>
    </row>
    <row r="85" spans="1:7" x14ac:dyDescent="0.2">
      <c r="A85" s="907" t="s">
        <v>480</v>
      </c>
      <c r="B85" s="907" t="s">
        <v>192</v>
      </c>
      <c r="C85" s="912">
        <f>'Revenues 9-14'!B44</f>
        <v>1413</v>
      </c>
      <c r="D85" s="910" t="str">
        <f>'Revenues 9-14'!A44</f>
        <v>Regular - Transp Fees from Other Sources (In State)</v>
      </c>
      <c r="E85" s="905"/>
      <c r="F85" s="1803">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3">
        <f>'Revenues 9-14'!F45</f>
        <v>0</v>
      </c>
      <c r="G86" s="913"/>
    </row>
    <row r="87" spans="1:7" x14ac:dyDescent="0.2">
      <c r="A87" s="907" t="s">
        <v>480</v>
      </c>
      <c r="B87" s="907" t="s">
        <v>169</v>
      </c>
      <c r="C87" s="909">
        <v>1416</v>
      </c>
      <c r="D87" s="910" t="str">
        <f>'Revenues 9-14'!A46</f>
        <v>Regular Transp Fees from Other Sources (Out of State)</v>
      </c>
      <c r="E87" s="905"/>
      <c r="F87" s="1803">
        <f>'Revenues 9-14'!F46</f>
        <v>0</v>
      </c>
      <c r="G87" s="913"/>
    </row>
    <row r="88" spans="1:7" x14ac:dyDescent="0.2">
      <c r="A88" s="907" t="s">
        <v>480</v>
      </c>
      <c r="B88" s="907" t="s">
        <v>170</v>
      </c>
      <c r="C88" s="909">
        <f>'Revenues 9-14'!B51</f>
        <v>1431</v>
      </c>
      <c r="D88" s="910" t="str">
        <f>'Revenues 9-14'!A51</f>
        <v>CTE - Transp Fees from Pupils or Parents (In State)</v>
      </c>
      <c r="E88" s="905"/>
      <c r="F88" s="1803">
        <f>'Revenues 9-14'!F51</f>
        <v>0</v>
      </c>
      <c r="G88" s="913"/>
    </row>
    <row r="89" spans="1:7" x14ac:dyDescent="0.2">
      <c r="A89" s="907" t="s">
        <v>480</v>
      </c>
      <c r="B89" s="907" t="s">
        <v>171</v>
      </c>
      <c r="C89" s="909">
        <f>'Revenues 9-14'!B53</f>
        <v>1433</v>
      </c>
      <c r="D89" s="910" t="str">
        <f>'Revenues 9-14'!A53</f>
        <v>CTE - Transp Fees from Other Sources (In State)</v>
      </c>
      <c r="E89" s="905"/>
      <c r="F89" s="1803">
        <f>'Revenues 9-14'!F53</f>
        <v>0</v>
      </c>
      <c r="G89" s="913"/>
    </row>
    <row r="90" spans="1:7" x14ac:dyDescent="0.2">
      <c r="A90" s="907" t="s">
        <v>480</v>
      </c>
      <c r="B90" s="907" t="s">
        <v>172</v>
      </c>
      <c r="C90" s="909">
        <f>'Revenues 9-14'!B54</f>
        <v>1434</v>
      </c>
      <c r="D90" s="910" t="str">
        <f>'Revenues 9-14'!A54</f>
        <v>CTE - Transp Fees from Other Sources (Out of State)</v>
      </c>
      <c r="E90" s="905"/>
      <c r="F90" s="1803">
        <f>'Revenues 9-14'!F54</f>
        <v>0</v>
      </c>
      <c r="G90" s="913"/>
    </row>
    <row r="91" spans="1:7" x14ac:dyDescent="0.2">
      <c r="A91" s="907" t="s">
        <v>480</v>
      </c>
      <c r="B91" s="907" t="s">
        <v>173</v>
      </c>
      <c r="C91" s="914">
        <f>'Revenues 9-14'!B55</f>
        <v>1441</v>
      </c>
      <c r="D91" s="910" t="str">
        <f>'Revenues 9-14'!A55</f>
        <v>Special Ed - Transp Fees from Pupils or Parents (In State)</v>
      </c>
      <c r="E91" s="905"/>
      <c r="F91" s="1803">
        <f>'Revenues 9-14'!F55</f>
        <v>0</v>
      </c>
      <c r="G91" s="913"/>
    </row>
    <row r="92" spans="1:7" x14ac:dyDescent="0.2">
      <c r="A92" s="907" t="s">
        <v>480</v>
      </c>
      <c r="B92" s="907" t="s">
        <v>174</v>
      </c>
      <c r="C92" s="909">
        <f>'Revenues 9-14'!B57</f>
        <v>1443</v>
      </c>
      <c r="D92" s="910" t="str">
        <f>'Revenues 9-14'!A57</f>
        <v>Special Ed - Transp Fees from Other Sources (In State)</v>
      </c>
      <c r="E92" s="905"/>
      <c r="F92" s="1803">
        <f>'Revenues 9-14'!F57</f>
        <v>0</v>
      </c>
      <c r="G92" s="915"/>
    </row>
    <row r="93" spans="1:7" x14ac:dyDescent="0.2">
      <c r="A93" s="907" t="s">
        <v>480</v>
      </c>
      <c r="B93" s="907" t="s">
        <v>175</v>
      </c>
      <c r="C93" s="909">
        <f>'Revenues 9-14'!B58</f>
        <v>1444</v>
      </c>
      <c r="D93" s="910" t="str">
        <f>'Revenues 9-14'!A58</f>
        <v>Special Ed - Transp Fees from Other Sources (Out of State)</v>
      </c>
      <c r="E93" s="905"/>
      <c r="F93" s="1803">
        <f>'Revenues 9-14'!F58</f>
        <v>0</v>
      </c>
      <c r="G93" s="915"/>
    </row>
    <row r="94" spans="1:7" x14ac:dyDescent="0.2">
      <c r="A94" s="907" t="s">
        <v>478</v>
      </c>
      <c r="B94" s="907" t="s">
        <v>176</v>
      </c>
      <c r="C94" s="909">
        <v>1600</v>
      </c>
      <c r="D94" s="916" t="str">
        <f>'Revenues 9-14'!A75</f>
        <v>Total Food Service</v>
      </c>
      <c r="E94" s="905"/>
      <c r="F94" s="1803">
        <f>'Revenues 9-14'!C75</f>
        <v>830658</v>
      </c>
      <c r="G94" s="911"/>
    </row>
    <row r="95" spans="1:7" x14ac:dyDescent="0.2">
      <c r="A95" s="907" t="s">
        <v>142</v>
      </c>
      <c r="B95" s="907" t="s">
        <v>177</v>
      </c>
      <c r="C95" s="909">
        <v>1700</v>
      </c>
      <c r="D95" s="917" t="str">
        <f>'Revenues 9-14'!A82</f>
        <v>Total District/School Activity Income</v>
      </c>
      <c r="E95" s="905"/>
      <c r="F95" s="1803">
        <f>SUM('Revenues 9-14'!C82,'Revenues 9-14'!D82)</f>
        <v>265205</v>
      </c>
      <c r="G95" s="911"/>
    </row>
    <row r="96" spans="1:7" x14ac:dyDescent="0.2">
      <c r="A96" s="907" t="s">
        <v>478</v>
      </c>
      <c r="B96" s="907" t="s">
        <v>178</v>
      </c>
      <c r="C96" s="909">
        <f>'Revenues 9-14'!B84</f>
        <v>1811</v>
      </c>
      <c r="D96" s="910" t="str">
        <f>'Revenues 9-14'!A84</f>
        <v>Rentals - Regular Textbooks</v>
      </c>
      <c r="E96" s="905"/>
      <c r="F96" s="1803">
        <f>'Revenues 9-14'!C84</f>
        <v>209232</v>
      </c>
      <c r="G96" s="911"/>
    </row>
    <row r="97" spans="1:7" x14ac:dyDescent="0.2">
      <c r="A97" s="907" t="s">
        <v>478</v>
      </c>
      <c r="B97" s="907" t="s">
        <v>179</v>
      </c>
      <c r="C97" s="909">
        <f>'Revenues 9-14'!B87</f>
        <v>1819</v>
      </c>
      <c r="D97" s="910" t="str">
        <f>'Revenues 9-14'!A87</f>
        <v>Rentals - Other (Describe &amp; Itemize)</v>
      </c>
      <c r="E97" s="905"/>
      <c r="F97" s="1803">
        <f>'Revenues 9-14'!C87</f>
        <v>0</v>
      </c>
      <c r="G97" s="911"/>
    </row>
    <row r="98" spans="1:7" x14ac:dyDescent="0.2">
      <c r="A98" s="907" t="s">
        <v>478</v>
      </c>
      <c r="B98" s="907" t="s">
        <v>180</v>
      </c>
      <c r="C98" s="909">
        <f>'Revenues 9-14'!B88</f>
        <v>1821</v>
      </c>
      <c r="D98" s="910" t="str">
        <f>'Revenues 9-14'!A88</f>
        <v>Sales - Regular Textbooks</v>
      </c>
      <c r="E98" s="905"/>
      <c r="F98" s="1803">
        <f>'Revenues 9-14'!C88</f>
        <v>0</v>
      </c>
      <c r="G98" s="911"/>
    </row>
    <row r="99" spans="1:7" x14ac:dyDescent="0.2">
      <c r="A99" s="907" t="s">
        <v>478</v>
      </c>
      <c r="B99" s="907" t="s">
        <v>181</v>
      </c>
      <c r="C99" s="909">
        <f>'Revenues 9-14'!B91</f>
        <v>1829</v>
      </c>
      <c r="D99" s="910" t="str">
        <f>'Revenues 9-14'!A91</f>
        <v>Sales - Other (Describe &amp; Itemize)</v>
      </c>
      <c r="E99" s="905"/>
      <c r="F99" s="1803">
        <f>'Revenues 9-14'!C91</f>
        <v>0</v>
      </c>
      <c r="G99" s="911"/>
    </row>
    <row r="100" spans="1:7" x14ac:dyDescent="0.2">
      <c r="A100" s="907" t="s">
        <v>478</v>
      </c>
      <c r="B100" s="907" t="s">
        <v>182</v>
      </c>
      <c r="C100" s="909">
        <f>'Revenues 9-14'!B92</f>
        <v>1890</v>
      </c>
      <c r="D100" s="910" t="str">
        <f>'Revenues 9-14'!A92</f>
        <v>Other (Describe &amp; Itemize)</v>
      </c>
      <c r="E100" s="905"/>
      <c r="F100" s="1803">
        <f>'Revenues 9-14'!C92</f>
        <v>0</v>
      </c>
      <c r="G100" s="911"/>
    </row>
    <row r="101" spans="1:7" x14ac:dyDescent="0.2">
      <c r="A101" s="907" t="s">
        <v>142</v>
      </c>
      <c r="B101" s="907" t="s">
        <v>183</v>
      </c>
      <c r="C101" s="909">
        <f>'Revenues 9-14'!B95</f>
        <v>1910</v>
      </c>
      <c r="D101" s="910" t="str">
        <f>'Revenues 9-14'!A95</f>
        <v>Rentals</v>
      </c>
      <c r="E101" s="905"/>
      <c r="F101" s="1803">
        <f>SUM('Revenues 9-14'!C95:D95)</f>
        <v>0</v>
      </c>
      <c r="G101" s="911"/>
    </row>
    <row r="102" spans="1:7" x14ac:dyDescent="0.2">
      <c r="A102" s="907" t="s">
        <v>523</v>
      </c>
      <c r="B102" s="907" t="s">
        <v>184</v>
      </c>
      <c r="C102" s="909">
        <f>'Revenues 9-14'!B98</f>
        <v>1940</v>
      </c>
      <c r="D102" s="910" t="str">
        <f>'Revenues 9-14'!A98</f>
        <v>Services Provided Other Districts</v>
      </c>
      <c r="E102" s="905"/>
      <c r="F102" s="1803">
        <f>SUM('Revenues 9-14'!C98,'Revenues 9-14'!D98,'Revenues 9-14'!F98)</f>
        <v>0</v>
      </c>
      <c r="G102" s="911"/>
    </row>
    <row r="103" spans="1:7" x14ac:dyDescent="0.2">
      <c r="A103" s="907" t="s">
        <v>1065</v>
      </c>
      <c r="B103" s="907" t="s">
        <v>833</v>
      </c>
      <c r="C103" s="909">
        <f>'Revenues 9-14'!B104</f>
        <v>1991</v>
      </c>
      <c r="D103" s="918" t="str">
        <f>'Revenues 9-14'!A104</f>
        <v>Payment from Other Districts</v>
      </c>
      <c r="E103" s="905"/>
      <c r="F103" s="1803">
        <f>SUM('Revenues 9-14'!C104,'Revenues 9-14'!D104,'Revenues 9-14'!E104,'Revenues 9-14'!F104,'Revenues 9-14'!G104)</f>
        <v>13999</v>
      </c>
      <c r="G103" s="911"/>
    </row>
    <row r="104" spans="1:7" x14ac:dyDescent="0.2">
      <c r="A104" s="907" t="s">
        <v>478</v>
      </c>
      <c r="B104" s="907" t="s">
        <v>840</v>
      </c>
      <c r="C104" s="909">
        <f>'Revenues 9-14'!B106</f>
        <v>1993</v>
      </c>
      <c r="D104" s="910" t="str">
        <f>'Revenues 9-14'!A106</f>
        <v>Other Local Fees (Describe &amp; Itemize)</v>
      </c>
      <c r="E104" s="905"/>
      <c r="F104" s="1803">
        <f>('Revenues 9-14'!C106)</f>
        <v>0</v>
      </c>
      <c r="G104" s="911"/>
    </row>
    <row r="105" spans="1:7" x14ac:dyDescent="0.2">
      <c r="A105" s="907" t="s">
        <v>523</v>
      </c>
      <c r="B105" s="907" t="s">
        <v>841</v>
      </c>
      <c r="C105" s="912">
        <v>3100</v>
      </c>
      <c r="D105" s="918" t="str">
        <f>'Revenues 9-14'!A131</f>
        <v>Total Special Education</v>
      </c>
      <c r="E105" s="905"/>
      <c r="F105" s="1803">
        <f>SUM('Revenues 9-14'!C131:D131,'Revenues 9-14'!F131)</f>
        <v>280154</v>
      </c>
      <c r="G105" s="911"/>
    </row>
    <row r="106" spans="1:7" x14ac:dyDescent="0.2">
      <c r="A106" s="907" t="s">
        <v>693</v>
      </c>
      <c r="B106" s="907" t="s">
        <v>1482</v>
      </c>
      <c r="C106" s="919">
        <v>3200</v>
      </c>
      <c r="D106" s="910" t="str">
        <f>'Revenues 9-14'!A140</f>
        <v>Total Career and Technical Education</v>
      </c>
      <c r="E106" s="905"/>
      <c r="F106" s="1803">
        <f>SUM('Revenues 9-14'!C140,'Revenues 9-14'!D140,'Revenues 9-14'!G140)</f>
        <v>99308</v>
      </c>
      <c r="G106" s="911"/>
    </row>
    <row r="107" spans="1:7" x14ac:dyDescent="0.2">
      <c r="A107" s="920" t="s">
        <v>684</v>
      </c>
      <c r="B107" s="907" t="s">
        <v>842</v>
      </c>
      <c r="C107" s="919">
        <v>3300</v>
      </c>
      <c r="D107" s="910" t="str">
        <f>'Revenues 9-14'!A144</f>
        <v>Total Bilingual Ed</v>
      </c>
      <c r="E107" s="905"/>
      <c r="F107" s="1803">
        <f>SUM('Revenues 9-14'!C144,'Revenues 9-14'!G144)</f>
        <v>0</v>
      </c>
      <c r="G107" s="911"/>
    </row>
    <row r="108" spans="1:7" x14ac:dyDescent="0.2">
      <c r="A108" s="907" t="s">
        <v>478</v>
      </c>
      <c r="B108" s="907" t="s">
        <v>843</v>
      </c>
      <c r="C108" s="919">
        <f>'Revenues 9-14'!B145</f>
        <v>3360</v>
      </c>
      <c r="D108" s="910" t="str">
        <f>'Revenues 9-14'!A145</f>
        <v>State Free Lunch &amp; Breakfast</v>
      </c>
      <c r="E108" s="905"/>
      <c r="F108" s="1803">
        <f>'Revenues 9-14'!C145</f>
        <v>4595</v>
      </c>
      <c r="G108" s="911"/>
    </row>
    <row r="109" spans="1:7" x14ac:dyDescent="0.2">
      <c r="A109" s="907" t="s">
        <v>693</v>
      </c>
      <c r="B109" s="907" t="s">
        <v>844</v>
      </c>
      <c r="C109" s="919">
        <f>'Revenues 9-14'!B146</f>
        <v>3365</v>
      </c>
      <c r="D109" s="910" t="str">
        <f>'Revenues 9-14'!A146</f>
        <v>School Breakfast Initiative</v>
      </c>
      <c r="E109" s="905"/>
      <c r="F109" s="1803">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3">
        <f>SUM('Revenues 9-14'!C147,'Revenues 9-14'!D147)</f>
        <v>40258</v>
      </c>
      <c r="G110" s="911"/>
    </row>
    <row r="111" spans="1:7" x14ac:dyDescent="0.2">
      <c r="A111" s="907" t="s">
        <v>688</v>
      </c>
      <c r="B111" s="907" t="s">
        <v>801</v>
      </c>
      <c r="C111" s="921">
        <v>3500</v>
      </c>
      <c r="D111" s="910" t="str">
        <f>'Revenues 9-14'!A154</f>
        <v>Total Transportation</v>
      </c>
      <c r="E111" s="905"/>
      <c r="F111" s="1803">
        <f>SUM('Revenues 9-14'!C154,'Revenues 9-14'!D154,'Revenues 9-14'!F154,'Revenues 9-14'!G154)</f>
        <v>1405568</v>
      </c>
      <c r="G111" s="911"/>
    </row>
    <row r="112" spans="1:7" x14ac:dyDescent="0.2">
      <c r="A112" s="907" t="s">
        <v>478</v>
      </c>
      <c r="B112" s="907" t="s">
        <v>846</v>
      </c>
      <c r="C112" s="919">
        <f>'Revenues 9-14'!B155</f>
        <v>3610</v>
      </c>
      <c r="D112" s="910" t="str">
        <f>'Revenues 9-14'!A155</f>
        <v>Learning Improvement - Change Grants</v>
      </c>
      <c r="E112" s="905"/>
      <c r="F112" s="1803">
        <f>'Revenues 9-14'!C155</f>
        <v>0</v>
      </c>
      <c r="G112" s="911"/>
    </row>
    <row r="113" spans="1:7" x14ac:dyDescent="0.2">
      <c r="A113" s="907" t="s">
        <v>688</v>
      </c>
      <c r="B113" s="907" t="s">
        <v>847</v>
      </c>
      <c r="C113" s="919">
        <f>'Revenues 9-14'!B156</f>
        <v>3660</v>
      </c>
      <c r="D113" s="910" t="str">
        <f>'Revenues 9-14'!A156</f>
        <v>Scientific Literacy</v>
      </c>
      <c r="E113" s="905"/>
      <c r="F113" s="1803">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3">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3">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3">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3">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2">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3">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3">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23">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23">
        <f>SUM('Revenues 9-14'!C166:G166)</f>
        <v>0</v>
      </c>
      <c r="G122" s="911"/>
    </row>
    <row r="123" spans="1:7" x14ac:dyDescent="0.2">
      <c r="A123" s="922" t="s">
        <v>524</v>
      </c>
      <c r="B123" s="922" t="s">
        <v>852</v>
      </c>
      <c r="C123" s="923">
        <f>'Revenues 9-14'!B167</f>
        <v>3815</v>
      </c>
      <c r="D123" s="924" t="str">
        <f>'Revenues 9-14'!A167</f>
        <v>State Charter Schools</v>
      </c>
      <c r="E123" s="905"/>
      <c r="F123" s="1923">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3">
        <f>'Revenues 9-14'!D170</f>
        <v>0</v>
      </c>
      <c r="G124" s="929"/>
    </row>
    <row r="125" spans="1:7" x14ac:dyDescent="0.2">
      <c r="A125" s="926" t="s">
        <v>520</v>
      </c>
      <c r="B125" s="926" t="s">
        <v>854</v>
      </c>
      <c r="C125" s="927">
        <f>'Revenues 9-14'!B171</f>
        <v>3999</v>
      </c>
      <c r="D125" s="928" t="s">
        <v>563</v>
      </c>
      <c r="E125" s="930"/>
      <c r="F125" s="1803">
        <f>SUM('Revenues 9-14'!C171:G171,'Revenues 9-14'!J171)</f>
        <v>3542</v>
      </c>
      <c r="G125" s="929"/>
    </row>
    <row r="126" spans="1:7" x14ac:dyDescent="0.2">
      <c r="A126" s="926" t="s">
        <v>478</v>
      </c>
      <c r="B126" s="926" t="s">
        <v>855</v>
      </c>
      <c r="C126" s="931">
        <f>'Revenues 9-14'!B180</f>
        <v>4045</v>
      </c>
      <c r="D126" s="928" t="str">
        <f>'Revenues 9-14'!A180 &amp; " (Subtract)"</f>
        <v>Head Start (Subtract)</v>
      </c>
      <c r="E126" s="905"/>
      <c r="F126" s="1803">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3">
        <f>SUM('Revenues 9-14'!C184,'Revenues 9-14'!D184,'Revenues 9-14'!F184,'Revenues 9-14'!G184)</f>
        <v>0</v>
      </c>
      <c r="G127" s="929"/>
    </row>
    <row r="128" spans="1:7" x14ac:dyDescent="0.2">
      <c r="A128" s="926" t="s">
        <v>688</v>
      </c>
      <c r="B128" s="926" t="s">
        <v>857</v>
      </c>
      <c r="C128" s="931">
        <v>4100</v>
      </c>
      <c r="D128" s="932" t="str">
        <f>'Revenues 9-14'!A191</f>
        <v>Total Title V</v>
      </c>
      <c r="E128" s="905"/>
      <c r="F128" s="1803">
        <f>SUM('Revenues 9-14'!C191,'Revenues 9-14'!D191,'Revenues 9-14'!F191,'Revenues 9-14'!G191)</f>
        <v>0</v>
      </c>
      <c r="G128" s="929"/>
    </row>
    <row r="129" spans="1:7" x14ac:dyDescent="0.2">
      <c r="A129" s="926" t="s">
        <v>684</v>
      </c>
      <c r="B129" s="926" t="s">
        <v>802</v>
      </c>
      <c r="C129" s="931">
        <v>4200</v>
      </c>
      <c r="D129" s="928" t="str">
        <f>'Revenues 9-14'!A201</f>
        <v>Total Food Service</v>
      </c>
      <c r="E129" s="905"/>
      <c r="F129" s="1803">
        <f>SUM('Revenues 9-14'!C201,'Revenues 9-14'!G201)</f>
        <v>397624</v>
      </c>
      <c r="G129" s="929"/>
    </row>
    <row r="130" spans="1:7" x14ac:dyDescent="0.2">
      <c r="A130" s="926" t="s">
        <v>688</v>
      </c>
      <c r="B130" s="926" t="s">
        <v>803</v>
      </c>
      <c r="C130" s="931">
        <v>4300</v>
      </c>
      <c r="D130" s="932" t="str">
        <f>'Revenues 9-14'!A211</f>
        <v>Total Title I</v>
      </c>
      <c r="E130" s="905"/>
      <c r="F130" s="1803">
        <f>SUM('Revenues 9-14'!C211,'Revenues 9-14'!D211,'Revenues 9-14'!F211,'Revenues 9-14'!G211)</f>
        <v>203159</v>
      </c>
      <c r="G130" s="929"/>
    </row>
    <row r="131" spans="1:7" x14ac:dyDescent="0.2">
      <c r="A131" s="926" t="s">
        <v>688</v>
      </c>
      <c r="B131" s="926" t="s">
        <v>804</v>
      </c>
      <c r="C131" s="931">
        <v>4400</v>
      </c>
      <c r="D131" s="932" t="str">
        <f>'Revenues 9-14'!A216</f>
        <v>Total Title IV</v>
      </c>
      <c r="E131" s="905"/>
      <c r="F131" s="1803">
        <f>SUM('Revenues 9-14'!C216,'Revenues 9-14'!D216,'Revenues 9-14'!F216,'Revenues 9-14'!G216)</f>
        <v>3833</v>
      </c>
      <c r="G131" s="929"/>
    </row>
    <row r="132" spans="1:7" x14ac:dyDescent="0.2">
      <c r="A132" s="926" t="s">
        <v>688</v>
      </c>
      <c r="B132" s="926" t="s">
        <v>190</v>
      </c>
      <c r="C132" s="931">
        <f>'Revenues 9-14'!B220</f>
        <v>4620</v>
      </c>
      <c r="D132" s="932" t="str">
        <f>'Revenues 9-14'!A220</f>
        <v>Fed - Spec Education - IDEA - Flow Through</v>
      </c>
      <c r="E132" s="905"/>
      <c r="F132" s="1803">
        <f>SUM('Revenues 9-14'!C220:D220,'Revenues 9-14'!F220:G220)</f>
        <v>0</v>
      </c>
      <c r="G132" s="929"/>
    </row>
    <row r="133" spans="1:7" x14ac:dyDescent="0.2">
      <c r="A133" s="926" t="s">
        <v>688</v>
      </c>
      <c r="B133" s="926" t="s">
        <v>191</v>
      </c>
      <c r="C133" s="931">
        <f>'Revenues 9-14'!B221</f>
        <v>4625</v>
      </c>
      <c r="D133" s="932" t="str">
        <f>'Revenues 9-14'!A221</f>
        <v>Fed - Spec Education - IDEA - Room &amp; Board</v>
      </c>
      <c r="E133" s="905"/>
      <c r="F133" s="1803">
        <f>SUM('Revenues 9-14'!C221,'Revenues 9-14'!D221,'Revenues 9-14'!F221,'Revenues 9-14'!G221)</f>
        <v>0</v>
      </c>
      <c r="G133" s="929"/>
    </row>
    <row r="134" spans="1:7" x14ac:dyDescent="0.2">
      <c r="A134" s="926" t="s">
        <v>688</v>
      </c>
      <c r="B134" s="926" t="s">
        <v>858</v>
      </c>
      <c r="C134" s="931">
        <f>'Revenues 9-14'!B222</f>
        <v>4630</v>
      </c>
      <c r="D134" s="932" t="str">
        <f>'Revenues 9-14'!A222</f>
        <v>Fed - Spec Education - IDEA - Discretionary</v>
      </c>
      <c r="E134" s="905"/>
      <c r="F134" s="1803">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3">
        <f>SUM('Revenues 9-14'!C223:D223,'Revenues 9-14'!F223:G223)</f>
        <v>0</v>
      </c>
      <c r="G135" s="929"/>
    </row>
    <row r="136" spans="1:7" x14ac:dyDescent="0.2">
      <c r="A136" s="926" t="s">
        <v>693</v>
      </c>
      <c r="B136" s="926" t="s">
        <v>806</v>
      </c>
      <c r="C136" s="931">
        <v>4700</v>
      </c>
      <c r="D136" s="928" t="str">
        <f>'Revenues 9-14'!A228</f>
        <v>Total CTE - Perkins</v>
      </c>
      <c r="E136" s="905"/>
      <c r="F136" s="1803">
        <f>SUM('Revenues 9-14'!C228,'Revenues 9-14'!D228,'Revenues 9-14'!G228)</f>
        <v>0</v>
      </c>
      <c r="G136" s="929">
        <v>6303</v>
      </c>
    </row>
    <row r="137" spans="1:7" s="866" customFormat="1" hidden="1" x14ac:dyDescent="0.2">
      <c r="A137" s="933" t="s">
        <v>215</v>
      </c>
      <c r="B137" s="933" t="s">
        <v>1483</v>
      </c>
      <c r="C137" s="934" t="s">
        <v>216</v>
      </c>
      <c r="D137" s="935" t="str">
        <f>'Revenues 9-14'!A231</f>
        <v>ARRA - Title I - Low Income</v>
      </c>
      <c r="E137" s="936"/>
      <c r="F137" s="1923">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3">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3">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3">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3">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3">
        <v>0</v>
      </c>
      <c r="G142" s="904"/>
    </row>
    <row r="143" spans="1:7" s="866" customFormat="1" hidden="1" x14ac:dyDescent="0.2">
      <c r="A143" s="933" t="s">
        <v>215</v>
      </c>
      <c r="B143" s="933" t="s">
        <v>228</v>
      </c>
      <c r="C143" s="934" t="s">
        <v>225</v>
      </c>
      <c r="D143" s="935" t="str">
        <f>'Revenues 9-14'!A237</f>
        <v>ARRA - IDEA - Part B - Flow-Through</v>
      </c>
      <c r="E143" s="936"/>
      <c r="F143" s="1803">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3">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3">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3">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3">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3">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3">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3">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3">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3">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3">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3">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3">
        <v>0</v>
      </c>
      <c r="G155" s="904"/>
    </row>
    <row r="156" spans="1:7" s="866" customFormat="1" hidden="1" x14ac:dyDescent="0.2">
      <c r="A156" s="933" t="s">
        <v>215</v>
      </c>
      <c r="B156" s="933" t="s">
        <v>250</v>
      </c>
      <c r="C156" s="934" t="s">
        <v>247</v>
      </c>
      <c r="D156" s="935" t="str">
        <f>'Revenues 9-14'!A254</f>
        <v>Other ARRA Funds VII</v>
      </c>
      <c r="E156" s="936"/>
      <c r="F156" s="1803">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3">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3">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3">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3">
        <f>SUM('Revenues 9-14'!C258:G258,'Revenues 9-14'!J258)</f>
        <v>0</v>
      </c>
      <c r="G160" s="904"/>
    </row>
    <row r="161" spans="1:7" s="866" customFormat="1" x14ac:dyDescent="0.2">
      <c r="A161" s="937" t="s">
        <v>520</v>
      </c>
      <c r="B161" s="938" t="s">
        <v>1563</v>
      </c>
      <c r="C161" s="939" t="s">
        <v>895</v>
      </c>
      <c r="D161" s="940" t="s">
        <v>807</v>
      </c>
      <c r="E161" s="941"/>
      <c r="F161" s="1803">
        <f>SUM(F137:F160)</f>
        <v>0</v>
      </c>
      <c r="G161" s="904"/>
    </row>
    <row r="162" spans="1:7" s="866" customFormat="1" x14ac:dyDescent="0.2">
      <c r="A162" s="937" t="s">
        <v>478</v>
      </c>
      <c r="B162" s="938" t="s">
        <v>1500</v>
      </c>
      <c r="C162" s="939" t="s">
        <v>1498</v>
      </c>
      <c r="D162" s="940" t="s">
        <v>1499</v>
      </c>
      <c r="E162" s="941"/>
      <c r="F162" s="1803">
        <f>SUM('Revenues 9-14'!C260)</f>
        <v>0</v>
      </c>
      <c r="G162" s="904"/>
    </row>
    <row r="163" spans="1:7" s="866" customFormat="1" x14ac:dyDescent="0.2">
      <c r="A163" s="937" t="s">
        <v>520</v>
      </c>
      <c r="B163" s="938" t="s">
        <v>1540</v>
      </c>
      <c r="C163" s="939" t="s">
        <v>1541</v>
      </c>
      <c r="D163" s="940" t="s">
        <v>1542</v>
      </c>
      <c r="E163" s="941"/>
      <c r="F163" s="1803">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3">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3">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3">
        <f>SUM('Revenues 9-14'!C264,'Revenues 9-14'!F264,'Revenues 9-14'!G264)</f>
        <v>0</v>
      </c>
      <c r="G166" s="942"/>
    </row>
    <row r="167" spans="1:7" x14ac:dyDescent="0.2">
      <c r="A167" s="926" t="s">
        <v>5</v>
      </c>
      <c r="B167" s="926" t="s">
        <v>1556</v>
      </c>
      <c r="C167" s="931">
        <f>'Revenues 9-14'!B265</f>
        <v>4910</v>
      </c>
      <c r="D167" s="928" t="str">
        <f>'Revenues 9-14'!A265</f>
        <v>Learn &amp; Serve America</v>
      </c>
      <c r="E167" s="905"/>
      <c r="F167" s="1803">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3">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23">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23">
        <f>SUM('Revenues 9-14'!C268,'Revenues 9-14'!D268,'Revenues 9-14'!F268,'Revenues 9-14'!G268)</f>
        <v>61514</v>
      </c>
      <c r="G170" s="929"/>
    </row>
    <row r="171" spans="1:7" x14ac:dyDescent="0.2">
      <c r="A171" s="926" t="s">
        <v>688</v>
      </c>
      <c r="B171" s="926" t="s">
        <v>863</v>
      </c>
      <c r="C171" s="931">
        <f>'Revenues 9-14'!B269</f>
        <v>4960</v>
      </c>
      <c r="D171" s="928" t="str">
        <f>'Revenues 9-14'!A269</f>
        <v>Federal Charter Schools</v>
      </c>
      <c r="E171" s="905"/>
      <c r="F171" s="1803">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3">
        <f>SUM('Revenues 9-14'!C270:D270,'Revenues 9-14'!F270:G270)</f>
        <v>10326</v>
      </c>
      <c r="G172" s="946">
        <v>6320</v>
      </c>
    </row>
    <row r="173" spans="1:7" x14ac:dyDescent="0.2">
      <c r="A173" s="926" t="s">
        <v>688</v>
      </c>
      <c r="B173" s="926" t="s">
        <v>1502</v>
      </c>
      <c r="C173" s="931">
        <f>'Revenues 9-14'!B271</f>
        <v>4992</v>
      </c>
      <c r="D173" s="932" t="str">
        <f>'Revenues 9-14'!A271</f>
        <v>Medicaid Matching Funds - Fee-for-Service Program</v>
      </c>
      <c r="E173" s="905"/>
      <c r="F173" s="1803">
        <f>SUM('Revenues 9-14'!C271:D271,'Revenues 9-14'!F271:G271)</f>
        <v>10040</v>
      </c>
      <c r="G173" s="946"/>
    </row>
    <row r="174" spans="1:7" x14ac:dyDescent="0.2">
      <c r="A174" s="947" t="s">
        <v>688</v>
      </c>
      <c r="B174" s="943" t="s">
        <v>1557</v>
      </c>
      <c r="C174" s="944">
        <f>'Revenues 9-14'!B272</f>
        <v>4999</v>
      </c>
      <c r="D174" s="945" t="str">
        <f>'Revenues 9-14'!A272</f>
        <v>Other Restricted Revenue from Federal Sources (Describe &amp; Itemize)</v>
      </c>
      <c r="E174" s="905"/>
      <c r="F174" s="1803">
        <f>SUM('Revenues 9-14'!C272:D272,'Revenues 9-14'!F272:G272)</f>
        <v>74743</v>
      </c>
      <c r="G174" s="926"/>
    </row>
    <row r="175" spans="1:7" x14ac:dyDescent="0.2">
      <c r="A175" s="1934" t="s">
        <v>5</v>
      </c>
      <c r="B175" s="1935" t="s">
        <v>2052</v>
      </c>
      <c r="C175" s="1936">
        <v>3100</v>
      </c>
      <c r="D175" s="1937" t="s">
        <v>2055</v>
      </c>
      <c r="E175" s="905"/>
      <c r="F175" s="1921">
        <v>487033.12</v>
      </c>
      <c r="G175" s="926"/>
    </row>
    <row r="176" spans="1:7" x14ac:dyDescent="0.2">
      <c r="A176" s="1934" t="s">
        <v>684</v>
      </c>
      <c r="B176" s="1935" t="s">
        <v>2052</v>
      </c>
      <c r="C176" s="1936">
        <v>3300</v>
      </c>
      <c r="D176" s="1937" t="s">
        <v>2056</v>
      </c>
      <c r="E176" s="905"/>
      <c r="F176" s="1921">
        <v>0</v>
      </c>
      <c r="G176" s="926"/>
    </row>
    <row r="177" spans="1:7" ht="6" customHeight="1" x14ac:dyDescent="0.2">
      <c r="A177" s="926"/>
      <c r="B177" s="926"/>
      <c r="C177" s="948"/>
      <c r="D177" s="926"/>
      <c r="E177" s="905"/>
      <c r="F177" s="949"/>
      <c r="G177" s="946"/>
    </row>
    <row r="178" spans="1:7" x14ac:dyDescent="0.2">
      <c r="A178" s="1784"/>
      <c r="B178" s="1798"/>
      <c r="C178" s="1799"/>
      <c r="D178" s="1800" t="s">
        <v>2008</v>
      </c>
      <c r="E178" s="1801" t="s">
        <v>1014</v>
      </c>
      <c r="F178" s="1802">
        <f>SUM(F84:F136,F161:F176)</f>
        <v>4403067.12</v>
      </c>
    </row>
    <row r="179" spans="1:7" ht="12" customHeight="1" x14ac:dyDescent="0.2">
      <c r="A179" s="1784"/>
      <c r="B179" s="1798"/>
      <c r="C179" s="1799"/>
      <c r="D179" s="1800" t="s">
        <v>2009</v>
      </c>
      <c r="E179" s="1801"/>
      <c r="F179" s="1803">
        <f>'PCTC-OEPP 27-28'!F77-F178</f>
        <v>17396158.879999999</v>
      </c>
    </row>
    <row r="180" spans="1:7" ht="12" customHeight="1" x14ac:dyDescent="0.2">
      <c r="A180" s="1784"/>
      <c r="B180" s="1798"/>
      <c r="C180" s="1799"/>
      <c r="D180" s="1800" t="s">
        <v>1919</v>
      </c>
      <c r="E180" s="1801"/>
      <c r="F180" s="1803">
        <f>'Cap Outlay Deprec 26'!I18</f>
        <v>1382527.7</v>
      </c>
    </row>
    <row r="181" spans="1:7" ht="12" customHeight="1" x14ac:dyDescent="0.2">
      <c r="A181" s="1784"/>
      <c r="B181" s="1798"/>
      <c r="C181" s="1799"/>
      <c r="D181" s="1800" t="s">
        <v>2010</v>
      </c>
      <c r="E181" s="1801"/>
      <c r="F181" s="1803">
        <f>F179+F180</f>
        <v>18778686.579999998</v>
      </c>
    </row>
    <row r="182" spans="1:7" ht="12" customHeight="1" x14ac:dyDescent="0.2">
      <c r="A182" s="1784"/>
      <c r="B182" s="1804"/>
      <c r="C182" s="1799"/>
      <c r="D182" s="1800" t="str">
        <f>D78</f>
        <v>9 Month ADA from District Average Daily Attendance/Prior General State Aid Inquiry 2017-2018</v>
      </c>
      <c r="E182" s="1801"/>
      <c r="F182" s="1805">
        <f>'PCTC-OEPP 27-28'!F78</f>
        <v>2146.73</v>
      </c>
      <c r="G182" s="929"/>
    </row>
    <row r="183" spans="1:7" ht="12" customHeight="1" thickBot="1" x14ac:dyDescent="0.25">
      <c r="A183" s="1784"/>
      <c r="B183" s="1804"/>
      <c r="C183" s="1799"/>
      <c r="D183" s="1800" t="s">
        <v>2011</v>
      </c>
      <c r="E183" s="1801" t="s">
        <v>1625</v>
      </c>
      <c r="F183" s="1806">
        <f>F181/F182</f>
        <v>8747.5772826578086</v>
      </c>
      <c r="G183" s="855">
        <v>6323</v>
      </c>
    </row>
    <row r="184" spans="1:7" ht="12" thickTop="1" x14ac:dyDescent="0.2">
      <c r="B184" s="929"/>
      <c r="C184" s="948"/>
      <c r="D184" s="929"/>
      <c r="E184" s="948"/>
      <c r="F184" s="929"/>
      <c r="G184" s="950">
        <v>6326</v>
      </c>
    </row>
    <row r="185" spans="1:7" ht="12.2" customHeight="1" x14ac:dyDescent="0.2">
      <c r="A185" s="929" t="s">
        <v>2054</v>
      </c>
      <c r="B185" s="929"/>
      <c r="C185" s="948"/>
      <c r="D185" s="929"/>
      <c r="E185" s="948"/>
      <c r="F185" s="929"/>
      <c r="G185" s="929"/>
    </row>
    <row r="186" spans="1:7" s="1938" customFormat="1" ht="12.2" customHeight="1" x14ac:dyDescent="0.2">
      <c r="A186" s="1938" t="s">
        <v>2059</v>
      </c>
      <c r="B186" s="1939"/>
      <c r="C186" s="1940"/>
      <c r="D186" s="1939"/>
      <c r="E186" s="1940"/>
      <c r="F186" s="1939"/>
      <c r="G186" s="1939"/>
    </row>
    <row r="187" spans="1:7" s="1938" customFormat="1" ht="12.2" customHeight="1" x14ac:dyDescent="0.2">
      <c r="A187" s="1941" t="s">
        <v>2060</v>
      </c>
      <c r="C187" s="1940"/>
      <c r="D187" s="1939"/>
      <c r="E187" s="1940"/>
      <c r="F187" s="1939"/>
      <c r="G187" s="1939"/>
    </row>
    <row r="188" spans="1:7" ht="12" customHeight="1" x14ac:dyDescent="0.2">
      <c r="C188" s="948"/>
      <c r="D188" s="929"/>
      <c r="E188" s="948"/>
      <c r="F188" s="929"/>
      <c r="G188" s="929"/>
    </row>
    <row r="189" spans="1:7" x14ac:dyDescent="0.2">
      <c r="A189" s="1942" t="s">
        <v>2058</v>
      </c>
      <c r="B189" s="1943" t="s">
        <v>2057</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8"/>
  <sheetViews>
    <sheetView showGridLines="0" zoomScaleNormal="100" workbookViewId="0">
      <pane ySplit="16" topLeftCell="A17" activePane="bottomLeft" state="frozen"/>
      <selection activeCell="X24" sqref="X24"/>
      <selection pane="bottomLeft" activeCell="A19" sqref="A19"/>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2412" t="s">
        <v>2239</v>
      </c>
      <c r="B1" s="2412"/>
      <c r="C1" s="2412"/>
      <c r="D1" s="2412"/>
      <c r="E1" s="2412"/>
      <c r="F1" s="2412"/>
      <c r="G1" s="2412"/>
    </row>
    <row r="2" spans="1:7" x14ac:dyDescent="0.25">
      <c r="A2" s="2413" t="s">
        <v>1035</v>
      </c>
      <c r="B2" s="2413"/>
      <c r="C2" s="2413"/>
      <c r="D2" s="2413"/>
      <c r="E2" s="2413"/>
      <c r="F2" s="2413"/>
      <c r="G2" s="2413"/>
    </row>
    <row r="3" spans="1:7" ht="5.25" customHeight="1" x14ac:dyDescent="0.25">
      <c r="A3" s="1564"/>
      <c r="B3" s="1564"/>
      <c r="C3" s="1564"/>
      <c r="D3" s="1564"/>
      <c r="E3" s="1564"/>
      <c r="F3" s="1564"/>
      <c r="G3" s="1564"/>
    </row>
    <row r="4" spans="1:7" ht="18.75" customHeight="1" x14ac:dyDescent="0.25">
      <c r="A4" s="2417" t="s">
        <v>1920</v>
      </c>
      <c r="B4" s="2418"/>
      <c r="C4" s="2418"/>
      <c r="D4" s="2418"/>
      <c r="E4" s="2418"/>
      <c r="F4" s="2418"/>
      <c r="G4" s="2419"/>
    </row>
    <row r="5" spans="1:7" x14ac:dyDescent="0.25">
      <c r="A5" s="2420"/>
      <c r="B5" s="2421"/>
      <c r="C5" s="2421"/>
      <c r="D5" s="2421"/>
      <c r="E5" s="2421"/>
      <c r="F5" s="2421"/>
      <c r="G5" s="2422"/>
    </row>
    <row r="6" spans="1:7" ht="18.75" x14ac:dyDescent="0.25">
      <c r="A6" s="1553" t="s">
        <v>1921</v>
      </c>
      <c r="B6" s="1554"/>
      <c r="C6" s="1554"/>
      <c r="D6" s="1554"/>
      <c r="E6" s="1554"/>
      <c r="F6" s="1554"/>
      <c r="G6" s="1555"/>
    </row>
    <row r="7" spans="1:7" ht="30.75" customHeight="1" x14ac:dyDescent="0.25">
      <c r="A7" s="2423" t="s">
        <v>2069</v>
      </c>
      <c r="B7" s="2424"/>
      <c r="C7" s="2424"/>
      <c r="D7" s="2424"/>
      <c r="E7" s="2424"/>
      <c r="F7" s="2424"/>
      <c r="G7" s="2425"/>
    </row>
    <row r="8" spans="1:7" ht="15.75" customHeight="1" x14ac:dyDescent="0.25">
      <c r="A8" s="2426" t="s">
        <v>2018</v>
      </c>
      <c r="B8" s="2427"/>
      <c r="C8" s="2427"/>
      <c r="D8" s="2427"/>
      <c r="E8" s="2427"/>
      <c r="F8" s="2427"/>
      <c r="G8" s="2428"/>
    </row>
    <row r="9" spans="1:7" ht="35.25" customHeight="1" x14ac:dyDescent="0.25">
      <c r="A9" s="2423" t="s">
        <v>2017</v>
      </c>
      <c r="B9" s="2424"/>
      <c r="C9" s="2424"/>
      <c r="D9" s="2424"/>
      <c r="E9" s="2424"/>
      <c r="F9" s="2424"/>
      <c r="G9" s="2425"/>
    </row>
    <row r="10" spans="1:7" ht="15" customHeight="1" x14ac:dyDescent="0.25">
      <c r="A10" s="1556" t="s">
        <v>1922</v>
      </c>
      <c r="B10" s="1557"/>
      <c r="C10" s="1557"/>
      <c r="D10" s="1557"/>
      <c r="E10" s="1557"/>
      <c r="F10" s="1557"/>
      <c r="G10" s="1558"/>
    </row>
    <row r="11" spans="1:7" ht="17.25" customHeight="1" x14ac:dyDescent="0.25">
      <c r="A11" s="2423" t="s">
        <v>1935</v>
      </c>
      <c r="B11" s="2424"/>
      <c r="C11" s="2424"/>
      <c r="D11" s="2424"/>
      <c r="E11" s="2424"/>
      <c r="F11" s="2424"/>
      <c r="G11" s="2425"/>
    </row>
    <row r="12" spans="1:7" ht="15" customHeight="1" x14ac:dyDescent="0.25">
      <c r="A12" s="1556" t="s">
        <v>1927</v>
      </c>
      <c r="B12" s="1557"/>
      <c r="C12" s="1557"/>
      <c r="D12" s="1557"/>
      <c r="E12" s="1557"/>
      <c r="F12" s="1557"/>
      <c r="G12" s="1558"/>
    </row>
    <row r="13" spans="1:7" ht="32.25" customHeight="1" x14ac:dyDescent="0.25">
      <c r="A13" s="2414" t="s">
        <v>1928</v>
      </c>
      <c r="B13" s="2415"/>
      <c r="C13" s="2415"/>
      <c r="D13" s="2415"/>
      <c r="E13" s="2415"/>
      <c r="F13" s="2415"/>
      <c r="G13" s="2416"/>
    </row>
    <row r="14" spans="1:7" x14ac:dyDescent="0.25">
      <c r="A14" s="1675" t="s">
        <v>1936</v>
      </c>
      <c r="B14" s="1676"/>
      <c r="C14" s="1676"/>
      <c r="D14" s="1676"/>
      <c r="E14" s="1676"/>
      <c r="F14" s="1676"/>
      <c r="G14" s="1677"/>
    </row>
    <row r="15" spans="1:7" ht="61.5" customHeight="1" x14ac:dyDescent="0.25">
      <c r="A15" s="1565" t="s">
        <v>1929</v>
      </c>
      <c r="B15" s="1565" t="s">
        <v>1930</v>
      </c>
      <c r="C15" s="1565" t="s">
        <v>1931</v>
      </c>
      <c r="D15" s="1566" t="s">
        <v>1932</v>
      </c>
      <c r="E15" s="1566" t="s">
        <v>1923</v>
      </c>
      <c r="F15" s="1566" t="s">
        <v>1933</v>
      </c>
      <c r="G15" s="1566" t="s">
        <v>1934</v>
      </c>
    </row>
    <row r="16" spans="1:7" x14ac:dyDescent="0.25">
      <c r="A16" s="1666" t="s">
        <v>1937</v>
      </c>
      <c r="B16" s="1667" t="s">
        <v>1926</v>
      </c>
      <c r="C16" s="1668" t="s">
        <v>1924</v>
      </c>
      <c r="D16" s="1669">
        <v>500000</v>
      </c>
      <c r="E16" s="1669">
        <f>IF(D16&lt;=25000,D16,IF(D16&gt;25000,25000,0))</f>
        <v>25000</v>
      </c>
      <c r="F16" s="1669">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7" hidden="1" x14ac:dyDescent="0.25">
      <c r="A17" s="1946"/>
      <c r="B17" s="2085"/>
      <c r="C17" s="1947"/>
      <c r="D17" s="1859"/>
      <c r="E17" s="1559">
        <f t="shared" ref="E17:E137" si="1">IF(D17&lt;=25000,D17,IF(D17&gt;25000,25000,0))</f>
        <v>0</v>
      </c>
      <c r="F17" s="1807">
        <f t="shared" ref="F17:F137"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08">
        <f t="shared" ref="G17:G137" si="3">IF(F17=0,0,D17-F17)</f>
        <v>0</v>
      </c>
    </row>
    <row r="18" spans="1:7" hidden="1" x14ac:dyDescent="0.25">
      <c r="A18" s="1946"/>
      <c r="B18" s="2085"/>
      <c r="C18" s="1947"/>
      <c r="D18" s="1859"/>
      <c r="E18" s="1559">
        <f t="shared" si="1"/>
        <v>0</v>
      </c>
      <c r="F18" s="1807">
        <f t="shared" si="2"/>
        <v>0</v>
      </c>
      <c r="G18" s="1808">
        <f t="shared" si="3"/>
        <v>0</v>
      </c>
    </row>
    <row r="19" spans="1:7" x14ac:dyDescent="0.25">
      <c r="A19" s="1946" t="s">
        <v>2104</v>
      </c>
      <c r="B19" s="2085" t="s">
        <v>2224</v>
      </c>
      <c r="C19" s="1947" t="s">
        <v>2105</v>
      </c>
      <c r="D19" s="1859">
        <v>58972</v>
      </c>
      <c r="E19" s="1559">
        <f t="shared" si="1"/>
        <v>25000</v>
      </c>
      <c r="F19" s="1807">
        <f t="shared" si="2"/>
        <v>25000</v>
      </c>
      <c r="G19" s="1808">
        <f t="shared" si="3"/>
        <v>33972</v>
      </c>
    </row>
    <row r="20" spans="1:7" hidden="1" x14ac:dyDescent="0.25">
      <c r="A20" s="1946"/>
      <c r="B20" s="2085"/>
      <c r="C20" s="1947"/>
      <c r="D20" s="1859"/>
      <c r="E20" s="1559">
        <f t="shared" si="1"/>
        <v>0</v>
      </c>
      <c r="F20" s="1807">
        <f t="shared" si="2"/>
        <v>0</v>
      </c>
      <c r="G20" s="1808">
        <f t="shared" si="3"/>
        <v>0</v>
      </c>
    </row>
    <row r="21" spans="1:7" x14ac:dyDescent="0.25">
      <c r="A21" s="1946" t="s">
        <v>2106</v>
      </c>
      <c r="B21" s="2085" t="s">
        <v>2225</v>
      </c>
      <c r="C21" s="1947" t="s">
        <v>2107</v>
      </c>
      <c r="D21" s="1859">
        <v>1702289</v>
      </c>
      <c r="E21" s="1559">
        <f t="shared" si="1"/>
        <v>25000</v>
      </c>
      <c r="F21" s="1807">
        <f t="shared" si="2"/>
        <v>25000</v>
      </c>
      <c r="G21" s="1808">
        <f t="shared" si="3"/>
        <v>1677289</v>
      </c>
    </row>
    <row r="22" spans="1:7" ht="99.75" hidden="1" customHeight="1" x14ac:dyDescent="0.25">
      <c r="A22" s="1946"/>
      <c r="B22" s="2085"/>
      <c r="C22" s="1947"/>
      <c r="D22" s="1859"/>
      <c r="E22" s="1559">
        <f t="shared" si="1"/>
        <v>0</v>
      </c>
      <c r="F22" s="1807">
        <f t="shared" si="2"/>
        <v>0</v>
      </c>
      <c r="G22" s="1808">
        <f t="shared" si="3"/>
        <v>0</v>
      </c>
    </row>
    <row r="23" spans="1:7" hidden="1" x14ac:dyDescent="0.25">
      <c r="A23" s="1946"/>
      <c r="B23" s="2085"/>
      <c r="C23" s="1947"/>
      <c r="D23" s="1859"/>
      <c r="E23" s="1559">
        <f t="shared" si="1"/>
        <v>0</v>
      </c>
      <c r="F23" s="1807">
        <f t="shared" si="2"/>
        <v>0</v>
      </c>
      <c r="G23" s="1808">
        <f t="shared" si="3"/>
        <v>0</v>
      </c>
    </row>
    <row r="24" spans="1:7" hidden="1" x14ac:dyDescent="0.25">
      <c r="A24" s="1946"/>
      <c r="B24" s="2085"/>
      <c r="C24" s="1947"/>
      <c r="D24" s="1859"/>
      <c r="E24" s="1559">
        <f t="shared" si="1"/>
        <v>0</v>
      </c>
      <c r="F24" s="1807">
        <f t="shared" si="2"/>
        <v>0</v>
      </c>
      <c r="G24" s="1808">
        <f t="shared" si="3"/>
        <v>0</v>
      </c>
    </row>
    <row r="25" spans="1:7" hidden="1" x14ac:dyDescent="0.25">
      <c r="A25" s="1946"/>
      <c r="B25" s="2085"/>
      <c r="C25" s="1947"/>
      <c r="D25" s="1859"/>
      <c r="E25" s="1559">
        <f t="shared" si="1"/>
        <v>0</v>
      </c>
      <c r="F25" s="1807">
        <f t="shared" si="2"/>
        <v>0</v>
      </c>
      <c r="G25" s="1808">
        <f t="shared" si="3"/>
        <v>0</v>
      </c>
    </row>
    <row r="26" spans="1:7" hidden="1" x14ac:dyDescent="0.25">
      <c r="A26" s="1946"/>
      <c r="B26" s="2085"/>
      <c r="C26" s="1947"/>
      <c r="D26" s="1859"/>
      <c r="E26" s="1559">
        <f t="shared" si="1"/>
        <v>0</v>
      </c>
      <c r="F26" s="1807">
        <f t="shared" si="2"/>
        <v>0</v>
      </c>
      <c r="G26" s="1808">
        <f t="shared" si="3"/>
        <v>0</v>
      </c>
    </row>
    <row r="27" spans="1:7" hidden="1" x14ac:dyDescent="0.25">
      <c r="A27" s="1671"/>
      <c r="B27" s="1860"/>
      <c r="C27" s="1672"/>
      <c r="D27" s="1859"/>
      <c r="E27" s="1559">
        <f t="shared" si="1"/>
        <v>0</v>
      </c>
      <c r="F27" s="1807">
        <f t="shared" si="2"/>
        <v>0</v>
      </c>
      <c r="G27" s="1808">
        <f t="shared" si="3"/>
        <v>0</v>
      </c>
    </row>
    <row r="28" spans="1:7" hidden="1" x14ac:dyDescent="0.25">
      <c r="A28" s="1671"/>
      <c r="B28" s="1860"/>
      <c r="C28" s="1672"/>
      <c r="D28" s="1859"/>
      <c r="E28" s="1559">
        <f t="shared" si="1"/>
        <v>0</v>
      </c>
      <c r="F28" s="1807">
        <f t="shared" si="2"/>
        <v>0</v>
      </c>
      <c r="G28" s="1808">
        <f t="shared" si="3"/>
        <v>0</v>
      </c>
    </row>
    <row r="29" spans="1:7" hidden="1" x14ac:dyDescent="0.25">
      <c r="A29" s="1671"/>
      <c r="B29" s="1860"/>
      <c r="C29" s="1672"/>
      <c r="D29" s="1859"/>
      <c r="E29" s="1559">
        <f t="shared" si="1"/>
        <v>0</v>
      </c>
      <c r="F29" s="1807">
        <f t="shared" si="2"/>
        <v>0</v>
      </c>
      <c r="G29" s="1808">
        <f t="shared" si="3"/>
        <v>0</v>
      </c>
    </row>
    <row r="30" spans="1:7" hidden="1" x14ac:dyDescent="0.25">
      <c r="A30" s="1671"/>
      <c r="B30" s="1860"/>
      <c r="C30" s="1672"/>
      <c r="D30" s="1859"/>
      <c r="E30" s="1559">
        <f t="shared" si="1"/>
        <v>0</v>
      </c>
      <c r="F30" s="1807">
        <f t="shared" si="2"/>
        <v>0</v>
      </c>
      <c r="G30" s="1808">
        <f t="shared" si="3"/>
        <v>0</v>
      </c>
    </row>
    <row r="31" spans="1:7" hidden="1" x14ac:dyDescent="0.25">
      <c r="A31" s="1671"/>
      <c r="B31" s="1860"/>
      <c r="C31" s="1672"/>
      <c r="D31" s="1859"/>
      <c r="E31" s="1559">
        <f t="shared" si="1"/>
        <v>0</v>
      </c>
      <c r="F31" s="1807">
        <f t="shared" si="2"/>
        <v>0</v>
      </c>
      <c r="G31" s="1808">
        <f t="shared" si="3"/>
        <v>0</v>
      </c>
    </row>
    <row r="32" spans="1:7" hidden="1" x14ac:dyDescent="0.25">
      <c r="A32" s="1671"/>
      <c r="B32" s="1860"/>
      <c r="C32" s="1672"/>
      <c r="D32" s="1859"/>
      <c r="E32" s="1559">
        <f t="shared" si="1"/>
        <v>0</v>
      </c>
      <c r="F32" s="1807">
        <f t="shared" si="2"/>
        <v>0</v>
      </c>
      <c r="G32" s="1808">
        <f t="shared" si="3"/>
        <v>0</v>
      </c>
    </row>
    <row r="33" spans="1:7" hidden="1" x14ac:dyDescent="0.25">
      <c r="A33" s="1671"/>
      <c r="B33" s="1860"/>
      <c r="C33" s="1672"/>
      <c r="D33" s="1859"/>
      <c r="E33" s="1559">
        <f t="shared" si="1"/>
        <v>0</v>
      </c>
      <c r="F33" s="1807">
        <f t="shared" si="2"/>
        <v>0</v>
      </c>
      <c r="G33" s="1808">
        <f t="shared" si="3"/>
        <v>0</v>
      </c>
    </row>
    <row r="34" spans="1:7" hidden="1" x14ac:dyDescent="0.25">
      <c r="A34" s="1671"/>
      <c r="B34" s="1860"/>
      <c r="C34" s="1672"/>
      <c r="D34" s="1859"/>
      <c r="E34" s="1559">
        <f t="shared" si="1"/>
        <v>0</v>
      </c>
      <c r="F34" s="1807">
        <f t="shared" si="2"/>
        <v>0</v>
      </c>
      <c r="G34" s="1808">
        <f t="shared" si="3"/>
        <v>0</v>
      </c>
    </row>
    <row r="35" spans="1:7" hidden="1" x14ac:dyDescent="0.25">
      <c r="A35" s="1671"/>
      <c r="B35" s="1681"/>
      <c r="C35" s="1672"/>
      <c r="D35" s="1859"/>
      <c r="E35" s="1559">
        <f t="shared" si="1"/>
        <v>0</v>
      </c>
      <c r="F35" s="1807">
        <f t="shared" si="2"/>
        <v>0</v>
      </c>
      <c r="G35" s="1808">
        <f t="shared" si="3"/>
        <v>0</v>
      </c>
    </row>
    <row r="36" spans="1:7" hidden="1" x14ac:dyDescent="0.25">
      <c r="A36" s="1671"/>
      <c r="B36" s="1681"/>
      <c r="C36" s="1672"/>
      <c r="D36" s="1859"/>
      <c r="E36" s="1559">
        <f t="shared" si="1"/>
        <v>0</v>
      </c>
      <c r="F36" s="1807">
        <f t="shared" si="2"/>
        <v>0</v>
      </c>
      <c r="G36" s="1808">
        <f t="shared" si="3"/>
        <v>0</v>
      </c>
    </row>
    <row r="37" spans="1:7" hidden="1" x14ac:dyDescent="0.25">
      <c r="A37" s="1671"/>
      <c r="B37" s="1681"/>
      <c r="C37" s="1672"/>
      <c r="D37" s="1859"/>
      <c r="E37" s="1559">
        <f t="shared" si="1"/>
        <v>0</v>
      </c>
      <c r="F37" s="1807">
        <f t="shared" si="2"/>
        <v>0</v>
      </c>
      <c r="G37" s="1808">
        <f t="shared" si="3"/>
        <v>0</v>
      </c>
    </row>
    <row r="38" spans="1:7" hidden="1" x14ac:dyDescent="0.25">
      <c r="A38" s="1671"/>
      <c r="B38" s="1681"/>
      <c r="C38" s="1672"/>
      <c r="D38" s="1859"/>
      <c r="E38" s="1559">
        <f t="shared" si="1"/>
        <v>0</v>
      </c>
      <c r="F38" s="1807">
        <f t="shared" si="2"/>
        <v>0</v>
      </c>
      <c r="G38" s="1808">
        <f t="shared" si="3"/>
        <v>0</v>
      </c>
    </row>
    <row r="39" spans="1:7" hidden="1" x14ac:dyDescent="0.25">
      <c r="A39" s="1671"/>
      <c r="B39" s="1681"/>
      <c r="C39" s="1672"/>
      <c r="D39" s="1859"/>
      <c r="E39" s="1559">
        <f t="shared" si="1"/>
        <v>0</v>
      </c>
      <c r="F39" s="1807">
        <f t="shared" si="2"/>
        <v>0</v>
      </c>
      <c r="G39" s="1808">
        <f t="shared" si="3"/>
        <v>0</v>
      </c>
    </row>
    <row r="40" spans="1:7" hidden="1" x14ac:dyDescent="0.25">
      <c r="A40" s="1671"/>
      <c r="B40" s="1681"/>
      <c r="C40" s="1672"/>
      <c r="D40" s="1859"/>
      <c r="E40" s="1559">
        <f t="shared" si="1"/>
        <v>0</v>
      </c>
      <c r="F40" s="1807">
        <f t="shared" si="2"/>
        <v>0</v>
      </c>
      <c r="G40" s="1808">
        <f t="shared" si="3"/>
        <v>0</v>
      </c>
    </row>
    <row r="41" spans="1:7" hidden="1" x14ac:dyDescent="0.25">
      <c r="A41" s="1671"/>
      <c r="B41" s="1681"/>
      <c r="C41" s="1672"/>
      <c r="D41" s="1859"/>
      <c r="E41" s="1559">
        <f t="shared" si="1"/>
        <v>0</v>
      </c>
      <c r="F41" s="1807">
        <f t="shared" si="2"/>
        <v>0</v>
      </c>
      <c r="G41" s="1808">
        <f t="shared" si="3"/>
        <v>0</v>
      </c>
    </row>
    <row r="42" spans="1:7" hidden="1" x14ac:dyDescent="0.25">
      <c r="A42" s="1671"/>
      <c r="B42" s="1681"/>
      <c r="C42" s="1672"/>
      <c r="D42" s="1859"/>
      <c r="E42" s="1559">
        <f t="shared" si="1"/>
        <v>0</v>
      </c>
      <c r="F42" s="1807">
        <f t="shared" si="2"/>
        <v>0</v>
      </c>
      <c r="G42" s="1808">
        <f t="shared" si="3"/>
        <v>0</v>
      </c>
    </row>
    <row r="43" spans="1:7" hidden="1" x14ac:dyDescent="0.25">
      <c r="A43" s="1671"/>
      <c r="B43" s="1681"/>
      <c r="C43" s="1672"/>
      <c r="D43" s="1859"/>
      <c r="E43" s="1559">
        <f t="shared" si="1"/>
        <v>0</v>
      </c>
      <c r="F43" s="1807">
        <f t="shared" si="2"/>
        <v>0</v>
      </c>
      <c r="G43" s="1808">
        <f t="shared" si="3"/>
        <v>0</v>
      </c>
    </row>
    <row r="44" spans="1:7" hidden="1" x14ac:dyDescent="0.25">
      <c r="A44" s="1671"/>
      <c r="B44" s="1681"/>
      <c r="C44" s="1672"/>
      <c r="D44" s="1859"/>
      <c r="E44" s="1559">
        <f t="shared" si="1"/>
        <v>0</v>
      </c>
      <c r="F44" s="1807">
        <f t="shared" si="2"/>
        <v>0</v>
      </c>
      <c r="G44" s="1808">
        <f t="shared" si="3"/>
        <v>0</v>
      </c>
    </row>
    <row r="45" spans="1:7" hidden="1" x14ac:dyDescent="0.25">
      <c r="A45" s="1671"/>
      <c r="B45" s="1681"/>
      <c r="C45" s="1672"/>
      <c r="D45" s="1859"/>
      <c r="E45" s="1559">
        <f t="shared" si="1"/>
        <v>0</v>
      </c>
      <c r="F45" s="1807">
        <f t="shared" si="2"/>
        <v>0</v>
      </c>
      <c r="G45" s="1808">
        <f t="shared" si="3"/>
        <v>0</v>
      </c>
    </row>
    <row r="46" spans="1:7" hidden="1" x14ac:dyDescent="0.25">
      <c r="A46" s="1671"/>
      <c r="B46" s="1681"/>
      <c r="C46" s="1672"/>
      <c r="D46" s="1859"/>
      <c r="E46" s="1559">
        <f t="shared" si="1"/>
        <v>0</v>
      </c>
      <c r="F46" s="1807">
        <f t="shared" si="2"/>
        <v>0</v>
      </c>
      <c r="G46" s="1808">
        <f t="shared" si="3"/>
        <v>0</v>
      </c>
    </row>
    <row r="47" spans="1:7" hidden="1" x14ac:dyDescent="0.25">
      <c r="A47" s="1671"/>
      <c r="B47" s="1681"/>
      <c r="C47" s="1672"/>
      <c r="D47" s="1859"/>
      <c r="E47" s="1559">
        <f t="shared" si="1"/>
        <v>0</v>
      </c>
      <c r="F47" s="1807">
        <f t="shared" si="2"/>
        <v>0</v>
      </c>
      <c r="G47" s="1808">
        <f t="shared" si="3"/>
        <v>0</v>
      </c>
    </row>
    <row r="48" spans="1:7" hidden="1" x14ac:dyDescent="0.25">
      <c r="A48" s="1671"/>
      <c r="B48" s="1681"/>
      <c r="C48" s="1672"/>
      <c r="D48" s="1859"/>
      <c r="E48" s="1559">
        <f t="shared" si="1"/>
        <v>0</v>
      </c>
      <c r="F48" s="1807">
        <f t="shared" si="2"/>
        <v>0</v>
      </c>
      <c r="G48" s="1808">
        <f t="shared" si="3"/>
        <v>0</v>
      </c>
    </row>
    <row r="49" spans="1:7" hidden="1" x14ac:dyDescent="0.25">
      <c r="A49" s="1671"/>
      <c r="B49" s="1681"/>
      <c r="C49" s="1672"/>
      <c r="D49" s="1859"/>
      <c r="E49" s="1559">
        <f t="shared" si="1"/>
        <v>0</v>
      </c>
      <c r="F49" s="1807">
        <f t="shared" si="2"/>
        <v>0</v>
      </c>
      <c r="G49" s="1808">
        <f t="shared" si="3"/>
        <v>0</v>
      </c>
    </row>
    <row r="50" spans="1:7" hidden="1" x14ac:dyDescent="0.25">
      <c r="A50" s="1671"/>
      <c r="B50" s="1681"/>
      <c r="C50" s="1672"/>
      <c r="D50" s="1859"/>
      <c r="E50" s="1559">
        <f t="shared" si="1"/>
        <v>0</v>
      </c>
      <c r="F50" s="1807">
        <f t="shared" si="2"/>
        <v>0</v>
      </c>
      <c r="G50" s="1808">
        <f t="shared" si="3"/>
        <v>0</v>
      </c>
    </row>
    <row r="51" spans="1:7" hidden="1" x14ac:dyDescent="0.25">
      <c r="A51" s="1671"/>
      <c r="B51" s="1681"/>
      <c r="C51" s="1672"/>
      <c r="D51" s="1859"/>
      <c r="E51" s="1559">
        <f t="shared" si="1"/>
        <v>0</v>
      </c>
      <c r="F51" s="1807">
        <f t="shared" si="2"/>
        <v>0</v>
      </c>
      <c r="G51" s="1808">
        <f t="shared" si="3"/>
        <v>0</v>
      </c>
    </row>
    <row r="52" spans="1:7" hidden="1" x14ac:dyDescent="0.25">
      <c r="A52" s="1671"/>
      <c r="B52" s="1681"/>
      <c r="C52" s="1672"/>
      <c r="D52" s="1859"/>
      <c r="E52" s="1559">
        <f t="shared" si="1"/>
        <v>0</v>
      </c>
      <c r="F52" s="1807">
        <f t="shared" si="2"/>
        <v>0</v>
      </c>
      <c r="G52" s="1808">
        <f t="shared" si="3"/>
        <v>0</v>
      </c>
    </row>
    <row r="53" spans="1:7" hidden="1" x14ac:dyDescent="0.25">
      <c r="A53" s="1671"/>
      <c r="B53" s="1681"/>
      <c r="C53" s="1672"/>
      <c r="D53" s="1859"/>
      <c r="E53" s="1559">
        <f t="shared" si="1"/>
        <v>0</v>
      </c>
      <c r="F53" s="1807">
        <f t="shared" si="2"/>
        <v>0</v>
      </c>
      <c r="G53" s="1808">
        <f t="shared" si="3"/>
        <v>0</v>
      </c>
    </row>
    <row r="54" spans="1:7" hidden="1" x14ac:dyDescent="0.25">
      <c r="A54" s="1671"/>
      <c r="B54" s="1681"/>
      <c r="C54" s="1672"/>
      <c r="D54" s="1859"/>
      <c r="E54" s="1559">
        <f t="shared" si="1"/>
        <v>0</v>
      </c>
      <c r="F54" s="1807">
        <f t="shared" si="2"/>
        <v>0</v>
      </c>
      <c r="G54" s="1808">
        <f t="shared" si="3"/>
        <v>0</v>
      </c>
    </row>
    <row r="55" spans="1:7" hidden="1" x14ac:dyDescent="0.25">
      <c r="A55" s="1671"/>
      <c r="B55" s="1681"/>
      <c r="C55" s="1672"/>
      <c r="D55" s="1859"/>
      <c r="E55" s="1559">
        <f t="shared" si="1"/>
        <v>0</v>
      </c>
      <c r="F55" s="1807">
        <f t="shared" si="2"/>
        <v>0</v>
      </c>
      <c r="G55" s="1808">
        <f t="shared" si="3"/>
        <v>0</v>
      </c>
    </row>
    <row r="56" spans="1:7" hidden="1" x14ac:dyDescent="0.25">
      <c r="A56" s="1671"/>
      <c r="B56" s="1681"/>
      <c r="C56" s="1672"/>
      <c r="D56" s="1859"/>
      <c r="E56" s="1559">
        <f t="shared" si="1"/>
        <v>0</v>
      </c>
      <c r="F56" s="1807">
        <f t="shared" si="2"/>
        <v>0</v>
      </c>
      <c r="G56" s="1808">
        <f t="shared" si="3"/>
        <v>0</v>
      </c>
    </row>
    <row r="57" spans="1:7" hidden="1" x14ac:dyDescent="0.25">
      <c r="A57" s="1671"/>
      <c r="B57" s="1681"/>
      <c r="C57" s="1672"/>
      <c r="D57" s="1859"/>
      <c r="E57" s="1559">
        <f t="shared" si="1"/>
        <v>0</v>
      </c>
      <c r="F57" s="1807">
        <f t="shared" si="2"/>
        <v>0</v>
      </c>
      <c r="G57" s="1808">
        <f t="shared" si="3"/>
        <v>0</v>
      </c>
    </row>
    <row r="58" spans="1:7" hidden="1" x14ac:dyDescent="0.25">
      <c r="A58" s="1671"/>
      <c r="B58" s="1681"/>
      <c r="C58" s="1672"/>
      <c r="D58" s="1859"/>
      <c r="E58" s="1559">
        <f t="shared" si="1"/>
        <v>0</v>
      </c>
      <c r="F58" s="1807">
        <f t="shared" si="2"/>
        <v>0</v>
      </c>
      <c r="G58" s="1808">
        <f t="shared" si="3"/>
        <v>0</v>
      </c>
    </row>
    <row r="59" spans="1:7" hidden="1" x14ac:dyDescent="0.25">
      <c r="A59" s="1671"/>
      <c r="B59" s="1681"/>
      <c r="C59" s="1672"/>
      <c r="D59" s="1859"/>
      <c r="E59" s="1559">
        <f t="shared" si="1"/>
        <v>0</v>
      </c>
      <c r="F59" s="1807">
        <f t="shared" si="2"/>
        <v>0</v>
      </c>
      <c r="G59" s="1808">
        <f t="shared" si="3"/>
        <v>0</v>
      </c>
    </row>
    <row r="60" spans="1:7" hidden="1" x14ac:dyDescent="0.25">
      <c r="A60" s="1671"/>
      <c r="B60" s="1681"/>
      <c r="C60" s="1672"/>
      <c r="D60" s="1859"/>
      <c r="E60" s="1559">
        <f t="shared" si="1"/>
        <v>0</v>
      </c>
      <c r="F60" s="1807">
        <f t="shared" si="2"/>
        <v>0</v>
      </c>
      <c r="G60" s="1808">
        <f t="shared" si="3"/>
        <v>0</v>
      </c>
    </row>
    <row r="61" spans="1:7" hidden="1" x14ac:dyDescent="0.25">
      <c r="A61" s="1673"/>
      <c r="B61" s="1681"/>
      <c r="C61" s="1674"/>
      <c r="D61" s="1859"/>
      <c r="E61" s="1559">
        <f t="shared" si="1"/>
        <v>0</v>
      </c>
      <c r="F61" s="1807">
        <f t="shared" si="2"/>
        <v>0</v>
      </c>
      <c r="G61" s="1808">
        <f t="shared" si="3"/>
        <v>0</v>
      </c>
    </row>
    <row r="62" spans="1:7" hidden="1" x14ac:dyDescent="0.25">
      <c r="A62" s="1671"/>
      <c r="B62" s="1681"/>
      <c r="C62" s="1672"/>
      <c r="D62" s="1859"/>
      <c r="E62" s="1559">
        <f t="shared" si="1"/>
        <v>0</v>
      </c>
      <c r="F62" s="1807">
        <f t="shared" si="2"/>
        <v>0</v>
      </c>
      <c r="G62" s="1808">
        <f t="shared" si="3"/>
        <v>0</v>
      </c>
    </row>
    <row r="63" spans="1:7" hidden="1" x14ac:dyDescent="0.25">
      <c r="A63" s="1671"/>
      <c r="B63" s="1681"/>
      <c r="C63" s="1672"/>
      <c r="D63" s="1859"/>
      <c r="E63" s="1559">
        <f t="shared" si="1"/>
        <v>0</v>
      </c>
      <c r="F63" s="1807">
        <f t="shared" si="2"/>
        <v>0</v>
      </c>
      <c r="G63" s="1808">
        <f t="shared" si="3"/>
        <v>0</v>
      </c>
    </row>
    <row r="64" spans="1:7" hidden="1" x14ac:dyDescent="0.25">
      <c r="A64" s="1671"/>
      <c r="B64" s="1681"/>
      <c r="C64" s="1672"/>
      <c r="D64" s="1859"/>
      <c r="E64" s="1559">
        <f t="shared" si="1"/>
        <v>0</v>
      </c>
      <c r="F64" s="1807">
        <f t="shared" si="2"/>
        <v>0</v>
      </c>
      <c r="G64" s="1808">
        <f t="shared" si="3"/>
        <v>0</v>
      </c>
    </row>
    <row r="65" spans="1:7" hidden="1" x14ac:dyDescent="0.25">
      <c r="A65" s="1671"/>
      <c r="B65" s="1681"/>
      <c r="C65" s="1672"/>
      <c r="D65" s="1859"/>
      <c r="E65" s="1559">
        <f t="shared" si="1"/>
        <v>0</v>
      </c>
      <c r="F65" s="1807">
        <f t="shared" si="2"/>
        <v>0</v>
      </c>
      <c r="G65" s="1808">
        <f t="shared" si="3"/>
        <v>0</v>
      </c>
    </row>
    <row r="66" spans="1:7" hidden="1" x14ac:dyDescent="0.25">
      <c r="A66" s="1671"/>
      <c r="B66" s="1681"/>
      <c r="C66" s="1672"/>
      <c r="D66" s="1859"/>
      <c r="E66" s="1559">
        <f t="shared" si="1"/>
        <v>0</v>
      </c>
      <c r="F66" s="1807">
        <f t="shared" si="2"/>
        <v>0</v>
      </c>
      <c r="G66" s="1808">
        <f t="shared" si="3"/>
        <v>0</v>
      </c>
    </row>
    <row r="67" spans="1:7" hidden="1" x14ac:dyDescent="0.25">
      <c r="A67" s="1671"/>
      <c r="B67" s="1681"/>
      <c r="C67" s="1672"/>
      <c r="D67" s="1859"/>
      <c r="E67" s="1559">
        <f t="shared" si="1"/>
        <v>0</v>
      </c>
      <c r="F67" s="1807">
        <f t="shared" si="2"/>
        <v>0</v>
      </c>
      <c r="G67" s="1808">
        <f t="shared" si="3"/>
        <v>0</v>
      </c>
    </row>
    <row r="68" spans="1:7" hidden="1" x14ac:dyDescent="0.25">
      <c r="A68" s="1671"/>
      <c r="B68" s="1681"/>
      <c r="C68" s="1672"/>
      <c r="D68" s="1859"/>
      <c r="E68" s="1559">
        <f t="shared" si="1"/>
        <v>0</v>
      </c>
      <c r="F68" s="1807">
        <f t="shared" si="2"/>
        <v>0</v>
      </c>
      <c r="G68" s="1808">
        <f t="shared" si="3"/>
        <v>0</v>
      </c>
    </row>
    <row r="69" spans="1:7" hidden="1" x14ac:dyDescent="0.25">
      <c r="A69" s="1671"/>
      <c r="B69" s="1681"/>
      <c r="C69" s="1672"/>
      <c r="D69" s="1859"/>
      <c r="E69" s="1559">
        <f t="shared" si="1"/>
        <v>0</v>
      </c>
      <c r="F69" s="1807">
        <f t="shared" si="2"/>
        <v>0</v>
      </c>
      <c r="G69" s="1808">
        <f t="shared" si="3"/>
        <v>0</v>
      </c>
    </row>
    <row r="70" spans="1:7" hidden="1" x14ac:dyDescent="0.25">
      <c r="A70" s="1671"/>
      <c r="B70" s="1681"/>
      <c r="C70" s="1672"/>
      <c r="D70" s="1859"/>
      <c r="E70" s="1559">
        <f t="shared" ref="E70:E81" si="4">IF(D70&lt;=25000,D70,IF(D70&gt;25000,25000,0))</f>
        <v>0</v>
      </c>
      <c r="F70" s="1807">
        <f t="shared" ref="F70:F81" si="5">IF(OR(B70="10-1000-100",B70="10-1000-200",B70="10-1000-300",B70="10-1000-400",B70="10-1000-600",B70="10-1000-800",B70="50-1000-200",B70="10-2100-100",B70="10-2100-200",B70="10-2100-300",B70="10-2100-400",B70="10-2100-600",B70="10-2100-800",B70="20-2100-200",B70="20-2190-100",B70="20-2190-200",B70="20-2190-300",B70="20-2190-400",B70="20-2190-600",B70="20-2190-800",B70="40-2190-100",B70="40-2190-200",B70="40-2190-300",B70="40-2190-400",B70="40-2190-600",B70="40-2190-800",B70="50-2190-200",B70="10-2200-100",B70="10-2200-200",B70="10-2200-300",B70="10-2200-400",B70="10-2200-600",B70="10-2200-800",B70="50-2200-200",B70="10-2300-100",B70="10-2300-200",B70="10-2300-300",B70="10-2300-400",B70="10-2300-600",B70="10-2300-800",B70="50-2300-200",B70="80-2300-100",B70="80-2300-200",B70="80-2300-300",B70="80-2300-400",B70="80-2300-600",B70="80-2300-800",B70="10-2400-100",B70="10-2400-200",B70="10-2400-300",B70="10-2400-400",B70="10-2400-600",B70="10-2400-800",B70="50-2400-200",B70="10-2510-100",B70="10-2510-200",B70="10-2510-300",B70="10-2510-400",B70="10-2510-600",B70="10-2510-800",B70="20-2510-100",B70="20-2510-200",B70="20-2510-300",B70="20-2510-400",B70="20-2510-600",B70="20-2510-800",B70="50-2510-200",B70="10-2520-100",B70="10-2520-200",B70="10-2520-300",B70="10-2520-400",B70="10-2520-600",B70="10-2520-800",B70="50-2520-200",B70="10-2540-100",B70="10-2540-200",B70="10-2540-300",B70="10-2540-400",B70="10-2540-600",B70="20-2540-800",B70="20-2540-100",B70="20-2540-200",B70="20-2540-300",B70="20-2540-400",B70="20-2540-600",B70="50-2540-200",B70="90-2540-100",B70="90-2540-200",B70="90-2540-300",B70="90-2540-400",B70="90-2540-600",B70="90-2540-800",B70="90-2540-800",B70="10-2550-100",B70="10-2550-200",B70="10-2550-300",B70="10-2550-400",B70="10-2550-600",B70="10-2550-800",B70="20-2550-100",B70="20-2550-200",B70="20-2550-300",B70="20-2550-400",B70="20-2550-600",B70="20-2550-800",B70="40-2550-100",B70="40-2550-200",B70="40-2550-300",B70="40-2550-400",B70="40-2550-600",B70="40-2550-800",B70="50-2550-200",B70="10-2560-100",B70="10-2560-200",B70="10-2560-300",B70="10-2560-400",B70="10-2560-600",B70="10-2560-800",B70="20-2560-100",B70="20-2560-200",B70="20-2560-300",B70="20-2560-400",B70="20-2560-600",B70="20-2560-800",B70="50-2560-200",B70="10-2570-100",B70="10-2570-200",B70="10-2570-300",B70="10-2570-400",B70="10-2570-600",B70="10-2570-800",B70="50-2570-200",B70="10-2610-100",B70="10-2610-200",B70="10-2610-300",B70="10-2610-400",B70="10-2610-600",B70="10-2610-800",B70="50-2610-200",B70="10-2620-100",B70="10-2620-200",B70="10-2620-300",B70="10-2620-400",B70="10-2620-600",B70="10-2620-800",B70="50-2620-200",B70="10-2630-100",B70="10-2630-200",B70="10-2630-300",B70="10-2630-400",B70="10-2630-600",B70="10-2630-800",B70="50-2630-200",B70="10-2640-100",B70="10-2640-200",B70="10-2640-300",B70="10-2640-400",B70="10-2640-600",B70="10-2640-800",B70="50-2640-200",B70="10-2660-100",B70="10-2660-200",B70="10-2660-300",B70="10-2660-400",B70="10-2660-600",B70="10-2660-800",B70="50-2660-200",B70="10-2900-100",B70="10-2900-200",B70="10-2900-300",B70="10-2900-400",B70="10-2900-600",B70="10-2900-800",B70="20-2900-100",B70="20-2900-200",B70="20-2900-300",B70="20-2900-400",B70="20-2900-600",B70="20-2900-800",B70="40-2900-100",B70="40-2900-200",B70="40-2900-300",B70="40-2900-400",B70="40-2900-600",B70="40-2900-800",B70="50-2900-200",B70="60-2900-100",B70="60-2900-200",B70="60-2900-300",B70="60-2900-400",B70="60-2900-600",B70="60-2900-800",B70="90-2900-100",B70="90-2900-200",B70="90-2900-300",B70="90-2900-400",B70="90-2900-600",B70="90-2900-800",B70="10-3000-100",B70="10-3000-200",B70="10-3000-300",B70="10-3000-400",B70="10-3000-600",B70="10-3000-800",B70="20-3000-100",B70="20-3000-200",B70="20-3000-300",B70="20-3000-400",B70="20-3000-600",B70="20-3000-800",B70="40-3000-100",B70="40-3000-200",B70="40-3000-300",B70="40-3000-400",B70="40-3000-600",B70="40-3000-800",B70="50-3000-200"),E70,0)</f>
        <v>0</v>
      </c>
      <c r="G70" s="1808">
        <f t="shared" ref="G70:G81" si="6">IF(F70=0,0,D70-F70)</f>
        <v>0</v>
      </c>
    </row>
    <row r="71" spans="1:7" hidden="1" x14ac:dyDescent="0.25">
      <c r="A71" s="1671"/>
      <c r="B71" s="1681"/>
      <c r="C71" s="1672"/>
      <c r="D71" s="1859"/>
      <c r="E71" s="1559">
        <f t="shared" si="4"/>
        <v>0</v>
      </c>
      <c r="F71" s="1807">
        <f t="shared" si="5"/>
        <v>0</v>
      </c>
      <c r="G71" s="1808">
        <f t="shared" si="6"/>
        <v>0</v>
      </c>
    </row>
    <row r="72" spans="1:7" hidden="1" x14ac:dyDescent="0.25">
      <c r="A72" s="1671"/>
      <c r="B72" s="1681"/>
      <c r="C72" s="1672"/>
      <c r="D72" s="1859"/>
      <c r="E72" s="1559">
        <f t="shared" si="4"/>
        <v>0</v>
      </c>
      <c r="F72" s="1807">
        <f t="shared" si="5"/>
        <v>0</v>
      </c>
      <c r="G72" s="1808">
        <f t="shared" si="6"/>
        <v>0</v>
      </c>
    </row>
    <row r="73" spans="1:7" hidden="1" x14ac:dyDescent="0.25">
      <c r="A73" s="1671"/>
      <c r="B73" s="1681"/>
      <c r="C73" s="1672"/>
      <c r="D73" s="1859"/>
      <c r="E73" s="1559">
        <f t="shared" si="4"/>
        <v>0</v>
      </c>
      <c r="F73" s="1807">
        <f t="shared" si="5"/>
        <v>0</v>
      </c>
      <c r="G73" s="1808">
        <f t="shared" si="6"/>
        <v>0</v>
      </c>
    </row>
    <row r="74" spans="1:7" hidden="1" x14ac:dyDescent="0.25">
      <c r="A74" s="1671"/>
      <c r="B74" s="1681"/>
      <c r="C74" s="1672"/>
      <c r="D74" s="1859"/>
      <c r="E74" s="1559">
        <f t="shared" si="4"/>
        <v>0</v>
      </c>
      <c r="F74" s="1807">
        <f t="shared" si="5"/>
        <v>0</v>
      </c>
      <c r="G74" s="1808">
        <f t="shared" si="6"/>
        <v>0</v>
      </c>
    </row>
    <row r="75" spans="1:7" hidden="1" x14ac:dyDescent="0.25">
      <c r="A75" s="1671"/>
      <c r="B75" s="1681"/>
      <c r="C75" s="1672"/>
      <c r="D75" s="1859"/>
      <c r="E75" s="1559">
        <f t="shared" si="4"/>
        <v>0</v>
      </c>
      <c r="F75" s="1807">
        <f t="shared" si="5"/>
        <v>0</v>
      </c>
      <c r="G75" s="1808">
        <f t="shared" si="6"/>
        <v>0</v>
      </c>
    </row>
    <row r="76" spans="1:7" hidden="1" x14ac:dyDescent="0.25">
      <c r="A76" s="1671"/>
      <c r="B76" s="1681"/>
      <c r="C76" s="1672"/>
      <c r="D76" s="1859"/>
      <c r="E76" s="1559">
        <f t="shared" si="4"/>
        <v>0</v>
      </c>
      <c r="F76" s="1807">
        <f t="shared" si="5"/>
        <v>0</v>
      </c>
      <c r="G76" s="1808">
        <f t="shared" si="6"/>
        <v>0</v>
      </c>
    </row>
    <row r="77" spans="1:7" hidden="1" x14ac:dyDescent="0.25">
      <c r="A77" s="1671"/>
      <c r="B77" s="1681"/>
      <c r="C77" s="1672"/>
      <c r="D77" s="1859"/>
      <c r="E77" s="1559">
        <f t="shared" si="4"/>
        <v>0</v>
      </c>
      <c r="F77" s="1807">
        <f t="shared" si="5"/>
        <v>0</v>
      </c>
      <c r="G77" s="1808">
        <f t="shared" si="6"/>
        <v>0</v>
      </c>
    </row>
    <row r="78" spans="1:7" hidden="1" x14ac:dyDescent="0.25">
      <c r="A78" s="1671"/>
      <c r="B78" s="1681"/>
      <c r="C78" s="1672"/>
      <c r="D78" s="1859"/>
      <c r="E78" s="1559">
        <f t="shared" si="4"/>
        <v>0</v>
      </c>
      <c r="F78" s="1807">
        <f t="shared" si="5"/>
        <v>0</v>
      </c>
      <c r="G78" s="1808">
        <f t="shared" si="6"/>
        <v>0</v>
      </c>
    </row>
    <row r="79" spans="1:7" hidden="1" x14ac:dyDescent="0.25">
      <c r="A79" s="1671"/>
      <c r="B79" s="1681"/>
      <c r="C79" s="1672"/>
      <c r="D79" s="1859"/>
      <c r="E79" s="1559">
        <f t="shared" si="4"/>
        <v>0</v>
      </c>
      <c r="F79" s="1807">
        <f t="shared" si="5"/>
        <v>0</v>
      </c>
      <c r="G79" s="1808">
        <f t="shared" si="6"/>
        <v>0</v>
      </c>
    </row>
    <row r="80" spans="1:7" hidden="1" x14ac:dyDescent="0.25">
      <c r="A80" s="1671"/>
      <c r="B80" s="1681"/>
      <c r="C80" s="1672"/>
      <c r="D80" s="1859"/>
      <c r="E80" s="1559">
        <f t="shared" si="4"/>
        <v>0</v>
      </c>
      <c r="F80" s="1807">
        <f t="shared" si="5"/>
        <v>0</v>
      </c>
      <c r="G80" s="1808">
        <f t="shared" si="6"/>
        <v>0</v>
      </c>
    </row>
    <row r="81" spans="1:7" hidden="1" x14ac:dyDescent="0.25">
      <c r="A81" s="1671"/>
      <c r="B81" s="1681"/>
      <c r="C81" s="1672"/>
      <c r="D81" s="1859"/>
      <c r="E81" s="1559">
        <f t="shared" si="4"/>
        <v>0</v>
      </c>
      <c r="F81" s="1807">
        <f t="shared" si="5"/>
        <v>0</v>
      </c>
      <c r="G81" s="1808">
        <f t="shared" si="6"/>
        <v>0</v>
      </c>
    </row>
    <row r="82" spans="1:7" hidden="1" x14ac:dyDescent="0.25">
      <c r="A82" s="1671"/>
      <c r="B82" s="1681"/>
      <c r="C82" s="1672"/>
      <c r="D82" s="1859"/>
      <c r="E82" s="1559">
        <f t="shared" si="1"/>
        <v>0</v>
      </c>
      <c r="F82" s="1807">
        <f t="shared" si="2"/>
        <v>0</v>
      </c>
      <c r="G82" s="1808">
        <f t="shared" si="3"/>
        <v>0</v>
      </c>
    </row>
    <row r="83" spans="1:7" hidden="1" x14ac:dyDescent="0.25">
      <c r="A83" s="1671"/>
      <c r="B83" s="1681"/>
      <c r="C83" s="1672"/>
      <c r="D83" s="1859"/>
      <c r="E83" s="1559">
        <f t="shared" si="1"/>
        <v>0</v>
      </c>
      <c r="F83" s="1807">
        <f t="shared" si="2"/>
        <v>0</v>
      </c>
      <c r="G83" s="1808">
        <f t="shared" si="3"/>
        <v>0</v>
      </c>
    </row>
    <row r="84" spans="1:7" hidden="1" x14ac:dyDescent="0.25">
      <c r="A84" s="1671"/>
      <c r="B84" s="1681"/>
      <c r="C84" s="1672"/>
      <c r="D84" s="1859"/>
      <c r="E84" s="1559">
        <f t="shared" si="1"/>
        <v>0</v>
      </c>
      <c r="F84" s="1807">
        <f t="shared" si="2"/>
        <v>0</v>
      </c>
      <c r="G84" s="1808">
        <f t="shared" si="3"/>
        <v>0</v>
      </c>
    </row>
    <row r="85" spans="1:7" hidden="1" x14ac:dyDescent="0.25">
      <c r="A85" s="1671"/>
      <c r="B85" s="1681"/>
      <c r="C85" s="1672"/>
      <c r="D85" s="1859"/>
      <c r="E85" s="1559">
        <f t="shared" si="1"/>
        <v>0</v>
      </c>
      <c r="F85" s="1807">
        <f t="shared" si="2"/>
        <v>0</v>
      </c>
      <c r="G85" s="1808">
        <f t="shared" si="3"/>
        <v>0</v>
      </c>
    </row>
    <row r="86" spans="1:7" hidden="1" x14ac:dyDescent="0.25">
      <c r="A86" s="1671"/>
      <c r="B86" s="1681"/>
      <c r="C86" s="1672"/>
      <c r="D86" s="1859"/>
      <c r="E86" s="1559">
        <f t="shared" si="1"/>
        <v>0</v>
      </c>
      <c r="F86" s="1807">
        <f t="shared" si="2"/>
        <v>0</v>
      </c>
      <c r="G86" s="1808">
        <f t="shared" si="3"/>
        <v>0</v>
      </c>
    </row>
    <row r="87" spans="1:7" hidden="1" x14ac:dyDescent="0.25">
      <c r="A87" s="1671"/>
      <c r="B87" s="1681"/>
      <c r="C87" s="1672"/>
      <c r="D87" s="1859"/>
      <c r="E87" s="1559">
        <f t="shared" si="1"/>
        <v>0</v>
      </c>
      <c r="F87" s="1807">
        <f t="shared" si="2"/>
        <v>0</v>
      </c>
      <c r="G87" s="1808">
        <f t="shared" si="3"/>
        <v>0</v>
      </c>
    </row>
    <row r="88" spans="1:7" hidden="1" x14ac:dyDescent="0.25">
      <c r="A88" s="1671"/>
      <c r="B88" s="1681"/>
      <c r="C88" s="1672"/>
      <c r="D88" s="1859"/>
      <c r="E88" s="1559">
        <f t="shared" si="1"/>
        <v>0</v>
      </c>
      <c r="F88" s="1807">
        <f t="shared" si="2"/>
        <v>0</v>
      </c>
      <c r="G88" s="1808">
        <f t="shared" si="3"/>
        <v>0</v>
      </c>
    </row>
    <row r="89" spans="1:7" hidden="1" x14ac:dyDescent="0.25">
      <c r="A89" s="1671"/>
      <c r="B89" s="1681"/>
      <c r="C89" s="1672"/>
      <c r="D89" s="1859"/>
      <c r="E89" s="1559">
        <f t="shared" si="1"/>
        <v>0</v>
      </c>
      <c r="F89" s="1807">
        <f t="shared" si="2"/>
        <v>0</v>
      </c>
      <c r="G89" s="1808">
        <f t="shared" si="3"/>
        <v>0</v>
      </c>
    </row>
    <row r="90" spans="1:7" hidden="1" x14ac:dyDescent="0.25">
      <c r="A90" s="1671"/>
      <c r="B90" s="1681"/>
      <c r="C90" s="1672"/>
      <c r="D90" s="1859"/>
      <c r="E90" s="1559">
        <f t="shared" ref="E90" si="7">IF(D90&lt;=25000,D90,IF(D90&gt;25000,25000,0))</f>
        <v>0</v>
      </c>
      <c r="F90" s="1807">
        <f t="shared" ref="F90" si="8">IF(OR(B90="10-1000-100",B90="10-1000-200",B90="10-1000-300",B90="10-1000-400",B90="10-1000-600",B90="10-1000-800",B90="50-1000-200",B90="10-2100-100",B90="10-2100-200",B90="10-2100-300",B90="10-2100-400",B90="10-2100-600",B90="10-2100-800",B90="20-2100-200",B90="20-2190-100",B90="20-2190-200",B90="20-2190-300",B90="20-2190-400",B90="20-2190-600",B90="20-2190-800",B90="40-2190-100",B90="40-2190-200",B90="40-2190-300",B90="40-2190-400",B90="40-2190-600",B90="40-2190-800",B90="50-2190-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20-2540-800",B90="20-2540-100",B90="20-2540-200",B90="20-2540-300",B90="20-2540-400",B90="20-2540-600",B90="50-2540-200",B90="90-2540-100",B90="90-2540-200",B90="90-2540-300",B90="90-2540-400",B90="90-2540-600",B90="90-2540-800",B90="90-2540-800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20-2560-100",B90="20-2560-200",B90="20-2560-300",B90="20-2560-400",B90="20-2560-600",B90="20-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60-2900-100",B90="60-2900-200",B90="60-2900-300",B90="60-2900-400",B90="60-2900-600",B90="60-2900-800",B90="90-2900-100",B90="90-2900-200",B90="90-2900-300",B90="90-2900-400",B90="90-2900-600",B90="90-2900-800",B90="10-3000-100",B90="10-3000-200",B90="10-3000-300",B90="10-3000-400",B90="10-3000-600",B90="10-3000-800",B90="20-3000-100",B90="20-3000-200",B90="20-3000-300",B90="20-3000-400",B90="20-3000-600",B90="20-3000-800",B90="40-3000-100",B90="40-3000-200",B90="40-3000-300",B90="40-3000-400",B90="40-3000-600",B90="40-3000-800",B90="50-3000-200"),E90,0)</f>
        <v>0</v>
      </c>
      <c r="G90" s="1808">
        <f t="shared" ref="G90" si="9">IF(F90=0,0,D90-F90)</f>
        <v>0</v>
      </c>
    </row>
    <row r="91" spans="1:7" hidden="1" x14ac:dyDescent="0.25">
      <c r="A91" s="1671"/>
      <c r="B91" s="1681"/>
      <c r="C91" s="1672"/>
      <c r="D91" s="1859"/>
      <c r="E91" s="1559">
        <f t="shared" si="1"/>
        <v>0</v>
      </c>
      <c r="F91" s="1807">
        <f t="shared" si="2"/>
        <v>0</v>
      </c>
      <c r="G91" s="1808">
        <f t="shared" si="3"/>
        <v>0</v>
      </c>
    </row>
    <row r="92" spans="1:7" hidden="1" x14ac:dyDescent="0.25">
      <c r="A92" s="1671"/>
      <c r="B92" s="1681"/>
      <c r="C92" s="1672"/>
      <c r="D92" s="1859"/>
      <c r="E92" s="1559">
        <f t="shared" ref="E92:E95" si="10">IF(D92&lt;=25000,D92,IF(D92&gt;25000,25000,0))</f>
        <v>0</v>
      </c>
      <c r="F92" s="1807">
        <f t="shared" ref="F92:F95" si="11">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808">
        <f t="shared" ref="G92:G95" si="12">IF(F92=0,0,D92-F92)</f>
        <v>0</v>
      </c>
    </row>
    <row r="93" spans="1:7" hidden="1" x14ac:dyDescent="0.25">
      <c r="A93" s="1671"/>
      <c r="B93" s="1681"/>
      <c r="C93" s="1672"/>
      <c r="D93" s="1859"/>
      <c r="E93" s="1559">
        <f t="shared" si="10"/>
        <v>0</v>
      </c>
      <c r="F93" s="1807">
        <f t="shared" si="11"/>
        <v>0</v>
      </c>
      <c r="G93" s="1808">
        <f t="shared" si="12"/>
        <v>0</v>
      </c>
    </row>
    <row r="94" spans="1:7" hidden="1" x14ac:dyDescent="0.25">
      <c r="A94" s="1671"/>
      <c r="B94" s="1681"/>
      <c r="C94" s="1672"/>
      <c r="D94" s="1859"/>
      <c r="E94" s="1559">
        <f t="shared" si="10"/>
        <v>0</v>
      </c>
      <c r="F94" s="1807">
        <f t="shared" si="11"/>
        <v>0</v>
      </c>
      <c r="G94" s="1808">
        <f t="shared" si="12"/>
        <v>0</v>
      </c>
    </row>
    <row r="95" spans="1:7" hidden="1" x14ac:dyDescent="0.25">
      <c r="A95" s="1671"/>
      <c r="B95" s="1681"/>
      <c r="C95" s="1672"/>
      <c r="D95" s="1859"/>
      <c r="E95" s="1559">
        <f t="shared" si="10"/>
        <v>0</v>
      </c>
      <c r="F95" s="1807">
        <f t="shared" si="11"/>
        <v>0</v>
      </c>
      <c r="G95" s="1808">
        <f t="shared" si="12"/>
        <v>0</v>
      </c>
    </row>
    <row r="96" spans="1:7" hidden="1" x14ac:dyDescent="0.25">
      <c r="A96" s="1671"/>
      <c r="B96" s="1681"/>
      <c r="C96" s="1672"/>
      <c r="D96" s="1859"/>
      <c r="E96" s="1559">
        <f t="shared" ref="E96" si="13">IF(D96&lt;=25000,D96,IF(D96&gt;25000,25000,0))</f>
        <v>0</v>
      </c>
      <c r="F96" s="1807">
        <f t="shared" ref="F96" si="14">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08">
        <f t="shared" ref="G96" si="15">IF(F96=0,0,D96-F96)</f>
        <v>0</v>
      </c>
    </row>
    <row r="97" spans="1:7" hidden="1" x14ac:dyDescent="0.25">
      <c r="A97" s="1671"/>
      <c r="B97" s="1681"/>
      <c r="C97" s="1672"/>
      <c r="D97" s="1859"/>
      <c r="E97" s="1559">
        <f t="shared" ref="E97:E109" si="16">IF(D97&lt;=25000,D97,IF(D97&gt;25000,25000,0))</f>
        <v>0</v>
      </c>
      <c r="F97" s="1807">
        <f t="shared" ref="F97:F109" si="17">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08">
        <f t="shared" ref="G97:G109" si="18">IF(F97=0,0,D97-F97)</f>
        <v>0</v>
      </c>
    </row>
    <row r="98" spans="1:7" hidden="1" x14ac:dyDescent="0.25">
      <c r="A98" s="1671"/>
      <c r="B98" s="1681"/>
      <c r="C98" s="1672"/>
      <c r="D98" s="1859"/>
      <c r="E98" s="1559">
        <f t="shared" si="16"/>
        <v>0</v>
      </c>
      <c r="F98" s="1807">
        <f t="shared" si="17"/>
        <v>0</v>
      </c>
      <c r="G98" s="1808">
        <f t="shared" si="18"/>
        <v>0</v>
      </c>
    </row>
    <row r="99" spans="1:7" hidden="1" x14ac:dyDescent="0.25">
      <c r="A99" s="1671"/>
      <c r="B99" s="1681"/>
      <c r="C99" s="1672"/>
      <c r="D99" s="1859"/>
      <c r="E99" s="1559">
        <f t="shared" si="16"/>
        <v>0</v>
      </c>
      <c r="F99" s="1807">
        <f t="shared" si="17"/>
        <v>0</v>
      </c>
      <c r="G99" s="1808">
        <f t="shared" si="18"/>
        <v>0</v>
      </c>
    </row>
    <row r="100" spans="1:7" hidden="1" x14ac:dyDescent="0.25">
      <c r="A100" s="1671"/>
      <c r="B100" s="1681"/>
      <c r="C100" s="1672"/>
      <c r="D100" s="1859"/>
      <c r="E100" s="1559">
        <f t="shared" si="16"/>
        <v>0</v>
      </c>
      <c r="F100" s="1807">
        <f t="shared" si="17"/>
        <v>0</v>
      </c>
      <c r="G100" s="1808">
        <f t="shared" si="18"/>
        <v>0</v>
      </c>
    </row>
    <row r="101" spans="1:7" hidden="1" x14ac:dyDescent="0.25">
      <c r="A101" s="1671"/>
      <c r="B101" s="1681"/>
      <c r="C101" s="1672"/>
      <c r="D101" s="1859"/>
      <c r="E101" s="1559">
        <f t="shared" si="16"/>
        <v>0</v>
      </c>
      <c r="F101" s="1807">
        <f t="shared" si="17"/>
        <v>0</v>
      </c>
      <c r="G101" s="1808">
        <f t="shared" si="18"/>
        <v>0</v>
      </c>
    </row>
    <row r="102" spans="1:7" hidden="1" x14ac:dyDescent="0.25">
      <c r="A102" s="1671"/>
      <c r="B102" s="1681"/>
      <c r="C102" s="1672"/>
      <c r="D102" s="1859"/>
      <c r="E102" s="1559">
        <f t="shared" si="16"/>
        <v>0</v>
      </c>
      <c r="F102" s="1807">
        <f t="shared" si="17"/>
        <v>0</v>
      </c>
      <c r="G102" s="1808">
        <f t="shared" si="18"/>
        <v>0</v>
      </c>
    </row>
    <row r="103" spans="1:7" hidden="1" x14ac:dyDescent="0.25">
      <c r="A103" s="1671"/>
      <c r="B103" s="1681"/>
      <c r="C103" s="1672"/>
      <c r="D103" s="1859"/>
      <c r="E103" s="1559">
        <f t="shared" si="16"/>
        <v>0</v>
      </c>
      <c r="F103" s="1807">
        <f t="shared" si="17"/>
        <v>0</v>
      </c>
      <c r="G103" s="1808">
        <f t="shared" si="18"/>
        <v>0</v>
      </c>
    </row>
    <row r="104" spans="1:7" hidden="1" x14ac:dyDescent="0.25">
      <c r="A104" s="1671"/>
      <c r="B104" s="1681"/>
      <c r="C104" s="1672"/>
      <c r="D104" s="1859"/>
      <c r="E104" s="1559">
        <f t="shared" si="16"/>
        <v>0</v>
      </c>
      <c r="F104" s="1807">
        <f t="shared" si="17"/>
        <v>0</v>
      </c>
      <c r="G104" s="1808">
        <f t="shared" si="18"/>
        <v>0</v>
      </c>
    </row>
    <row r="105" spans="1:7" hidden="1" x14ac:dyDescent="0.25">
      <c r="A105" s="1671"/>
      <c r="B105" s="1681"/>
      <c r="C105" s="1672"/>
      <c r="D105" s="1859"/>
      <c r="E105" s="1559">
        <f t="shared" si="16"/>
        <v>0</v>
      </c>
      <c r="F105" s="1807">
        <f t="shared" si="17"/>
        <v>0</v>
      </c>
      <c r="G105" s="1808">
        <f t="shared" si="18"/>
        <v>0</v>
      </c>
    </row>
    <row r="106" spans="1:7" hidden="1" x14ac:dyDescent="0.25">
      <c r="A106" s="1671"/>
      <c r="B106" s="1681"/>
      <c r="C106" s="1672"/>
      <c r="D106" s="1859"/>
      <c r="E106" s="1559">
        <f t="shared" si="16"/>
        <v>0</v>
      </c>
      <c r="F106" s="1807">
        <f t="shared" si="17"/>
        <v>0</v>
      </c>
      <c r="G106" s="1808">
        <f t="shared" si="18"/>
        <v>0</v>
      </c>
    </row>
    <row r="107" spans="1:7" hidden="1" x14ac:dyDescent="0.25">
      <c r="A107" s="1671"/>
      <c r="B107" s="1681"/>
      <c r="C107" s="1672"/>
      <c r="D107" s="1859"/>
      <c r="E107" s="1559">
        <f t="shared" si="16"/>
        <v>0</v>
      </c>
      <c r="F107" s="1807">
        <f t="shared" si="17"/>
        <v>0</v>
      </c>
      <c r="G107" s="1808">
        <f t="shared" si="18"/>
        <v>0</v>
      </c>
    </row>
    <row r="108" spans="1:7" hidden="1" x14ac:dyDescent="0.25">
      <c r="A108" s="1671"/>
      <c r="B108" s="1681"/>
      <c r="C108" s="1672"/>
      <c r="D108" s="1859"/>
      <c r="E108" s="1559">
        <f t="shared" si="16"/>
        <v>0</v>
      </c>
      <c r="F108" s="1807">
        <f t="shared" si="17"/>
        <v>0</v>
      </c>
      <c r="G108" s="1808">
        <f t="shared" si="18"/>
        <v>0</v>
      </c>
    </row>
    <row r="109" spans="1:7" hidden="1" x14ac:dyDescent="0.25">
      <c r="A109" s="1671"/>
      <c r="B109" s="1681"/>
      <c r="C109" s="1672"/>
      <c r="D109" s="1859"/>
      <c r="E109" s="1559">
        <f t="shared" si="16"/>
        <v>0</v>
      </c>
      <c r="F109" s="1807">
        <f t="shared" si="17"/>
        <v>0</v>
      </c>
      <c r="G109" s="1808">
        <f t="shared" si="18"/>
        <v>0</v>
      </c>
    </row>
    <row r="110" spans="1:7" hidden="1" x14ac:dyDescent="0.25">
      <c r="A110" s="1671"/>
      <c r="B110" s="1681"/>
      <c r="C110" s="1672"/>
      <c r="D110" s="1859"/>
      <c r="E110" s="1559">
        <f t="shared" ref="E110:E122" si="19">IF(D110&lt;=25000,D110,IF(D110&gt;25000,25000,0))</f>
        <v>0</v>
      </c>
      <c r="F110" s="1807">
        <f t="shared" ref="F110:F122" si="20">IF(OR(B110="10-1000-100",B110="10-1000-200",B110="10-1000-300",B110="10-1000-400",B110="10-1000-600",B110="10-1000-800",B110="50-1000-200",B110="10-2100-100",B110="10-2100-200",B110="10-2100-300",B110="10-2100-400",B110="10-2100-600",B110="10-2100-800",B110="20-2100-200",B110="20-2190-100",B110="20-2190-200",B110="20-2190-300",B110="20-2190-400",B110="20-2190-600",B110="20-2190-800",B110="40-2190-100",B110="40-2190-200",B110="40-2190-300",B110="40-2190-400",B110="40-2190-600",B110="40-2190-800",B110="50-2190-200",B110="10-2200-100",B110="10-2200-200",B110="10-2200-300",B110="10-2200-400",B110="10-2200-600",B110="10-2200-800",B110="50-2200-200",B110="10-2300-100",B110="10-2300-200",B110="10-2300-300",B110="10-2300-400",B110="10-2300-600",B110="10-2300-800",B110="50-2300-200",B110="80-2300-100",B110="80-2300-200",B110="80-2300-300",B110="80-2300-400",B110="80-2300-600",B110="80-2300-800",B110="10-2400-100",B110="10-2400-200",B110="10-2400-300",B110="10-2400-400",B110="10-2400-600",B110="10-2400-800",B110="50-2400-200",B110="10-2510-100",B110="10-2510-200",B110="10-2510-300",B110="10-2510-400",B110="10-2510-600",B110="10-2510-800",B110="20-2510-100",B110="20-2510-200",B110="20-2510-300",B110="20-2510-400",B110="20-2510-600",B110="20-2510-800",B110="50-2510-200",B110="10-2520-100",B110="10-2520-200",B110="10-2520-300",B110="10-2520-400",B110="10-2520-600",B110="10-2520-800",B110="50-2520-200",B110="10-2540-100",B110="10-2540-200",B110="10-2540-300",B110="10-2540-400",B110="10-2540-600",B110="20-2540-800",B110="20-2540-100",B110="20-2540-200",B110="20-2540-300",B110="20-2540-400",B110="20-2540-600",B110="50-2540-200",B110="90-2540-100",B110="90-2540-200",B110="90-2540-300",B110="90-2540-400",B110="90-2540-600",B110="90-2540-800",B110="90-2540-800",B110="10-2550-100",B110="10-2550-200",B110="10-2550-300",B110="10-2550-400",B110="10-2550-600",B110="10-2550-800",B110="20-2550-100",B110="20-2550-200",B110="20-2550-300",B110="20-2550-400",B110="20-2550-600",B110="20-2550-800",B110="40-2550-100",B110="40-2550-200",B110="40-2550-300",B110="40-2550-400",B110="40-2550-600",B110="40-2550-800",B110="50-2550-200",B110="10-2560-100",B110="10-2560-200",B110="10-2560-300",B110="10-2560-400",B110="10-2560-600",B110="10-2560-800",B110="20-2560-100",B110="20-2560-200",B110="20-2560-300",B110="20-2560-400",B110="20-2560-600",B110="20-2560-800",B110="50-2560-200",B110="10-2570-100",B110="10-2570-200",B110="10-2570-300",B110="10-2570-400",B110="10-2570-600",B110="10-2570-800",B110="50-2570-200",B110="10-2610-100",B110="10-2610-200",B110="10-2610-300",B110="10-2610-400",B110="10-2610-600",B110="10-2610-800",B110="50-2610-200",B110="10-2620-100",B110="10-2620-200",B110="10-2620-300",B110="10-2620-400",B110="10-2620-600",B110="10-2620-800",B110="50-2620-200",B110="10-2630-100",B110="10-2630-200",B110="10-2630-300",B110="10-2630-400",B110="10-2630-600",B110="10-2630-800",B110="50-2630-200",B110="10-2640-100",B110="10-2640-200",B110="10-2640-300",B110="10-2640-400",B110="10-2640-600",B110="10-2640-800",B110="50-2640-200",B110="10-2660-100",B110="10-2660-200",B110="10-2660-300",B110="10-2660-400",B110="10-2660-600",B110="10-2660-800",B110="50-2660-200",B110="10-2900-100",B110="10-2900-200",B110="10-2900-300",B110="10-2900-400",B110="10-2900-600",B110="10-2900-800",B110="20-2900-100",B110="20-2900-200",B110="20-2900-300",B110="20-2900-400",B110="20-2900-600",B110="20-2900-800",B110="40-2900-100",B110="40-2900-200",B110="40-2900-300",B110="40-2900-400",B110="40-2900-600",B110="40-2900-800",B110="50-2900-200",B110="60-2900-100",B110="60-2900-200",B110="60-2900-300",B110="60-2900-400",B110="60-2900-600",B110="60-2900-800",B110="90-2900-100",B110="90-2900-200",B110="90-2900-300",B110="90-2900-400",B110="90-2900-600",B110="90-2900-800",B110="10-3000-100",B110="10-3000-200",B110="10-3000-300",B110="10-3000-400",B110="10-3000-600",B110="10-3000-800",B110="20-3000-100",B110="20-3000-200",B110="20-3000-300",B110="20-3000-400",B110="20-3000-600",B110="20-3000-800",B110="40-3000-100",B110="40-3000-200",B110="40-3000-300",B110="40-3000-400",B110="40-3000-600",B110="40-3000-800",B110="50-3000-200"),E110,0)</f>
        <v>0</v>
      </c>
      <c r="G110" s="1808">
        <f t="shared" ref="G110:G122" si="21">IF(F110=0,0,D110-F110)</f>
        <v>0</v>
      </c>
    </row>
    <row r="111" spans="1:7" hidden="1" x14ac:dyDescent="0.25">
      <c r="A111" s="1671"/>
      <c r="B111" s="1681"/>
      <c r="C111" s="1672"/>
      <c r="D111" s="1859"/>
      <c r="E111" s="1559">
        <f t="shared" si="19"/>
        <v>0</v>
      </c>
      <c r="F111" s="1807">
        <f t="shared" si="20"/>
        <v>0</v>
      </c>
      <c r="G111" s="1808">
        <f t="shared" si="21"/>
        <v>0</v>
      </c>
    </row>
    <row r="112" spans="1:7" hidden="1" x14ac:dyDescent="0.25">
      <c r="A112" s="1671"/>
      <c r="B112" s="1681"/>
      <c r="C112" s="1672"/>
      <c r="D112" s="1859"/>
      <c r="E112" s="1559">
        <f t="shared" si="19"/>
        <v>0</v>
      </c>
      <c r="F112" s="1807">
        <f t="shared" si="20"/>
        <v>0</v>
      </c>
      <c r="G112" s="1808">
        <f t="shared" si="21"/>
        <v>0</v>
      </c>
    </row>
    <row r="113" spans="1:7" hidden="1" x14ac:dyDescent="0.25">
      <c r="A113" s="1671"/>
      <c r="B113" s="1681"/>
      <c r="C113" s="1672"/>
      <c r="D113" s="1859"/>
      <c r="E113" s="1559">
        <f t="shared" si="19"/>
        <v>0</v>
      </c>
      <c r="F113" s="1807">
        <f t="shared" si="20"/>
        <v>0</v>
      </c>
      <c r="G113" s="1808">
        <f t="shared" si="21"/>
        <v>0</v>
      </c>
    </row>
    <row r="114" spans="1:7" hidden="1" x14ac:dyDescent="0.25">
      <c r="A114" s="1671"/>
      <c r="B114" s="1681"/>
      <c r="C114" s="1672"/>
      <c r="D114" s="1859"/>
      <c r="E114" s="1559">
        <f t="shared" si="19"/>
        <v>0</v>
      </c>
      <c r="F114" s="1807">
        <f t="shared" si="20"/>
        <v>0</v>
      </c>
      <c r="G114" s="1808">
        <f t="shared" si="21"/>
        <v>0</v>
      </c>
    </row>
    <row r="115" spans="1:7" hidden="1" x14ac:dyDescent="0.25">
      <c r="A115" s="1671"/>
      <c r="B115" s="1681"/>
      <c r="C115" s="1672"/>
      <c r="D115" s="1859"/>
      <c r="E115" s="1559">
        <f t="shared" si="19"/>
        <v>0</v>
      </c>
      <c r="F115" s="1807">
        <f t="shared" si="20"/>
        <v>0</v>
      </c>
      <c r="G115" s="1808">
        <f t="shared" si="21"/>
        <v>0</v>
      </c>
    </row>
    <row r="116" spans="1:7" hidden="1" x14ac:dyDescent="0.25">
      <c r="A116" s="1671"/>
      <c r="B116" s="1681"/>
      <c r="C116" s="1672"/>
      <c r="D116" s="1859"/>
      <c r="E116" s="1559">
        <f t="shared" si="19"/>
        <v>0</v>
      </c>
      <c r="F116" s="1807">
        <f t="shared" si="20"/>
        <v>0</v>
      </c>
      <c r="G116" s="1808">
        <f t="shared" si="21"/>
        <v>0</v>
      </c>
    </row>
    <row r="117" spans="1:7" hidden="1" x14ac:dyDescent="0.25">
      <c r="A117" s="1671"/>
      <c r="B117" s="1681"/>
      <c r="C117" s="1672"/>
      <c r="D117" s="1859"/>
      <c r="E117" s="1559">
        <f t="shared" si="19"/>
        <v>0</v>
      </c>
      <c r="F117" s="1807">
        <f t="shared" si="20"/>
        <v>0</v>
      </c>
      <c r="G117" s="1808">
        <f t="shared" si="21"/>
        <v>0</v>
      </c>
    </row>
    <row r="118" spans="1:7" hidden="1" x14ac:dyDescent="0.25">
      <c r="A118" s="1671"/>
      <c r="B118" s="1681"/>
      <c r="C118" s="1672"/>
      <c r="D118" s="1859"/>
      <c r="E118" s="1559">
        <f t="shared" si="19"/>
        <v>0</v>
      </c>
      <c r="F118" s="1807">
        <f t="shared" si="20"/>
        <v>0</v>
      </c>
      <c r="G118" s="1808">
        <f t="shared" si="21"/>
        <v>0</v>
      </c>
    </row>
    <row r="119" spans="1:7" hidden="1" x14ac:dyDescent="0.25">
      <c r="A119" s="1671"/>
      <c r="B119" s="1681"/>
      <c r="C119" s="1672"/>
      <c r="D119" s="1859"/>
      <c r="E119" s="1559">
        <f t="shared" si="19"/>
        <v>0</v>
      </c>
      <c r="F119" s="1807">
        <f t="shared" si="20"/>
        <v>0</v>
      </c>
      <c r="G119" s="1808">
        <f t="shared" si="21"/>
        <v>0</v>
      </c>
    </row>
    <row r="120" spans="1:7" hidden="1" x14ac:dyDescent="0.25">
      <c r="A120" s="1671"/>
      <c r="B120" s="1681"/>
      <c r="C120" s="1672"/>
      <c r="D120" s="1859"/>
      <c r="E120" s="1559">
        <f t="shared" si="19"/>
        <v>0</v>
      </c>
      <c r="F120" s="1807">
        <f t="shared" si="20"/>
        <v>0</v>
      </c>
      <c r="G120" s="1808">
        <f t="shared" si="21"/>
        <v>0</v>
      </c>
    </row>
    <row r="121" spans="1:7" hidden="1" x14ac:dyDescent="0.25">
      <c r="A121" s="1671"/>
      <c r="B121" s="1681"/>
      <c r="C121" s="1672"/>
      <c r="D121" s="1859"/>
      <c r="E121" s="1559">
        <f t="shared" si="19"/>
        <v>0</v>
      </c>
      <c r="F121" s="1807">
        <f t="shared" si="20"/>
        <v>0</v>
      </c>
      <c r="G121" s="1808">
        <f t="shared" si="21"/>
        <v>0</v>
      </c>
    </row>
    <row r="122" spans="1:7" hidden="1" x14ac:dyDescent="0.25">
      <c r="A122" s="1671"/>
      <c r="B122" s="1681"/>
      <c r="C122" s="1672"/>
      <c r="D122" s="1859"/>
      <c r="E122" s="1559">
        <f t="shared" si="19"/>
        <v>0</v>
      </c>
      <c r="F122" s="1807">
        <f t="shared" si="20"/>
        <v>0</v>
      </c>
      <c r="G122" s="1808">
        <f t="shared" si="21"/>
        <v>0</v>
      </c>
    </row>
    <row r="123" spans="1:7" hidden="1" x14ac:dyDescent="0.25">
      <c r="A123" s="1671"/>
      <c r="B123" s="1681"/>
      <c r="C123" s="1672"/>
      <c r="D123" s="1859"/>
      <c r="E123" s="1559">
        <f t="shared" ref="E123:E131" si="22">IF(D123&lt;=25000,D123,IF(D123&gt;25000,25000,0))</f>
        <v>0</v>
      </c>
      <c r="F123" s="1807">
        <f t="shared" ref="F123:F131" si="23">IF(OR(B123="10-1000-100",B123="10-1000-200",B123="10-1000-300",B123="10-1000-400",B123="10-1000-600",B123="10-1000-800",B123="50-1000-200",B123="10-2100-100",B123="10-2100-200",B123="10-2100-300",B123="10-2100-400",B123="10-2100-600",B123="10-2100-800",B123="20-2100-200",B123="20-2190-100",B123="20-2190-200",B123="20-2190-300",B123="20-2190-400",B123="20-2190-600",B123="20-2190-800",B123="40-2190-100",B123="40-2190-200",B123="40-2190-300",B123="40-2190-400",B123="40-2190-600",B123="40-2190-800",B123="50-2190-200",B123="10-2200-100",B123="10-2200-200",B123="10-2200-300",B123="10-2200-400",B123="10-2200-600",B123="10-2200-800",B123="50-2200-200",B123="10-2300-100",B123="10-2300-200",B123="10-2300-300",B123="10-2300-400",B123="10-2300-600",B123="10-2300-800",B123="50-2300-200",B123="80-2300-100",B123="80-2300-200",B123="80-2300-300",B123="80-2300-400",B123="80-2300-600",B123="80-2300-800",B123="10-2400-100",B123="10-2400-200",B123="10-2400-300",B123="10-2400-400",B123="10-2400-600",B123="10-2400-800",B123="50-2400-200",B123="10-2510-100",B123="10-2510-200",B123="10-2510-300",B123="10-2510-400",B123="10-2510-600",B123="10-2510-800",B123="20-2510-100",B123="20-2510-200",B123="20-2510-300",B123="20-2510-400",B123="20-2510-600",B123="20-2510-800",B123="50-2510-200",B123="10-2520-100",B123="10-2520-200",B123="10-2520-300",B123="10-2520-400",B123="10-2520-600",B123="10-2520-800",B123="50-2520-200",B123="10-2540-100",B123="10-2540-200",B123="10-2540-300",B123="10-2540-400",B123="10-2540-600",B123="20-2540-800",B123="20-2540-100",B123="20-2540-200",B123="20-2540-300",B123="20-2540-400",B123="20-2540-600",B123="50-2540-200",B123="90-2540-100",B123="90-2540-200",B123="90-2540-300",B123="90-2540-400",B123="90-2540-600",B123="90-2540-800",B123="90-2540-800",B123="10-2550-100",B123="10-2550-200",B123="10-2550-300",B123="10-2550-400",B123="10-2550-600",B123="10-2550-800",B123="20-2550-100",B123="20-2550-200",B123="20-2550-300",B123="20-2550-400",B123="20-2550-600",B123="20-2550-800",B123="40-2550-100",B123="40-2550-200",B123="40-2550-300",B123="40-2550-400",B123="40-2550-600",B123="40-2550-800",B123="50-2550-200",B123="10-2560-100",B123="10-2560-200",B123="10-2560-300",B123="10-2560-400",B123="10-2560-600",B123="10-2560-800",B123="20-2560-100",B123="20-2560-200",B123="20-2560-300",B123="20-2560-400",B123="20-2560-600",B123="20-2560-800",B123="50-2560-200",B123="10-2570-100",B123="10-2570-200",B123="10-2570-300",B123="10-2570-400",B123="10-2570-600",B123="10-2570-800",B123="50-2570-200",B123="10-2610-100",B123="10-2610-200",B123="10-2610-300",B123="10-2610-400",B123="10-2610-600",B123="10-2610-800",B123="50-2610-200",B123="10-2620-100",B123="10-2620-200",B123="10-2620-300",B123="10-2620-400",B123="10-2620-600",B123="10-2620-800",B123="50-2620-200",B123="10-2630-100",B123="10-2630-200",B123="10-2630-300",B123="10-2630-400",B123="10-2630-600",B123="10-2630-800",B123="50-2630-200",B123="10-2640-100",B123="10-2640-200",B123="10-2640-300",B123="10-2640-400",B123="10-2640-600",B123="10-2640-800",B123="50-2640-200",B123="10-2660-100",B123="10-2660-200",B123="10-2660-300",B123="10-2660-400",B123="10-2660-600",B123="10-2660-800",B123="50-2660-200",B123="10-2900-100",B123="10-2900-200",B123="10-2900-300",B123="10-2900-400",B123="10-2900-600",B123="10-2900-800",B123="20-2900-100",B123="20-2900-200",B123="20-2900-300",B123="20-2900-400",B123="20-2900-600",B123="20-2900-800",B123="40-2900-100",B123="40-2900-200",B123="40-2900-300",B123="40-2900-400",B123="40-2900-600",B123="40-2900-800",B123="50-2900-200",B123="60-2900-100",B123="60-2900-200",B123="60-2900-300",B123="60-2900-400",B123="60-2900-600",B123="60-2900-800",B123="90-2900-100",B123="90-2900-200",B123="90-2900-300",B123="90-2900-400",B123="90-2900-600",B123="90-2900-800",B123="10-3000-100",B123="10-3000-200",B123="10-3000-300",B123="10-3000-400",B123="10-3000-600",B123="10-3000-800",B123="20-3000-100",B123="20-3000-200",B123="20-3000-300",B123="20-3000-400",B123="20-3000-600",B123="20-3000-800",B123="40-3000-100",B123="40-3000-200",B123="40-3000-300",B123="40-3000-400",B123="40-3000-600",B123="40-3000-800",B123="50-3000-200"),E123,0)</f>
        <v>0</v>
      </c>
      <c r="G123" s="1808">
        <f t="shared" ref="G123:G131" si="24">IF(F123=0,0,D123-F123)</f>
        <v>0</v>
      </c>
    </row>
    <row r="124" spans="1:7" hidden="1" x14ac:dyDescent="0.25">
      <c r="A124" s="1671"/>
      <c r="B124" s="1681"/>
      <c r="C124" s="1672"/>
      <c r="D124" s="1859"/>
      <c r="E124" s="1559">
        <f t="shared" si="22"/>
        <v>0</v>
      </c>
      <c r="F124" s="1807">
        <f t="shared" si="23"/>
        <v>0</v>
      </c>
      <c r="G124" s="1808">
        <f t="shared" si="24"/>
        <v>0</v>
      </c>
    </row>
    <row r="125" spans="1:7" hidden="1" x14ac:dyDescent="0.25">
      <c r="A125" s="1671"/>
      <c r="B125" s="1681"/>
      <c r="C125" s="1672"/>
      <c r="D125" s="1859"/>
      <c r="E125" s="1559">
        <f t="shared" si="22"/>
        <v>0</v>
      </c>
      <c r="F125" s="1807">
        <f t="shared" si="23"/>
        <v>0</v>
      </c>
      <c r="G125" s="1808">
        <f t="shared" si="24"/>
        <v>0</v>
      </c>
    </row>
    <row r="126" spans="1:7" hidden="1" x14ac:dyDescent="0.25">
      <c r="A126" s="1671"/>
      <c r="B126" s="1681"/>
      <c r="C126" s="1672"/>
      <c r="D126" s="1859"/>
      <c r="E126" s="1559">
        <f t="shared" si="22"/>
        <v>0</v>
      </c>
      <c r="F126" s="1807">
        <f t="shared" si="23"/>
        <v>0</v>
      </c>
      <c r="G126" s="1808">
        <f t="shared" si="24"/>
        <v>0</v>
      </c>
    </row>
    <row r="127" spans="1:7" hidden="1" x14ac:dyDescent="0.25">
      <c r="A127" s="1671"/>
      <c r="B127" s="1681"/>
      <c r="C127" s="1672"/>
      <c r="D127" s="1859"/>
      <c r="E127" s="1559">
        <f t="shared" si="22"/>
        <v>0</v>
      </c>
      <c r="F127" s="1807">
        <f t="shared" si="23"/>
        <v>0</v>
      </c>
      <c r="G127" s="1808">
        <f t="shared" si="24"/>
        <v>0</v>
      </c>
    </row>
    <row r="128" spans="1:7" hidden="1" x14ac:dyDescent="0.25">
      <c r="A128" s="1671"/>
      <c r="B128" s="1852"/>
      <c r="C128" s="1672"/>
      <c r="D128" s="1859"/>
      <c r="E128" s="1559">
        <f t="shared" si="22"/>
        <v>0</v>
      </c>
      <c r="F128" s="1807">
        <f t="shared" si="23"/>
        <v>0</v>
      </c>
      <c r="G128" s="1808">
        <f t="shared" si="24"/>
        <v>0</v>
      </c>
    </row>
    <row r="129" spans="1:7" hidden="1" x14ac:dyDescent="0.25">
      <c r="A129" s="1671"/>
      <c r="B129" s="1852"/>
      <c r="C129" s="1672"/>
      <c r="D129" s="1859"/>
      <c r="E129" s="1559">
        <f t="shared" si="22"/>
        <v>0</v>
      </c>
      <c r="F129" s="1807">
        <f t="shared" si="23"/>
        <v>0</v>
      </c>
      <c r="G129" s="1808">
        <f t="shared" si="24"/>
        <v>0</v>
      </c>
    </row>
    <row r="130" spans="1:7" hidden="1" x14ac:dyDescent="0.25">
      <c r="A130" s="1671"/>
      <c r="B130" s="1681"/>
      <c r="C130" s="1672"/>
      <c r="D130" s="1859"/>
      <c r="E130" s="1559">
        <f t="shared" si="22"/>
        <v>0</v>
      </c>
      <c r="F130" s="1807">
        <f t="shared" si="23"/>
        <v>0</v>
      </c>
      <c r="G130" s="1808">
        <f t="shared" si="24"/>
        <v>0</v>
      </c>
    </row>
    <row r="131" spans="1:7" hidden="1" x14ac:dyDescent="0.25">
      <c r="A131" s="1671"/>
      <c r="B131" s="1681"/>
      <c r="C131" s="1672"/>
      <c r="D131" s="1859"/>
      <c r="E131" s="1559">
        <f t="shared" si="22"/>
        <v>0</v>
      </c>
      <c r="F131" s="1807">
        <f t="shared" si="23"/>
        <v>0</v>
      </c>
      <c r="G131" s="1808">
        <f t="shared" si="24"/>
        <v>0</v>
      </c>
    </row>
    <row r="132" spans="1:7" hidden="1" x14ac:dyDescent="0.25">
      <c r="A132" s="1671"/>
      <c r="B132" s="1681"/>
      <c r="C132" s="1672"/>
      <c r="D132" s="1859"/>
      <c r="E132" s="1559">
        <f t="shared" ref="E132:E136" si="25">IF(D132&lt;=25000,D132,IF(D132&gt;25000,25000,0))</f>
        <v>0</v>
      </c>
      <c r="F132" s="1807">
        <f t="shared" ref="F132:F136" si="26">IF(OR(B132="10-1000-100",B132="10-1000-200",B132="10-1000-300",B132="10-1000-400",B132="10-1000-600",B132="10-1000-800",B132="50-1000-200",B132="10-2100-100",B132="10-2100-200",B132="10-2100-300",B132="10-2100-400",B132="10-2100-600",B132="10-2100-800",B132="20-2100-200",B132="20-2190-100",B132="20-2190-200",B132="20-2190-300",B132="20-2190-400",B132="20-2190-600",B132="20-2190-800",B132="40-2190-100",B132="40-2190-200",B132="40-2190-300",B132="40-2190-400",B132="40-2190-600",B132="40-2190-800",B132="50-2190-200",B132="10-2200-100",B132="10-2200-200",B132="10-2200-300",B132="10-2200-400",B132="10-2200-600",B132="10-2200-800",B132="50-2200-200",B132="10-2300-100",B132="10-2300-200",B132="10-2300-300",B132="10-2300-400",B132="10-2300-600",B132="10-2300-800",B132="50-2300-200",B132="80-2300-100",B132="80-2300-200",B132="80-2300-300",B132="80-2300-400",B132="80-2300-600",B132="80-2300-800",B132="10-2400-100",B132="10-2400-200",B132="10-2400-300",B132="10-2400-400",B132="10-2400-600",B132="10-2400-800",B132="50-2400-200",B132="10-2510-100",B132="10-2510-200",B132="10-2510-300",B132="10-2510-400",B132="10-2510-600",B132="10-2510-800",B132="20-2510-100",B132="20-2510-200",B132="20-2510-300",B132="20-2510-400",B132="20-2510-600",B132="20-2510-800",B132="50-2510-200",B132="10-2520-100",B132="10-2520-200",B132="10-2520-300",B132="10-2520-400",B132="10-2520-600",B132="10-2520-800",B132="50-2520-200",B132="10-2540-100",B132="10-2540-200",B132="10-2540-300",B132="10-2540-400",B132="10-2540-600",B132="20-2540-800",B132="20-2540-100",B132="20-2540-200",B132="20-2540-300",B132="20-2540-400",B132="20-2540-600",B132="50-2540-200",B132="90-2540-100",B132="90-2540-200",B132="90-2540-300",B132="90-2540-400",B132="90-2540-600",B132="90-2540-800",B132="90-2540-800",B132="10-2550-100",B132="10-2550-200",B132="10-2550-300",B132="10-2550-400",B132="10-2550-600",B132="10-2550-800",B132="20-2550-100",B132="20-2550-200",B132="20-2550-300",B132="20-2550-400",B132="20-2550-600",B132="20-2550-800",B132="40-2550-100",B132="40-2550-200",B132="40-2550-300",B132="40-2550-400",B132="40-2550-600",B132="40-2550-800",B132="50-2550-200",B132="10-2560-100",B132="10-2560-200",B132="10-2560-300",B132="10-2560-400",B132="10-2560-600",B132="10-2560-800",B132="20-2560-100",B132="20-2560-200",B132="20-2560-300",B132="20-2560-400",B132="20-2560-600",B132="20-2560-800",B132="50-2560-200",B132="10-2570-100",B132="10-2570-200",B132="10-2570-300",B132="10-2570-400",B132="10-2570-600",B132="10-2570-800",B132="50-2570-200",B132="10-2610-100",B132="10-2610-200",B132="10-2610-300",B132="10-2610-400",B132="10-2610-600",B132="10-2610-800",B132="50-2610-200",B132="10-2620-100",B132="10-2620-200",B132="10-2620-300",B132="10-2620-400",B132="10-2620-600",B132="10-2620-800",B132="50-2620-200",B132="10-2630-100",B132="10-2630-200",B132="10-2630-300",B132="10-2630-400",B132="10-2630-600",B132="10-2630-800",B132="50-2630-200",B132="10-2640-100",B132="10-2640-200",B132="10-2640-300",B132="10-2640-400",B132="10-2640-600",B132="10-2640-800",B132="50-2640-200",B132="10-2660-100",B132="10-2660-200",B132="10-2660-300",B132="10-2660-400",B132="10-2660-600",B132="10-2660-800",B132="50-2660-200",B132="10-2900-100",B132="10-2900-200",B132="10-2900-300",B132="10-2900-400",B132="10-2900-600",B132="10-2900-800",B132="20-2900-100",B132="20-2900-200",B132="20-2900-300",B132="20-2900-400",B132="20-2900-600",B132="20-2900-800",B132="40-2900-100",B132="40-2900-200",B132="40-2900-300",B132="40-2900-400",B132="40-2900-600",B132="40-2900-800",B132="50-2900-200",B132="60-2900-100",B132="60-2900-200",B132="60-2900-300",B132="60-2900-400",B132="60-2900-600",B132="60-2900-800",B132="90-2900-100",B132="90-2900-200",B132="90-2900-300",B132="90-2900-400",B132="90-2900-600",B132="90-2900-800",B132="10-3000-100",B132="10-3000-200",B132="10-3000-300",B132="10-3000-400",B132="10-3000-600",B132="10-3000-800",B132="20-3000-100",B132="20-3000-200",B132="20-3000-300",B132="20-3000-400",B132="20-3000-600",B132="20-3000-800",B132="40-3000-100",B132="40-3000-200",B132="40-3000-300",B132="40-3000-400",B132="40-3000-600",B132="40-3000-800",B132="50-3000-200"),E132,0)</f>
        <v>0</v>
      </c>
      <c r="G132" s="1808">
        <f t="shared" ref="G132:G136" si="27">IF(F132=0,0,D132-F132)</f>
        <v>0</v>
      </c>
    </row>
    <row r="133" spans="1:7" hidden="1" x14ac:dyDescent="0.25">
      <c r="A133" s="1671"/>
      <c r="B133" s="1681"/>
      <c r="C133" s="1672"/>
      <c r="D133" s="1859"/>
      <c r="E133" s="1559">
        <f t="shared" si="25"/>
        <v>0</v>
      </c>
      <c r="F133" s="1807">
        <f t="shared" si="26"/>
        <v>0</v>
      </c>
      <c r="G133" s="1808">
        <f t="shared" si="27"/>
        <v>0</v>
      </c>
    </row>
    <row r="134" spans="1:7" hidden="1" x14ac:dyDescent="0.25">
      <c r="A134" s="1671"/>
      <c r="B134" s="1681"/>
      <c r="C134" s="1672"/>
      <c r="D134" s="1859"/>
      <c r="E134" s="1559">
        <f t="shared" si="25"/>
        <v>0</v>
      </c>
      <c r="F134" s="1807">
        <f t="shared" si="26"/>
        <v>0</v>
      </c>
      <c r="G134" s="1808">
        <f t="shared" si="27"/>
        <v>0</v>
      </c>
    </row>
    <row r="135" spans="1:7" hidden="1" x14ac:dyDescent="0.25">
      <c r="A135" s="1671"/>
      <c r="B135" s="1681"/>
      <c r="C135" s="1672"/>
      <c r="D135" s="1859"/>
      <c r="E135" s="1559">
        <f t="shared" si="25"/>
        <v>0</v>
      </c>
      <c r="F135" s="1807">
        <f t="shared" si="26"/>
        <v>0</v>
      </c>
      <c r="G135" s="1808">
        <f t="shared" si="27"/>
        <v>0</v>
      </c>
    </row>
    <row r="136" spans="1:7" hidden="1" x14ac:dyDescent="0.25">
      <c r="A136" s="1671"/>
      <c r="B136" s="1681"/>
      <c r="C136" s="1672"/>
      <c r="D136" s="1859"/>
      <c r="E136" s="1559">
        <f t="shared" si="25"/>
        <v>0</v>
      </c>
      <c r="F136" s="1807">
        <f t="shared" si="26"/>
        <v>0</v>
      </c>
      <c r="G136" s="1808">
        <f t="shared" si="27"/>
        <v>0</v>
      </c>
    </row>
    <row r="137" spans="1:7" hidden="1" x14ac:dyDescent="0.25">
      <c r="A137" s="1671"/>
      <c r="B137" s="1680"/>
      <c r="C137" s="1672"/>
      <c r="D137" s="1859"/>
      <c r="E137" s="1559">
        <f t="shared" si="1"/>
        <v>0</v>
      </c>
      <c r="F137" s="1807">
        <f t="shared" si="2"/>
        <v>0</v>
      </c>
      <c r="G137" s="1808">
        <f t="shared" si="3"/>
        <v>0</v>
      </c>
    </row>
    <row r="138" spans="1:7" x14ac:dyDescent="0.25">
      <c r="A138" s="1811" t="s">
        <v>158</v>
      </c>
      <c r="B138" s="1812"/>
      <c r="C138" s="1813"/>
      <c r="D138" s="1809">
        <f>SUM(D17:D137)</f>
        <v>1761261</v>
      </c>
      <c r="E138" s="1560">
        <f t="shared" ref="E138" si="28">IF(D138&lt;=25000,D138,IF(D138&gt;25000,25000,0))</f>
        <v>25000</v>
      </c>
      <c r="F138" s="1809">
        <f>SUM(F17:F137)</f>
        <v>50000</v>
      </c>
      <c r="G138" s="1810">
        <f>SUM(G17:G137)</f>
        <v>1711261</v>
      </c>
    </row>
  </sheetData>
  <sheetProtection selectLockedCells="1"/>
  <mergeCells count="8">
    <mergeCell ref="A1:G1"/>
    <mergeCell ref="A2:G2"/>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1176</v>
      </c>
      <c r="B1" s="1654"/>
      <c r="C1" s="1655"/>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429" t="s">
        <v>1776</v>
      </c>
      <c r="B5" s="2430"/>
      <c r="C5" s="2430"/>
      <c r="D5" s="2430"/>
      <c r="E5" s="2430"/>
      <c r="F5" s="2430"/>
      <c r="G5" s="2431"/>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2070</v>
      </c>
      <c r="B10" s="970"/>
      <c r="C10" s="975"/>
      <c r="D10" s="971"/>
      <c r="E10" s="972">
        <v>531435</v>
      </c>
      <c r="F10" s="973"/>
      <c r="G10" s="974"/>
      <c r="H10" s="162"/>
      <c r="I10" s="162"/>
    </row>
    <row r="11" spans="1:9" s="667" customFormat="1" ht="22.5" customHeight="1" x14ac:dyDescent="0.2">
      <c r="A11" s="2434" t="s">
        <v>1939</v>
      </c>
      <c r="B11" s="2435"/>
      <c r="C11" s="2435"/>
      <c r="D11" s="2436"/>
      <c r="E11" s="976">
        <v>88599</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7" t="s">
        <v>552</v>
      </c>
      <c r="E17" s="1658"/>
      <c r="F17" s="1657" t="s">
        <v>452</v>
      </c>
      <c r="G17" s="1659"/>
      <c r="H17" s="162"/>
      <c r="I17" s="162"/>
    </row>
    <row r="18" spans="1:9" s="259" customFormat="1" ht="11.25" x14ac:dyDescent="0.2">
      <c r="A18" s="987"/>
      <c r="C18" s="988" t="s">
        <v>453</v>
      </c>
      <c r="D18" s="1660" t="s">
        <v>454</v>
      </c>
      <c r="E18" s="1660" t="s">
        <v>55</v>
      </c>
      <c r="F18" s="1660" t="s">
        <v>454</v>
      </c>
      <c r="G18" s="1660" t="s">
        <v>55</v>
      </c>
      <c r="H18" s="178"/>
      <c r="I18" s="178"/>
    </row>
    <row r="19" spans="1:9" s="667" customFormat="1" ht="12" customHeight="1" x14ac:dyDescent="0.2">
      <c r="A19" s="989" t="s">
        <v>475</v>
      </c>
      <c r="B19" s="990"/>
      <c r="C19" s="991" t="s">
        <v>590</v>
      </c>
      <c r="D19" s="1814"/>
      <c r="E19" s="1815">
        <f>'Expenditures 15-22'!K33-SUM('Expenditures 15-22'!G33,'Expenditures 15-22'!I33)+'Expenditures 15-22'!D229</f>
        <v>10677584</v>
      </c>
      <c r="F19" s="1814"/>
      <c r="G19" s="1816">
        <f>'Expenditures 15-22'!K33-SUM('Expenditures 15-22'!G33,'Expenditures 15-22'!I33)+'Expenditures 15-22'!D229</f>
        <v>10677584</v>
      </c>
      <c r="H19" s="986"/>
      <c r="I19" s="162"/>
    </row>
    <row r="20" spans="1:9" s="667" customFormat="1" ht="12" customHeight="1" x14ac:dyDescent="0.2">
      <c r="A20" s="989" t="s">
        <v>56</v>
      </c>
      <c r="B20" s="990"/>
      <c r="C20" s="992"/>
      <c r="D20" s="1817"/>
      <c r="E20" s="1817"/>
      <c r="F20" s="1817"/>
      <c r="G20" s="1818"/>
      <c r="H20" s="986"/>
      <c r="I20" s="162"/>
    </row>
    <row r="21" spans="1:9" s="667" customFormat="1" ht="12" customHeight="1" x14ac:dyDescent="0.2">
      <c r="A21" s="993" t="s">
        <v>420</v>
      </c>
      <c r="B21" s="994"/>
      <c r="C21" s="992">
        <v>2100</v>
      </c>
      <c r="D21" s="1817"/>
      <c r="E21" s="1819">
        <f>'Expenditures 15-22'!K42-SUM('Expenditures 15-22'!G42,'Expenditures 15-22'!I42)+'Expenditures 15-22'!K120-SUM('Expenditures 15-22'!G120,'Expenditures 15-22'!I120)+'Expenditures 15-22'!K180-SUM('Expenditures 15-22'!G180,'Expenditures 15-22'!I180)+'Expenditures 15-22'!D238</f>
        <v>670472</v>
      </c>
      <c r="F21" s="1817"/>
      <c r="G21" s="1820">
        <f>'Expenditures 15-22'!K42-SUM('Expenditures 15-22'!G42,'Expenditures 15-22'!I42)+'Expenditures 15-22'!K120-SUM('Expenditures 15-22'!G120,'Expenditures 15-22'!I120)+'Expenditures 15-22'!K180-SUM('Expenditures 15-22'!G180,'Expenditures 15-22'!I180)+'Expenditures 15-22'!D238</f>
        <v>670472</v>
      </c>
      <c r="H21" s="986"/>
      <c r="I21" s="162"/>
    </row>
    <row r="22" spans="1:9" s="667" customFormat="1" ht="12" customHeight="1" x14ac:dyDescent="0.2">
      <c r="A22" s="993" t="s">
        <v>584</v>
      </c>
      <c r="B22" s="994"/>
      <c r="C22" s="992">
        <v>2200</v>
      </c>
      <c r="D22" s="1817"/>
      <c r="E22" s="1819">
        <f>'Expenditures 15-22'!K47-SUM('Expenditures 15-22'!G47,'Expenditures 15-22'!I47)+'Expenditures 15-22'!D243</f>
        <v>816637</v>
      </c>
      <c r="F22" s="1817"/>
      <c r="G22" s="1820">
        <f>'Expenditures 15-22'!K47-SUM('Expenditures 15-22'!G47,'Expenditures 15-22'!I47)+'Expenditures 15-22'!D243</f>
        <v>816637</v>
      </c>
      <c r="H22" s="986"/>
      <c r="I22" s="162"/>
    </row>
    <row r="23" spans="1:9" s="667" customFormat="1" ht="12" customHeight="1" x14ac:dyDescent="0.2">
      <c r="A23" s="993" t="s">
        <v>585</v>
      </c>
      <c r="B23" s="994"/>
      <c r="C23" s="992">
        <v>2300</v>
      </c>
      <c r="D23" s="1817"/>
      <c r="E23" s="1819">
        <f>'Expenditures 15-22'!K53-SUM('Expenditures 15-22'!G53,'Expenditures 15-22'!I53)+'Expenditures 15-22'!D257+'Expenditures 15-22'!K330-SUM('Expenditures 15-22'!G330,'Expenditures 15-22'!I330)</f>
        <v>908609</v>
      </c>
      <c r="F23" s="1817"/>
      <c r="G23" s="1819">
        <f>'Expenditures 15-22'!K53-SUM('Expenditures 15-22'!G53,'Expenditures 15-22'!I53)+'Expenditures 15-22'!D257+'Expenditures 15-22'!K330-SUM('Expenditures 15-22'!G330,'Expenditures 15-22'!I330)</f>
        <v>908609</v>
      </c>
      <c r="H23" s="986"/>
      <c r="I23" s="162"/>
    </row>
    <row r="24" spans="1:9" s="667" customFormat="1" ht="12" customHeight="1" x14ac:dyDescent="0.2">
      <c r="A24" s="993" t="s">
        <v>586</v>
      </c>
      <c r="B24" s="994"/>
      <c r="C24" s="992">
        <v>2400</v>
      </c>
      <c r="D24" s="1817"/>
      <c r="E24" s="1819">
        <f>'Expenditures 15-22'!K57-SUM('Expenditures 15-22'!G57,'Expenditures 15-22'!I57)+'Expenditures 15-22'!D261</f>
        <v>1451990</v>
      </c>
      <c r="F24" s="1817"/>
      <c r="G24" s="1820">
        <f>'Expenditures 15-22'!K57-SUM('Expenditures 15-22'!G57,'Expenditures 15-22'!I57)+'Expenditures 15-22'!D261</f>
        <v>1451990</v>
      </c>
      <c r="H24" s="986"/>
      <c r="I24" s="162"/>
    </row>
    <row r="25" spans="1:9" s="667" customFormat="1" ht="12" customHeight="1" x14ac:dyDescent="0.2">
      <c r="A25" s="989" t="s">
        <v>587</v>
      </c>
      <c r="B25" s="995"/>
      <c r="C25" s="992"/>
      <c r="D25" s="1817"/>
      <c r="E25" s="1819"/>
      <c r="F25" s="1817"/>
      <c r="G25" s="1820"/>
      <c r="H25" s="986"/>
      <c r="I25" s="162"/>
    </row>
    <row r="26" spans="1:9" s="667" customFormat="1" ht="12" customHeight="1" x14ac:dyDescent="0.2">
      <c r="A26" s="993" t="s">
        <v>535</v>
      </c>
      <c r="B26" s="996"/>
      <c r="C26" s="992">
        <v>2510</v>
      </c>
      <c r="D26" s="1819">
        <f>'Expenditures 15-22'!K59-SUM('Expenditures 15-22'!G59,'Expenditures 15-22'!I59)+'Expenditures 15-22'!D263-E7</f>
        <v>0</v>
      </c>
      <c r="E26" s="1819">
        <f>'Expenditures 15-22'!K122-SUM('Expenditures 15-22'!G122,'Expenditures 15-22'!I122)+E7</f>
        <v>0</v>
      </c>
      <c r="F26" s="1819">
        <f>'Expenditures 15-22'!K59-SUM('Expenditures 15-22'!G59,'Expenditures 15-22'!I59)+'Expenditures 15-22'!D263-E7</f>
        <v>0</v>
      </c>
      <c r="G26" s="1820">
        <f>'Expenditures 15-22'!K122-SUM('Expenditures 15-22'!G122,'Expenditures 15-22'!I122)+E7</f>
        <v>0</v>
      </c>
      <c r="H26" s="986"/>
      <c r="I26" s="162"/>
    </row>
    <row r="27" spans="1:9" s="667" customFormat="1" ht="12" customHeight="1" x14ac:dyDescent="0.2">
      <c r="A27" s="993" t="s">
        <v>482</v>
      </c>
      <c r="B27" s="996"/>
      <c r="C27" s="992">
        <v>2520</v>
      </c>
      <c r="D27" s="1819">
        <f>'Expenditures 15-22'!K60-SUM('Expenditures 15-22'!G60,'Expenditures 15-22'!I60)+'Expenditures 15-22'!D264-E8</f>
        <v>455787</v>
      </c>
      <c r="E27" s="1819">
        <f>E8</f>
        <v>0</v>
      </c>
      <c r="F27" s="1819">
        <f>'Expenditures 15-22'!K60-SUM('Expenditures 15-22'!G60,'Expenditures 15-22'!I60)+'Expenditures 15-22'!D264-E8</f>
        <v>455787</v>
      </c>
      <c r="G27" s="1820">
        <f>E8</f>
        <v>0</v>
      </c>
      <c r="H27" s="986"/>
      <c r="I27" s="162"/>
    </row>
    <row r="28" spans="1:9" s="667" customFormat="1" ht="12" customHeight="1" x14ac:dyDescent="0.2">
      <c r="A28" s="993" t="s">
        <v>536</v>
      </c>
      <c r="B28" s="996"/>
      <c r="C28" s="992">
        <v>2540</v>
      </c>
      <c r="D28" s="1821"/>
      <c r="E28" s="1819">
        <f>'Expenditures 15-22'!K61-SUM('Expenditures 15-22'!G61,'Expenditures 15-22'!I61)+'Expenditures 15-22'!K124-SUM('Expenditures 15-22'!G124,'Expenditures 15-22'!I124)+'Expenditures 15-22'!D266</f>
        <v>2176258</v>
      </c>
      <c r="F28" s="1821">
        <f>'Expenditures 15-22'!K61-SUM('Expenditures 15-22'!G61,'Expenditures 15-22'!I61)+'Expenditures 15-22'!K124-SUM('Expenditures 15-22'!G124,'Expenditures 15-22'!I124)+'Expenditures 15-22'!D266-E9</f>
        <v>2176258</v>
      </c>
      <c r="G28" s="1820">
        <f>E9</f>
        <v>0</v>
      </c>
      <c r="H28" s="986"/>
      <c r="I28" s="162"/>
    </row>
    <row r="29" spans="1:9" ht="12" customHeight="1" x14ac:dyDescent="0.2">
      <c r="A29" s="993" t="s">
        <v>537</v>
      </c>
      <c r="B29" s="996"/>
      <c r="C29" s="992">
        <v>2550</v>
      </c>
      <c r="D29" s="1817"/>
      <c r="E29" s="1819">
        <f>'Expenditures 15-22'!K62-SUM('Expenditures 15-22'!G62,'Expenditures 15-22'!I62)+'Expenditures 15-22'!K125-SUM('Expenditures 15-22'!G125,'Expenditures 15-22'!I125)+'Expenditures 15-22'!K182-SUM('Expenditures 15-22'!G182,'Expenditures 15-22'!I182)+'Expenditures 15-22'!D267</f>
        <v>1932116</v>
      </c>
      <c r="F29" s="1817"/>
      <c r="G29" s="1820">
        <f>'Expenditures 15-22'!K62-SUM('Expenditures 15-22'!G62,'Expenditures 15-22'!I62)+'Expenditures 15-22'!K125-SUM('Expenditures 15-22'!G125,'Expenditures 15-22'!I125)+'Expenditures 15-22'!K182-SUM('Expenditures 15-22'!G182,'Expenditures 15-22'!I182)+'Expenditures 15-22'!D267</f>
        <v>1932116</v>
      </c>
      <c r="H29" s="984"/>
    </row>
    <row r="30" spans="1:9" ht="12" customHeight="1" x14ac:dyDescent="0.2">
      <c r="A30" s="993" t="s">
        <v>102</v>
      </c>
      <c r="B30" s="996"/>
      <c r="C30" s="992">
        <v>2560</v>
      </c>
      <c r="D30" s="1817"/>
      <c r="E30" s="1819">
        <f>'Expenditures 15-22'!K63-SUM('Expenditures 15-22'!G63,'Expenditures 15-22'!I63)+'Expenditures 15-22'!D268-E10</f>
        <v>635023</v>
      </c>
      <c r="F30" s="1817"/>
      <c r="G30" s="1819">
        <f>'Expenditures 15-22'!K63-SUM('Expenditures 15-22'!G63,'Expenditures 15-22'!I63)+'Expenditures 15-22'!D268-E10</f>
        <v>635023</v>
      </c>
    </row>
    <row r="31" spans="1:9" ht="12" customHeight="1" x14ac:dyDescent="0.2">
      <c r="A31" s="993" t="s">
        <v>103</v>
      </c>
      <c r="B31" s="996"/>
      <c r="C31" s="992">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89" t="s">
        <v>538</v>
      </c>
      <c r="B32" s="995"/>
      <c r="C32" s="992"/>
      <c r="D32" s="1817"/>
      <c r="E32" s="1817"/>
      <c r="F32" s="1817"/>
      <c r="G32" s="1817"/>
    </row>
    <row r="33" spans="1:7" ht="12" customHeight="1" x14ac:dyDescent="0.2">
      <c r="A33" s="993" t="s">
        <v>539</v>
      </c>
      <c r="B33" s="996"/>
      <c r="C33" s="992">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3" t="s">
        <v>540</v>
      </c>
      <c r="B34" s="996"/>
      <c r="C34" s="992">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3" t="s">
        <v>1120</v>
      </c>
      <c r="B35" s="996"/>
      <c r="C35" s="992">
        <v>2630</v>
      </c>
      <c r="D35" s="1817"/>
      <c r="E35" s="1819">
        <f>'Expenditures 15-22'!K69-SUM('Expenditures 15-22'!G69,'Expenditures 15-22'!I69)+'Expenditures 15-22'!D274</f>
        <v>26548</v>
      </c>
      <c r="F35" s="1817"/>
      <c r="G35" s="1819">
        <f>'Expenditures 15-22'!K69-SUM('Expenditures 15-22'!G69,'Expenditures 15-22'!I69)+'Expenditures 15-22'!D274</f>
        <v>26548</v>
      </c>
    </row>
    <row r="36" spans="1:7" ht="12" customHeight="1" x14ac:dyDescent="0.2">
      <c r="A36" s="993" t="s">
        <v>422</v>
      </c>
      <c r="B36" s="996"/>
      <c r="C36" s="992">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3" t="s">
        <v>423</v>
      </c>
      <c r="B37" s="996"/>
      <c r="C37" s="992">
        <v>2660</v>
      </c>
      <c r="D37" s="1819">
        <f>'Expenditures 15-22'!K71-SUM('Expenditures 15-22'!G71,'Expenditures 15-22'!I71)+'Expenditures 15-22'!D276-E14</f>
        <v>53825</v>
      </c>
      <c r="E37" s="1819">
        <f>E14</f>
        <v>0</v>
      </c>
      <c r="F37" s="1819">
        <f>'Expenditures 15-22'!K71-SUM('Expenditures 15-22'!G71,'Expenditures 15-22'!I71)+'Expenditures 15-22'!D276-E14</f>
        <v>53825</v>
      </c>
      <c r="G37" s="1819">
        <f>E14</f>
        <v>0</v>
      </c>
    </row>
    <row r="38" spans="1:7" ht="12" customHeight="1" x14ac:dyDescent="0.2">
      <c r="A38" s="989" t="s">
        <v>541</v>
      </c>
      <c r="B38" s="990"/>
      <c r="C38" s="992">
        <v>2900</v>
      </c>
      <c r="D38" s="1817"/>
      <c r="E38" s="1819">
        <f>'Expenditures 15-22'!K73-SUM('Expenditures 15-22'!G73,'Expenditures 15-22'!I73)+'Expenditures 15-22'!K128-SUM('Expenditures 15-22'!G128,'Expenditures 15-22'!I128)+'Expenditures 15-22'!K183-SUM('Expenditures 15-22'!G183,'Expenditures 15-22'!I183)+'Expenditures 15-22'!D278</f>
        <v>86566</v>
      </c>
      <c r="F38" s="1817"/>
      <c r="G38" s="1819">
        <f>'Expenditures 15-22'!K73-SUM('Expenditures 15-22'!G73,'Expenditures 15-22'!I73)+'Expenditures 15-22'!K128-SUM('Expenditures 15-22'!G128,'Expenditures 15-22'!I128)+'Expenditures 15-22'!K183-SUM('Expenditures 15-22'!G183,'Expenditures 15-22'!I183)+'Expenditures 15-22'!D278</f>
        <v>86566</v>
      </c>
    </row>
    <row r="39" spans="1:7" ht="12" customHeight="1" x14ac:dyDescent="0.2">
      <c r="A39" s="989" t="s">
        <v>468</v>
      </c>
      <c r="B39" s="990"/>
      <c r="C39" s="992">
        <v>3000</v>
      </c>
      <c r="D39" s="1817"/>
      <c r="E39" s="1819">
        <f>'Expenditures 15-22'!K75-SUM('Expenditures 15-22'!G75,'Expenditures 15-22'!I75)+'Expenditures 15-22'!K130-SUM('Expenditures 15-22'!G130,'Expenditures 15-22'!I130)+'Expenditures 15-22'!K185-SUM('Expenditures 15-22'!G185,'Expenditures 15-22'!I185)+'Expenditures 15-22'!D280</f>
        <v>159219</v>
      </c>
      <c r="F39" s="1817"/>
      <c r="G39" s="1819">
        <f>'Expenditures 15-22'!K75-SUM('Expenditures 15-22'!G75,'Expenditures 15-22'!I75)+'Expenditures 15-22'!K130-SUM('Expenditures 15-22'!G130,'Expenditures 15-22'!I130)+'Expenditures 15-22'!K185-SUM('Expenditures 15-22'!G185,'Expenditures 15-22'!I185)+'Expenditures 15-22'!D280</f>
        <v>159219</v>
      </c>
    </row>
    <row r="40" spans="1:7" ht="12" customHeight="1" x14ac:dyDescent="0.2">
      <c r="A40" s="989" t="s">
        <v>1925</v>
      </c>
      <c r="B40" s="990"/>
      <c r="C40" s="992"/>
      <c r="D40" s="1817"/>
      <c r="E40" s="1821">
        <f>-'Contracts Paid in CY 29'!G138</f>
        <v>-1711261</v>
      </c>
      <c r="F40" s="1817"/>
      <c r="G40" s="1821">
        <f>-'Contracts Paid in CY 29'!G138</f>
        <v>-1711261</v>
      </c>
    </row>
    <row r="41" spans="1:7" ht="12" customHeight="1" x14ac:dyDescent="0.2">
      <c r="A41" s="997" t="s">
        <v>158</v>
      </c>
      <c r="B41" s="998"/>
      <c r="C41" s="999"/>
      <c r="D41" s="1821">
        <f>SUM(D19:D39)</f>
        <v>509612</v>
      </c>
      <c r="E41" s="1821">
        <f>SUM(E19:E40)</f>
        <v>17829761</v>
      </c>
      <c r="F41" s="1821">
        <f>SUM(F19:F39)</f>
        <v>2685870</v>
      </c>
      <c r="G41" s="1821">
        <f>SUM(G19:G40)</f>
        <v>15653503</v>
      </c>
    </row>
    <row r="42" spans="1:7" x14ac:dyDescent="0.2">
      <c r="A42" s="986"/>
      <c r="B42" s="162"/>
      <c r="C42" s="1000"/>
      <c r="D42" s="2432" t="s">
        <v>542</v>
      </c>
      <c r="E42" s="2433"/>
      <c r="F42" s="1001" t="s">
        <v>543</v>
      </c>
      <c r="G42" s="1002"/>
    </row>
    <row r="43" spans="1:7" ht="12" customHeight="1" x14ac:dyDescent="0.2">
      <c r="A43" s="986"/>
      <c r="B43" s="162"/>
      <c r="C43" s="1000"/>
      <c r="D43" s="1822" t="s">
        <v>492</v>
      </c>
      <c r="E43" s="1823">
        <f>D41</f>
        <v>509612</v>
      </c>
      <c r="F43" s="1822" t="s">
        <v>494</v>
      </c>
      <c r="G43" s="1823">
        <f>F41</f>
        <v>2685870</v>
      </c>
    </row>
    <row r="44" spans="1:7" ht="12" customHeight="1" x14ac:dyDescent="0.2">
      <c r="A44" s="986"/>
      <c r="B44" s="162"/>
      <c r="C44" s="1000"/>
      <c r="D44" s="1822" t="s">
        <v>493</v>
      </c>
      <c r="E44" s="1823">
        <f>E41</f>
        <v>17829761</v>
      </c>
      <c r="F44" s="1822" t="s">
        <v>493</v>
      </c>
      <c r="G44" s="1823">
        <f>G41</f>
        <v>15653503</v>
      </c>
    </row>
    <row r="45" spans="1:7" ht="12" customHeight="1" x14ac:dyDescent="0.2">
      <c r="A45" s="986"/>
      <c r="B45" s="162"/>
      <c r="C45" s="162"/>
      <c r="D45" s="1824" t="s">
        <v>1062</v>
      </c>
      <c r="E45" s="1825">
        <f>(E43/E44)</f>
        <v>2.8582099333804865E-2</v>
      </c>
      <c r="F45" s="1824" t="s">
        <v>1062</v>
      </c>
      <c r="G45" s="1825">
        <f>(G43/G44)</f>
        <v>0.17158268024735421</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X24" sqref="X24"/>
      <selection pane="bottomLeft" activeCell="A5" sqref="A5:F5"/>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5703125" style="1894" bestFit="1" customWidth="1"/>
    <col min="9" max="10" width="2" style="1894" bestFit="1" customWidth="1"/>
    <col min="11" max="11" width="9" style="1894" customWidth="1"/>
    <col min="12" max="16384" width="9.140625" style="1863"/>
  </cols>
  <sheetData>
    <row r="1" spans="1:10" x14ac:dyDescent="0.2">
      <c r="A1" s="2440" t="s">
        <v>1445</v>
      </c>
      <c r="B1" s="2440"/>
      <c r="C1" s="2440"/>
      <c r="D1" s="2440"/>
      <c r="E1" s="2440"/>
      <c r="F1" s="2440"/>
    </row>
    <row r="2" spans="1:10" x14ac:dyDescent="0.2">
      <c r="A2" s="1903" t="s">
        <v>2042</v>
      </c>
      <c r="B2" s="1864"/>
      <c r="C2" s="1903"/>
      <c r="D2" s="1864"/>
      <c r="E2" s="1864"/>
      <c r="F2" s="1865"/>
    </row>
    <row r="3" spans="1:10" x14ac:dyDescent="0.2">
      <c r="A3" s="1903" t="s">
        <v>1698</v>
      </c>
      <c r="B3" s="1864"/>
      <c r="C3" s="1903"/>
      <c r="D3" s="1864"/>
      <c r="E3" s="1864"/>
      <c r="F3" s="1865"/>
    </row>
    <row r="4" spans="1:10" ht="3.75" customHeight="1" x14ac:dyDescent="0.2">
      <c r="A4" s="1864"/>
      <c r="B4" s="1864"/>
      <c r="C4" s="1864"/>
      <c r="D4" s="1864"/>
      <c r="E4" s="1864"/>
      <c r="F4" s="1865"/>
    </row>
    <row r="5" spans="1:10" ht="15" x14ac:dyDescent="0.25">
      <c r="A5" s="2441" t="s">
        <v>1626</v>
      </c>
      <c r="B5" s="2442"/>
      <c r="C5" s="2443"/>
      <c r="D5" s="2443"/>
      <c r="E5" s="2443"/>
      <c r="F5" s="2443"/>
    </row>
    <row r="6" spans="1:10" ht="12" customHeight="1" x14ac:dyDescent="0.25">
      <c r="A6" s="1866"/>
      <c r="B6" s="1867"/>
      <c r="C6" s="2444" t="str">
        <f>COVER!A17</f>
        <v>Geneseo CUSD 228</v>
      </c>
      <c r="D6" s="2444"/>
      <c r="E6" s="2444"/>
      <c r="F6" s="1868"/>
    </row>
    <row r="7" spans="1:10" ht="11.25" customHeight="1" thickBot="1" x14ac:dyDescent="0.3">
      <c r="A7" s="1866"/>
      <c r="B7" s="1867"/>
      <c r="C7" s="2445">
        <f>COVER!A13</f>
        <v>28037228026</v>
      </c>
      <c r="D7" s="2445"/>
      <c r="E7" s="2445"/>
      <c r="F7" s="1868"/>
    </row>
    <row r="8" spans="1:10" ht="25.5" customHeight="1" thickBot="1" x14ac:dyDescent="0.25">
      <c r="A8" s="1909" t="s">
        <v>2019</v>
      </c>
      <c r="B8" s="1869"/>
      <c r="C8" s="1905" t="s">
        <v>1778</v>
      </c>
      <c r="D8" s="1904" t="s">
        <v>1779</v>
      </c>
      <c r="E8" s="1906" t="s">
        <v>1446</v>
      </c>
      <c r="F8" s="1904" t="s">
        <v>1780</v>
      </c>
      <c r="H8" s="1870" t="b">
        <v>0</v>
      </c>
    </row>
    <row r="9" spans="1:10" ht="15.75" customHeight="1" x14ac:dyDescent="0.2">
      <c r="A9" s="1871" t="s">
        <v>1622</v>
      </c>
      <c r="B9" s="1872"/>
      <c r="C9" s="1873"/>
      <c r="D9" s="1873"/>
      <c r="E9" s="1874"/>
      <c r="F9" s="1875"/>
    </row>
    <row r="10" spans="1:10" ht="27.75" customHeight="1" x14ac:dyDescent="0.2">
      <c r="A10" s="1876" t="s">
        <v>1777</v>
      </c>
      <c r="B10" s="1877"/>
      <c r="C10" s="1878"/>
      <c r="D10" s="1878"/>
      <c r="E10" s="1907" t="s">
        <v>1447</v>
      </c>
      <c r="F10" s="1908" t="s">
        <v>1448</v>
      </c>
    </row>
    <row r="11" spans="1:10" ht="12" customHeight="1" x14ac:dyDescent="0.2">
      <c r="A11" s="1879" t="s">
        <v>1449</v>
      </c>
      <c r="B11" s="1880"/>
      <c r="C11" s="1881"/>
      <c r="D11" s="1881"/>
      <c r="E11" s="1882"/>
      <c r="F11" s="1883"/>
      <c r="H11" s="1894">
        <f>IF(C11="X",5,0)</f>
        <v>0</v>
      </c>
      <c r="I11" s="1894">
        <f>IF(D11="X",5,0)</f>
        <v>0</v>
      </c>
      <c r="J11" s="1894">
        <f>IF(E11="X",5,0)</f>
        <v>0</v>
      </c>
    </row>
    <row r="12" spans="1:10" ht="12" customHeight="1" x14ac:dyDescent="0.2">
      <c r="A12" s="1879" t="s">
        <v>1450</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1451</v>
      </c>
      <c r="B13" s="1880"/>
      <c r="C13" s="1881" t="s">
        <v>2091</v>
      </c>
      <c r="D13" s="1881" t="s">
        <v>2091</v>
      </c>
      <c r="E13" s="1884"/>
      <c r="F13" s="1883" t="s">
        <v>2092</v>
      </c>
      <c r="H13" s="1894">
        <f t="shared" si="0"/>
        <v>5</v>
      </c>
      <c r="I13" s="1894">
        <f t="shared" si="1"/>
        <v>5</v>
      </c>
      <c r="J13" s="1894">
        <f t="shared" si="2"/>
        <v>0</v>
      </c>
    </row>
    <row r="14" spans="1:10" ht="12" customHeight="1" x14ac:dyDescent="0.2">
      <c r="A14" s="1879" t="s">
        <v>1452</v>
      </c>
      <c r="B14" s="1880"/>
      <c r="C14" s="1881"/>
      <c r="D14" s="1881"/>
      <c r="E14" s="1884"/>
      <c r="F14" s="1883"/>
      <c r="H14" s="1894">
        <f t="shared" si="0"/>
        <v>0</v>
      </c>
      <c r="I14" s="1894">
        <f t="shared" si="1"/>
        <v>0</v>
      </c>
      <c r="J14" s="1894">
        <f t="shared" si="2"/>
        <v>0</v>
      </c>
    </row>
    <row r="15" spans="1:10" ht="12" customHeight="1" x14ac:dyDescent="0.2">
      <c r="A15" s="1879" t="s">
        <v>1453</v>
      </c>
      <c r="B15" s="1880"/>
      <c r="C15" s="1881" t="s">
        <v>2091</v>
      </c>
      <c r="D15" s="1881" t="s">
        <v>2091</v>
      </c>
      <c r="E15" s="1884"/>
      <c r="F15" s="1883" t="s">
        <v>2093</v>
      </c>
      <c r="H15" s="1894">
        <f t="shared" si="0"/>
        <v>5</v>
      </c>
      <c r="I15" s="1894">
        <f t="shared" si="1"/>
        <v>5</v>
      </c>
      <c r="J15" s="1894">
        <f t="shared" si="2"/>
        <v>0</v>
      </c>
    </row>
    <row r="16" spans="1:10" ht="12" customHeight="1" x14ac:dyDescent="0.2">
      <c r="A16" s="1879" t="s">
        <v>1454</v>
      </c>
      <c r="B16" s="1880"/>
      <c r="C16" s="1881"/>
      <c r="D16" s="1881"/>
      <c r="E16" s="1884"/>
      <c r="F16" s="1883"/>
      <c r="H16" s="1894">
        <f t="shared" si="0"/>
        <v>0</v>
      </c>
      <c r="I16" s="1894">
        <f t="shared" si="1"/>
        <v>0</v>
      </c>
      <c r="J16" s="1894">
        <f t="shared" si="2"/>
        <v>0</v>
      </c>
    </row>
    <row r="17" spans="1:12" ht="12" customHeight="1" x14ac:dyDescent="0.2">
      <c r="A17" s="1879" t="s">
        <v>1455</v>
      </c>
      <c r="B17" s="1880"/>
      <c r="C17" s="1881"/>
      <c r="D17" s="1881"/>
      <c r="E17" s="1884"/>
      <c r="F17" s="1883"/>
      <c r="H17" s="1894">
        <f t="shared" si="0"/>
        <v>0</v>
      </c>
      <c r="I17" s="1894">
        <f t="shared" si="1"/>
        <v>0</v>
      </c>
      <c r="J17" s="1894">
        <f t="shared" si="2"/>
        <v>0</v>
      </c>
    </row>
    <row r="18" spans="1:12" ht="12" customHeight="1" x14ac:dyDescent="0.2">
      <c r="A18" s="1879" t="s">
        <v>1456</v>
      </c>
      <c r="B18" s="1880"/>
      <c r="C18" s="1881"/>
      <c r="D18" s="1881"/>
      <c r="E18" s="1884"/>
      <c r="F18" s="1883"/>
      <c r="H18" s="1894">
        <f t="shared" si="0"/>
        <v>0</v>
      </c>
      <c r="I18" s="1894">
        <f t="shared" si="1"/>
        <v>0</v>
      </c>
      <c r="J18" s="1894">
        <f t="shared" si="2"/>
        <v>0</v>
      </c>
    </row>
    <row r="19" spans="1:12" ht="12" customHeight="1" x14ac:dyDescent="0.2">
      <c r="A19" s="1879" t="s">
        <v>1607</v>
      </c>
      <c r="B19" s="1880"/>
      <c r="C19" s="1881" t="s">
        <v>2091</v>
      </c>
      <c r="D19" s="1881" t="s">
        <v>2091</v>
      </c>
      <c r="E19" s="1884"/>
      <c r="F19" s="1883" t="s">
        <v>2094</v>
      </c>
      <c r="H19" s="1894">
        <f t="shared" si="0"/>
        <v>5</v>
      </c>
      <c r="I19" s="1894">
        <f t="shared" si="1"/>
        <v>5</v>
      </c>
      <c r="J19" s="1894">
        <f t="shared" si="2"/>
        <v>0</v>
      </c>
    </row>
    <row r="20" spans="1:12" ht="12" customHeight="1" x14ac:dyDescent="0.2">
      <c r="A20" s="1879" t="s">
        <v>1608</v>
      </c>
      <c r="B20" s="1880"/>
      <c r="C20" s="1881" t="s">
        <v>2091</v>
      </c>
      <c r="D20" s="1881" t="s">
        <v>2091</v>
      </c>
      <c r="E20" s="1884"/>
      <c r="F20" s="1883" t="s">
        <v>2095</v>
      </c>
      <c r="H20" s="1894">
        <f t="shared" si="0"/>
        <v>5</v>
      </c>
      <c r="I20" s="1894">
        <f t="shared" si="1"/>
        <v>5</v>
      </c>
      <c r="J20" s="1894">
        <f t="shared" si="2"/>
        <v>0</v>
      </c>
    </row>
    <row r="21" spans="1:12" ht="12" customHeight="1" x14ac:dyDescent="0.2">
      <c r="A21" s="1879" t="s">
        <v>1609</v>
      </c>
      <c r="B21" s="1880"/>
      <c r="C21" s="1881"/>
      <c r="D21" s="1881"/>
      <c r="E21" s="1884"/>
      <c r="F21" s="1883"/>
      <c r="H21" s="1894">
        <f t="shared" si="0"/>
        <v>0</v>
      </c>
      <c r="I21" s="1894">
        <f t="shared" si="1"/>
        <v>0</v>
      </c>
      <c r="J21" s="1894">
        <f t="shared" si="2"/>
        <v>0</v>
      </c>
    </row>
    <row r="22" spans="1:12" ht="12" customHeight="1" x14ac:dyDescent="0.2">
      <c r="A22" s="1879" t="s">
        <v>1610</v>
      </c>
      <c r="B22" s="1880"/>
      <c r="C22" s="1881"/>
      <c r="D22" s="1881"/>
      <c r="E22" s="1884"/>
      <c r="F22" s="1883"/>
      <c r="H22" s="1894">
        <f t="shared" si="0"/>
        <v>0</v>
      </c>
      <c r="I22" s="1894">
        <f t="shared" si="1"/>
        <v>0</v>
      </c>
      <c r="J22" s="1894">
        <f t="shared" si="2"/>
        <v>0</v>
      </c>
    </row>
    <row r="23" spans="1:12" ht="12" customHeight="1" x14ac:dyDescent="0.2">
      <c r="A23" s="1879" t="s">
        <v>1611</v>
      </c>
      <c r="B23" s="1880"/>
      <c r="C23" s="1881" t="s">
        <v>2091</v>
      </c>
      <c r="D23" s="1881" t="s">
        <v>2091</v>
      </c>
      <c r="E23" s="1884"/>
      <c r="F23" s="1883" t="s">
        <v>2096</v>
      </c>
      <c r="H23" s="1894">
        <f t="shared" si="0"/>
        <v>5</v>
      </c>
      <c r="I23" s="1894">
        <f t="shared" si="1"/>
        <v>5</v>
      </c>
      <c r="J23" s="1894">
        <f t="shared" si="2"/>
        <v>0</v>
      </c>
    </row>
    <row r="24" spans="1:12" ht="12" customHeight="1" x14ac:dyDescent="0.2">
      <c r="A24" s="1879" t="s">
        <v>1612</v>
      </c>
      <c r="B24" s="1880"/>
      <c r="C24" s="1881" t="s">
        <v>2091</v>
      </c>
      <c r="D24" s="1881" t="s">
        <v>2091</v>
      </c>
      <c r="E24" s="1884"/>
      <c r="F24" s="1883" t="s">
        <v>2097</v>
      </c>
      <c r="H24" s="1894">
        <f t="shared" si="0"/>
        <v>5</v>
      </c>
      <c r="I24" s="1894">
        <f t="shared" si="1"/>
        <v>5</v>
      </c>
      <c r="J24" s="1894">
        <f t="shared" si="2"/>
        <v>0</v>
      </c>
    </row>
    <row r="25" spans="1:12" ht="12" customHeight="1" x14ac:dyDescent="0.2">
      <c r="A25" s="1879" t="s">
        <v>1613</v>
      </c>
      <c r="B25" s="1880"/>
      <c r="C25" s="1881"/>
      <c r="D25" s="1881"/>
      <c r="E25" s="1884"/>
      <c r="F25" s="1883"/>
      <c r="H25" s="1894">
        <f t="shared" si="0"/>
        <v>0</v>
      </c>
      <c r="I25" s="1894">
        <f t="shared" si="1"/>
        <v>0</v>
      </c>
      <c r="J25" s="1894">
        <f t="shared" si="2"/>
        <v>0</v>
      </c>
    </row>
    <row r="26" spans="1:12" ht="12" customHeight="1" x14ac:dyDescent="0.2">
      <c r="A26" s="1879" t="s">
        <v>1614</v>
      </c>
      <c r="B26" s="1880"/>
      <c r="C26" s="1881" t="s">
        <v>2091</v>
      </c>
      <c r="D26" s="1881" t="s">
        <v>2091</v>
      </c>
      <c r="E26" s="1884"/>
      <c r="F26" s="1883" t="s">
        <v>2098</v>
      </c>
      <c r="H26" s="1894">
        <f t="shared" si="0"/>
        <v>5</v>
      </c>
      <c r="I26" s="1894">
        <f t="shared" si="1"/>
        <v>5</v>
      </c>
      <c r="J26" s="1894">
        <f t="shared" si="2"/>
        <v>0</v>
      </c>
    </row>
    <row r="27" spans="1:12" ht="18.75" x14ac:dyDescent="0.2">
      <c r="A27" s="1879" t="s">
        <v>1615</v>
      </c>
      <c r="B27" s="1880"/>
      <c r="C27" s="1881"/>
      <c r="D27" s="1881"/>
      <c r="E27" s="1884"/>
      <c r="F27" s="1883"/>
      <c r="H27" s="1894">
        <f t="shared" si="0"/>
        <v>0</v>
      </c>
      <c r="I27" s="1894">
        <f t="shared" si="1"/>
        <v>0</v>
      </c>
      <c r="J27" s="1894">
        <f t="shared" si="2"/>
        <v>0</v>
      </c>
    </row>
    <row r="28" spans="1:12" ht="12" customHeight="1" x14ac:dyDescent="0.2">
      <c r="A28" s="1879" t="s">
        <v>1616</v>
      </c>
      <c r="B28" s="1880"/>
      <c r="C28" s="1881" t="s">
        <v>2091</v>
      </c>
      <c r="D28" s="1881" t="s">
        <v>2091</v>
      </c>
      <c r="E28" s="1884"/>
      <c r="F28" s="1883" t="s">
        <v>2099</v>
      </c>
      <c r="H28" s="1894">
        <f t="shared" si="0"/>
        <v>5</v>
      </c>
      <c r="I28" s="1894">
        <f t="shared" si="1"/>
        <v>5</v>
      </c>
      <c r="J28" s="1894">
        <f t="shared" si="2"/>
        <v>0</v>
      </c>
    </row>
    <row r="29" spans="1:12" ht="12" customHeight="1" x14ac:dyDescent="0.2">
      <c r="A29" s="1879" t="s">
        <v>1617</v>
      </c>
      <c r="B29" s="1880"/>
      <c r="C29" s="1881"/>
      <c r="D29" s="1881"/>
      <c r="E29" s="1884"/>
      <c r="F29" s="1883"/>
      <c r="H29" s="1894">
        <f t="shared" si="0"/>
        <v>0</v>
      </c>
      <c r="I29" s="1894">
        <f t="shared" si="1"/>
        <v>0</v>
      </c>
      <c r="J29" s="1894">
        <f t="shared" si="2"/>
        <v>0</v>
      </c>
    </row>
    <row r="30" spans="1:12" ht="12" customHeight="1" x14ac:dyDescent="0.2">
      <c r="A30" s="1879" t="s">
        <v>1618</v>
      </c>
      <c r="B30" s="1880"/>
      <c r="C30" s="1881"/>
      <c r="D30" s="1881"/>
      <c r="E30" s="1884"/>
      <c r="F30" s="1883"/>
      <c r="H30" s="1894">
        <f t="shared" si="0"/>
        <v>0</v>
      </c>
      <c r="I30" s="1894">
        <f t="shared" si="1"/>
        <v>0</v>
      </c>
      <c r="J30" s="1894">
        <f t="shared" si="2"/>
        <v>0</v>
      </c>
    </row>
    <row r="31" spans="1:12" ht="12" customHeight="1" x14ac:dyDescent="0.2">
      <c r="A31" s="1879" t="s">
        <v>1619</v>
      </c>
      <c r="B31" s="1880"/>
      <c r="C31" s="1881" t="s">
        <v>2091</v>
      </c>
      <c r="D31" s="1881" t="s">
        <v>2091</v>
      </c>
      <c r="E31" s="1884"/>
      <c r="F31" s="1883" t="s">
        <v>2100</v>
      </c>
      <c r="H31" s="1894">
        <f t="shared" si="0"/>
        <v>5</v>
      </c>
      <c r="I31" s="1894">
        <f t="shared" si="1"/>
        <v>5</v>
      </c>
      <c r="J31" s="1894">
        <f t="shared" si="2"/>
        <v>0</v>
      </c>
      <c r="L31" s="1885"/>
    </row>
    <row r="32" spans="1:12" ht="12" customHeight="1" x14ac:dyDescent="0.2">
      <c r="A32" s="1879" t="s">
        <v>1620</v>
      </c>
      <c r="B32" s="1880"/>
      <c r="C32" s="1881"/>
      <c r="D32" s="1881"/>
      <c r="E32" s="1884"/>
      <c r="F32" s="1883"/>
      <c r="H32" s="1894">
        <f t="shared" si="0"/>
        <v>0</v>
      </c>
      <c r="I32" s="1894">
        <f t="shared" si="1"/>
        <v>0</v>
      </c>
      <c r="J32" s="1894">
        <f t="shared" si="2"/>
        <v>0</v>
      </c>
    </row>
    <row r="33" spans="1:11" ht="12" customHeight="1" x14ac:dyDescent="0.2">
      <c r="A33" s="1879" t="s">
        <v>1621</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45</v>
      </c>
      <c r="I34" s="1894">
        <f>SUM(I11:I32)</f>
        <v>45</v>
      </c>
      <c r="J34" s="1894">
        <f>SUM(J11:J32)</f>
        <v>0</v>
      </c>
      <c r="K34" s="1894">
        <f>SUM(H34:J34)</f>
        <v>90</v>
      </c>
    </row>
    <row r="35" spans="1:11" ht="12" customHeight="1" x14ac:dyDescent="0.2">
      <c r="A35" s="1887" t="s">
        <v>1458</v>
      </c>
      <c r="B35" s="1888"/>
      <c r="C35" s="2446"/>
      <c r="D35" s="2446"/>
      <c r="E35" s="2446"/>
      <c r="F35" s="2447"/>
    </row>
    <row r="36" spans="1:11" ht="12" customHeight="1" x14ac:dyDescent="0.2">
      <c r="A36" s="2437"/>
      <c r="B36" s="2438"/>
      <c r="C36" s="2438"/>
      <c r="D36" s="2438"/>
      <c r="E36" s="2438"/>
      <c r="F36" s="2439"/>
    </row>
    <row r="37" spans="1:11" ht="12" customHeight="1" x14ac:dyDescent="0.2">
      <c r="A37" s="2437"/>
      <c r="B37" s="2438"/>
      <c r="C37" s="2438"/>
      <c r="D37" s="2438"/>
      <c r="E37" s="2438"/>
      <c r="F37" s="2439"/>
    </row>
    <row r="38" spans="1:11" ht="12" customHeight="1" x14ac:dyDescent="0.2">
      <c r="A38" s="2451"/>
      <c r="B38" s="2452"/>
      <c r="C38" s="2452"/>
      <c r="D38" s="2452"/>
      <c r="E38" s="2452"/>
      <c r="F38" s="2453"/>
    </row>
    <row r="39" spans="1:11" ht="4.5" hidden="1" customHeight="1" x14ac:dyDescent="0.2">
      <c r="A39" s="1889"/>
      <c r="B39" s="1889"/>
      <c r="C39" s="1889"/>
      <c r="D39" s="1889"/>
      <c r="E39" s="1889"/>
      <c r="F39" s="1889"/>
    </row>
    <row r="40" spans="1:11" s="1886" customFormat="1" ht="12" customHeight="1" x14ac:dyDescent="0.25">
      <c r="A40" s="1890" t="s">
        <v>1457</v>
      </c>
      <c r="B40" s="1891"/>
      <c r="C40" s="2454"/>
      <c r="D40" s="2454"/>
      <c r="E40" s="2454"/>
      <c r="F40" s="2455"/>
      <c r="H40" s="1895"/>
      <c r="I40" s="1895"/>
      <c r="J40" s="1895"/>
      <c r="K40" s="1895"/>
    </row>
    <row r="41" spans="1:11" s="1886" customFormat="1" ht="12" customHeight="1" x14ac:dyDescent="0.25">
      <c r="A41" s="2456"/>
      <c r="B41" s="2457"/>
      <c r="C41" s="2457"/>
      <c r="D41" s="2457"/>
      <c r="E41" s="2457"/>
      <c r="F41" s="2458"/>
      <c r="H41" s="1895"/>
      <c r="I41" s="1895"/>
      <c r="J41" s="1895"/>
      <c r="K41" s="1895"/>
    </row>
    <row r="42" spans="1:11" s="1886" customFormat="1" ht="12" customHeight="1" x14ac:dyDescent="0.25">
      <c r="A42" s="2456"/>
      <c r="B42" s="2457"/>
      <c r="C42" s="2457"/>
      <c r="D42" s="2457"/>
      <c r="E42" s="2457"/>
      <c r="F42" s="2458"/>
      <c r="H42" s="1895"/>
      <c r="I42" s="1895"/>
      <c r="J42" s="1895"/>
      <c r="K42" s="1895"/>
    </row>
    <row r="43" spans="1:11" s="1886" customFormat="1" ht="15" x14ac:dyDescent="0.25">
      <c r="A43" s="2448"/>
      <c r="B43" s="2449"/>
      <c r="C43" s="2449"/>
      <c r="D43" s="2449"/>
      <c r="E43" s="2449"/>
      <c r="F43" s="2450"/>
      <c r="H43" s="1895"/>
      <c r="I43" s="1895"/>
      <c r="J43" s="1895"/>
      <c r="K43" s="1895"/>
    </row>
    <row r="44" spans="1:11" s="1886" customFormat="1" ht="12" hidden="1" customHeight="1" x14ac:dyDescent="0.25">
      <c r="A44" s="2448"/>
      <c r="B44" s="2449"/>
      <c r="C44" s="2449"/>
      <c r="D44" s="2449"/>
      <c r="E44" s="2449"/>
      <c r="F44" s="2450"/>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0" t="s">
        <v>692</v>
      </c>
      <c r="B6" s="1661"/>
      <c r="C6" s="1661"/>
      <c r="D6" s="1661"/>
      <c r="E6" s="1662"/>
      <c r="F6" s="1014"/>
      <c r="G6" s="1008"/>
      <c r="H6" s="1015" t="s">
        <v>1085</v>
      </c>
      <c r="I6" s="2464" t="str">
        <f>COVER!A17</f>
        <v>Geneseo CUSD 228</v>
      </c>
      <c r="J6" s="2465"/>
      <c r="Q6" s="1678"/>
    </row>
    <row r="7" spans="1:17" x14ac:dyDescent="0.2">
      <c r="A7" s="2466" t="s">
        <v>923</v>
      </c>
      <c r="B7" s="2467"/>
      <c r="C7" s="2467"/>
      <c r="D7" s="2467"/>
      <c r="E7" s="2468"/>
      <c r="F7" s="1016"/>
      <c r="G7" s="1008"/>
      <c r="H7" s="1015" t="s">
        <v>389</v>
      </c>
      <c r="I7" s="2469">
        <f>COVER!A13</f>
        <v>28037228026</v>
      </c>
      <c r="J7" s="2469"/>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1" t="s">
        <v>1699</v>
      </c>
      <c r="F9" s="1022"/>
      <c r="G9" s="1022"/>
      <c r="H9" s="1912" t="s">
        <v>1700</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470" t="s">
        <v>501</v>
      </c>
      <c r="B11" s="2471"/>
      <c r="C11" s="2472"/>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26">
        <f>'Expenditures 15-22'!K50</f>
        <v>270200</v>
      </c>
      <c r="F12" s="1038"/>
      <c r="G12" s="1826">
        <f t="shared" ref="G12:G18" si="0">SUM(E12:F12)</f>
        <v>270200</v>
      </c>
      <c r="H12" s="1039">
        <v>197228</v>
      </c>
      <c r="I12" s="1038"/>
      <c r="J12" s="1826">
        <f t="shared" ref="J12:J18" si="1">SUM(H12:I12)</f>
        <v>197228</v>
      </c>
    </row>
    <row r="13" spans="1:17" ht="15" customHeight="1" x14ac:dyDescent="0.2">
      <c r="A13" s="1034">
        <v>2</v>
      </c>
      <c r="B13" s="1035" t="s">
        <v>44</v>
      </c>
      <c r="C13" s="1036"/>
      <c r="D13" s="1037">
        <v>2330</v>
      </c>
      <c r="E13" s="1826">
        <f>'Expenditures 15-22'!K51</f>
        <v>0</v>
      </c>
      <c r="F13" s="1038"/>
      <c r="G13" s="1826">
        <f t="shared" si="0"/>
        <v>0</v>
      </c>
      <c r="H13" s="1039"/>
      <c r="I13" s="1038"/>
      <c r="J13" s="1826">
        <f t="shared" si="1"/>
        <v>0</v>
      </c>
    </row>
    <row r="14" spans="1:17" ht="15" customHeight="1" x14ac:dyDescent="0.2">
      <c r="A14" s="1034">
        <v>3</v>
      </c>
      <c r="B14" s="1035" t="s">
        <v>45</v>
      </c>
      <c r="C14" s="1036"/>
      <c r="D14" s="1040">
        <v>2490</v>
      </c>
      <c r="E14" s="1826">
        <f>'Expenditures 15-22'!K56</f>
        <v>0</v>
      </c>
      <c r="F14" s="1038"/>
      <c r="G14" s="1826">
        <f t="shared" si="0"/>
        <v>0</v>
      </c>
      <c r="H14" s="1039"/>
      <c r="I14" s="1038"/>
      <c r="J14" s="1826">
        <f t="shared" si="1"/>
        <v>0</v>
      </c>
    </row>
    <row r="15" spans="1:17" ht="15" customHeight="1" x14ac:dyDescent="0.2">
      <c r="A15" s="1034">
        <v>4</v>
      </c>
      <c r="B15" s="1035" t="s">
        <v>1127</v>
      </c>
      <c r="C15" s="1036"/>
      <c r="D15" s="1037">
        <v>2510</v>
      </c>
      <c r="E15" s="1826">
        <f>'Expenditures 15-22'!K59</f>
        <v>0</v>
      </c>
      <c r="F15" s="1826">
        <f>'Expenditures 15-22'!K122</f>
        <v>0</v>
      </c>
      <c r="G15" s="1826">
        <f t="shared" si="0"/>
        <v>0</v>
      </c>
      <c r="H15" s="1039"/>
      <c r="I15" s="1039"/>
      <c r="J15" s="1826">
        <f t="shared" si="1"/>
        <v>0</v>
      </c>
    </row>
    <row r="16" spans="1:17" ht="15" customHeight="1" x14ac:dyDescent="0.2">
      <c r="A16" s="1034">
        <v>5</v>
      </c>
      <c r="B16" s="1035" t="s">
        <v>103</v>
      </c>
      <c r="C16" s="1036"/>
      <c r="D16" s="1037">
        <v>2570</v>
      </c>
      <c r="E16" s="1826">
        <f>'Expenditures 15-22'!K64</f>
        <v>0</v>
      </c>
      <c r="F16" s="1038"/>
      <c r="G16" s="1826">
        <f t="shared" si="0"/>
        <v>0</v>
      </c>
      <c r="H16" s="1039"/>
      <c r="I16" s="1038"/>
      <c r="J16" s="1826">
        <f t="shared" si="1"/>
        <v>0</v>
      </c>
    </row>
    <row r="17" spans="1:10" ht="15" customHeight="1" x14ac:dyDescent="0.2">
      <c r="A17" s="1034">
        <v>6</v>
      </c>
      <c r="B17" s="1035" t="s">
        <v>1119</v>
      </c>
      <c r="C17" s="1036"/>
      <c r="D17" s="1037">
        <v>2610</v>
      </c>
      <c r="E17" s="1826">
        <f>'Expenditures 15-22'!K67</f>
        <v>0</v>
      </c>
      <c r="F17" s="1038"/>
      <c r="G17" s="1826">
        <f t="shared" si="0"/>
        <v>0</v>
      </c>
      <c r="H17" s="1039"/>
      <c r="I17" s="1038"/>
      <c r="J17" s="1826">
        <f t="shared" si="1"/>
        <v>0</v>
      </c>
    </row>
    <row r="18" spans="1:10" ht="22.5" customHeight="1" x14ac:dyDescent="0.2">
      <c r="A18" s="1041">
        <v>7</v>
      </c>
      <c r="B18" s="2473" t="s">
        <v>7</v>
      </c>
      <c r="C18" s="2474"/>
      <c r="D18" s="2475"/>
      <c r="E18" s="1042"/>
      <c r="F18" s="1042"/>
      <c r="G18" s="1827">
        <f t="shared" si="0"/>
        <v>0</v>
      </c>
      <c r="H18" s="1039"/>
      <c r="I18" s="1039"/>
      <c r="J18" s="1826">
        <f t="shared" si="1"/>
        <v>0</v>
      </c>
    </row>
    <row r="19" spans="1:10" ht="12.75" customHeight="1" thickBot="1" x14ac:dyDescent="0.25">
      <c r="A19" s="1034">
        <v>8</v>
      </c>
      <c r="B19" s="1043" t="s">
        <v>1222</v>
      </c>
      <c r="D19" s="1044"/>
      <c r="E19" s="1828">
        <f t="shared" ref="E19:J19" si="2">SUM(E12:E17)-E18</f>
        <v>270200</v>
      </c>
      <c r="F19" s="1828">
        <f t="shared" si="2"/>
        <v>0</v>
      </c>
      <c r="G19" s="1828">
        <f t="shared" si="2"/>
        <v>270200</v>
      </c>
      <c r="H19" s="1828">
        <f t="shared" si="2"/>
        <v>197228</v>
      </c>
      <c r="I19" s="1828">
        <f t="shared" si="2"/>
        <v>0</v>
      </c>
      <c r="J19" s="1828">
        <f t="shared" si="2"/>
        <v>197228</v>
      </c>
    </row>
    <row r="20" spans="1:10" ht="13.5" thickTop="1" x14ac:dyDescent="0.2">
      <c r="A20" s="1034">
        <v>9</v>
      </c>
      <c r="B20" s="2476" t="s">
        <v>1701</v>
      </c>
      <c r="C20" s="2476"/>
      <c r="D20" s="2477"/>
      <c r="E20" s="1045"/>
      <c r="F20" s="1045"/>
      <c r="G20" s="1045"/>
      <c r="H20" s="1045"/>
      <c r="I20" s="1045"/>
      <c r="J20" s="1829">
        <f>IF(AND(G19&gt;0,J19&gt;0),(((J19-G19)/G19)),"Enter Budget Data")</f>
        <v>-0.27006661732050335</v>
      </c>
    </row>
    <row r="21" spans="1:10" ht="9" customHeight="1" x14ac:dyDescent="0.2">
      <c r="B21" s="1046"/>
    </row>
    <row r="22" spans="1:10" x14ac:dyDescent="0.2">
      <c r="A22" s="1047" t="s">
        <v>135</v>
      </c>
      <c r="B22" s="1046"/>
    </row>
    <row r="23" spans="1:10" x14ac:dyDescent="0.2">
      <c r="A23" s="1010" t="s">
        <v>1702</v>
      </c>
      <c r="B23" s="1046"/>
    </row>
    <row r="24" spans="1:10" x14ac:dyDescent="0.2">
      <c r="A24" s="1010" t="s">
        <v>1703</v>
      </c>
      <c r="B24" s="1046"/>
    </row>
    <row r="25" spans="1:10" x14ac:dyDescent="0.2">
      <c r="A25" s="1048"/>
      <c r="B25" s="1046"/>
    </row>
    <row r="26" spans="1:10" ht="20.100000000000001" customHeight="1" x14ac:dyDescent="0.2">
      <c r="B26" s="1046"/>
      <c r="C26" s="2482"/>
      <c r="D26" s="2482"/>
      <c r="E26" s="1049"/>
      <c r="F26" s="2481"/>
      <c r="G26" s="2481"/>
    </row>
    <row r="27" spans="1:10" x14ac:dyDescent="0.2">
      <c r="B27" s="1046"/>
      <c r="C27" s="1050" t="s">
        <v>1092</v>
      </c>
      <c r="D27" s="1051"/>
      <c r="E27" s="1052"/>
      <c r="F27" s="2478" t="s">
        <v>1588</v>
      </c>
      <c r="G27" s="2478"/>
    </row>
    <row r="28" spans="1:10" ht="28.5" customHeight="1" x14ac:dyDescent="0.2">
      <c r="B28" s="1046"/>
      <c r="C28" s="2480"/>
      <c r="D28" s="2480"/>
      <c r="E28" s="1053"/>
      <c r="F28" s="2480"/>
      <c r="G28" s="2480"/>
    </row>
    <row r="29" spans="1:10" x14ac:dyDescent="0.2">
      <c r="B29" s="1046"/>
      <c r="C29" s="1054" t="s">
        <v>1640</v>
      </c>
      <c r="E29" s="1055"/>
      <c r="F29" s="2479" t="s">
        <v>1589</v>
      </c>
      <c r="G29" s="2479"/>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461" t="s">
        <v>134</v>
      </c>
      <c r="D33" s="2462"/>
      <c r="E33" s="2462"/>
      <c r="F33" s="2462"/>
      <c r="G33" s="2462"/>
      <c r="H33" s="2462"/>
      <c r="I33" s="2462"/>
    </row>
    <row r="34" spans="1:10" ht="10.35" customHeight="1" x14ac:dyDescent="0.2">
      <c r="C34" s="2462"/>
      <c r="D34" s="2462"/>
      <c r="E34" s="2462"/>
      <c r="F34" s="2462"/>
      <c r="G34" s="2462"/>
      <c r="H34" s="2462"/>
      <c r="I34" s="2462"/>
    </row>
    <row r="35" spans="1:10" ht="7.5" customHeight="1" x14ac:dyDescent="0.2">
      <c r="C35" s="1061"/>
    </row>
    <row r="36" spans="1:10" ht="13.5" customHeight="1" x14ac:dyDescent="0.2">
      <c r="B36" s="1060"/>
      <c r="C36" s="2463" t="s">
        <v>1938</v>
      </c>
      <c r="D36" s="2462"/>
      <c r="E36" s="2462"/>
      <c r="F36" s="2462"/>
      <c r="G36" s="2462"/>
      <c r="H36" s="2462"/>
      <c r="I36" s="2462"/>
      <c r="J36" s="1062"/>
    </row>
    <row r="37" spans="1:10" ht="22.5" customHeight="1" x14ac:dyDescent="0.2">
      <c r="C37" s="2462"/>
      <c r="D37" s="2462"/>
      <c r="E37" s="2462"/>
      <c r="F37" s="2462"/>
      <c r="G37" s="2462"/>
      <c r="H37" s="2462"/>
      <c r="I37" s="2462"/>
      <c r="J37" s="1062"/>
    </row>
    <row r="38" spans="1:10" ht="7.5" customHeight="1" x14ac:dyDescent="0.2">
      <c r="C38" s="1061"/>
      <c r="D38" s="1063"/>
      <c r="E38" s="1064"/>
      <c r="F38" s="1065"/>
      <c r="G38" s="1064"/>
    </row>
    <row r="39" spans="1:10" ht="13.5" customHeight="1" x14ac:dyDescent="0.2">
      <c r="B39" s="1060"/>
      <c r="C39" s="2459" t="s">
        <v>936</v>
      </c>
      <c r="D39" s="2460"/>
      <c r="E39" s="2460"/>
      <c r="F39" s="2460"/>
      <c r="G39" s="2460"/>
      <c r="H39" s="2460"/>
      <c r="I39" s="246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2226</v>
      </c>
    </row>
    <row r="6" spans="1:2" x14ac:dyDescent="0.2">
      <c r="A6" s="1067">
        <v>2</v>
      </c>
      <c r="B6" s="329" t="s">
        <v>2227</v>
      </c>
    </row>
    <row r="7" spans="1:2" x14ac:dyDescent="0.2">
      <c r="A7" s="1067">
        <v>3</v>
      </c>
      <c r="B7" s="329" t="s">
        <v>2228</v>
      </c>
    </row>
    <row r="8" spans="1:2" x14ac:dyDescent="0.2">
      <c r="A8" s="1067">
        <v>4</v>
      </c>
      <c r="B8" s="329" t="s">
        <v>2229</v>
      </c>
    </row>
    <row r="9" spans="1:2" x14ac:dyDescent="0.2">
      <c r="A9" s="1067">
        <v>5</v>
      </c>
      <c r="B9" s="329" t="s">
        <v>2230</v>
      </c>
    </row>
    <row r="10" spans="1:2" x14ac:dyDescent="0.2">
      <c r="A10" s="1067"/>
      <c r="B10" s="329" t="s">
        <v>2231</v>
      </c>
    </row>
    <row r="11" spans="1:2" x14ac:dyDescent="0.2">
      <c r="A11" s="1067"/>
      <c r="B11" s="329" t="s">
        <v>2232</v>
      </c>
    </row>
    <row r="12" spans="1:2" x14ac:dyDescent="0.2">
      <c r="A12" s="1067">
        <v>6</v>
      </c>
      <c r="B12" s="329" t="s">
        <v>2233</v>
      </c>
    </row>
    <row r="13" spans="1:2" x14ac:dyDescent="0.2">
      <c r="A13" s="1067">
        <v>7</v>
      </c>
      <c r="B13" s="329" t="s">
        <v>2234</v>
      </c>
    </row>
    <row r="14" spans="1:2" x14ac:dyDescent="0.2">
      <c r="A14" s="1067">
        <v>8</v>
      </c>
      <c r="B14" s="329" t="s">
        <v>2241</v>
      </c>
    </row>
    <row r="15" spans="1:2" x14ac:dyDescent="0.2">
      <c r="A15" s="1067">
        <v>9</v>
      </c>
      <c r="B15" s="329" t="s">
        <v>2235</v>
      </c>
    </row>
    <row r="16" spans="1:2" x14ac:dyDescent="0.2">
      <c r="A16" s="1067">
        <v>10</v>
      </c>
      <c r="B16" s="329" t="s">
        <v>2236</v>
      </c>
    </row>
    <row r="17" spans="1:2" x14ac:dyDescent="0.2">
      <c r="A17" s="1067">
        <v>11</v>
      </c>
      <c r="B17" s="329" t="s">
        <v>2240</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Geneseo CUSD 228</v>
      </c>
    </row>
    <row r="65" spans="2:2" x14ac:dyDescent="0.2">
      <c r="B65" s="1069">
        <f>COVER!A13</f>
        <v>28037228026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1965</v>
      </c>
      <c r="C4" s="162" t="s">
        <v>1230</v>
      </c>
      <c r="D4" s="169" t="s">
        <v>10</v>
      </c>
      <c r="E4" s="170" t="s">
        <v>22</v>
      </c>
    </row>
    <row r="5" spans="1:5" x14ac:dyDescent="0.2">
      <c r="A5" s="168" t="s">
        <v>1967</v>
      </c>
      <c r="C5" s="162" t="s">
        <v>1230</v>
      </c>
      <c r="D5" s="169" t="s">
        <v>10</v>
      </c>
      <c r="E5" s="170" t="s">
        <v>22</v>
      </c>
    </row>
    <row r="6" spans="1:5" x14ac:dyDescent="0.2">
      <c r="A6" s="168" t="s">
        <v>1966</v>
      </c>
      <c r="C6" s="162" t="s">
        <v>1230</v>
      </c>
      <c r="D6" s="167" t="s">
        <v>11</v>
      </c>
      <c r="E6" s="170" t="s">
        <v>997</v>
      </c>
    </row>
    <row r="7" spans="1:5" x14ac:dyDescent="0.2">
      <c r="A7" s="168" t="s">
        <v>1968</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1969</v>
      </c>
      <c r="C11" s="162" t="s">
        <v>1230</v>
      </c>
      <c r="D11" s="169" t="s">
        <v>14</v>
      </c>
      <c r="E11" s="170" t="s">
        <v>1217</v>
      </c>
    </row>
    <row r="12" spans="1:5" x14ac:dyDescent="0.2">
      <c r="B12" s="169" t="s">
        <v>1970</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1971</v>
      </c>
      <c r="C15" s="162" t="s">
        <v>1230</v>
      </c>
      <c r="D15" s="169" t="s">
        <v>17</v>
      </c>
      <c r="E15" s="170" t="s">
        <v>656</v>
      </c>
    </row>
    <row r="16" spans="1:5" x14ac:dyDescent="0.2">
      <c r="A16" s="172"/>
      <c r="B16" s="162" t="s">
        <v>1972</v>
      </c>
      <c r="C16" s="162" t="s">
        <v>1230</v>
      </c>
      <c r="D16" s="169" t="s">
        <v>701</v>
      </c>
      <c r="E16" s="170" t="s">
        <v>1099</v>
      </c>
    </row>
    <row r="17" spans="1:5" x14ac:dyDescent="0.2">
      <c r="B17" s="167" t="s">
        <v>1044</v>
      </c>
      <c r="C17" s="162" t="s">
        <v>1230</v>
      </c>
    </row>
    <row r="18" spans="1:5" x14ac:dyDescent="0.2">
      <c r="B18" s="167" t="s">
        <v>1978</v>
      </c>
      <c r="D18" s="169" t="s">
        <v>18</v>
      </c>
      <c r="E18" s="170" t="s">
        <v>1100</v>
      </c>
    </row>
    <row r="19" spans="1:5" x14ac:dyDescent="0.2">
      <c r="A19" s="168" t="s">
        <v>1160</v>
      </c>
      <c r="C19" s="162" t="s">
        <v>1230</v>
      </c>
      <c r="D19" s="169"/>
      <c r="E19" s="171"/>
    </row>
    <row r="20" spans="1:5" x14ac:dyDescent="0.2">
      <c r="B20" s="167" t="s">
        <v>1973</v>
      </c>
      <c r="C20" s="162" t="s">
        <v>1230</v>
      </c>
      <c r="D20" s="169" t="s">
        <v>19</v>
      </c>
      <c r="E20" s="170" t="s">
        <v>53</v>
      </c>
    </row>
    <row r="21" spans="1:5" x14ac:dyDescent="0.2">
      <c r="B21" s="167" t="s">
        <v>1974</v>
      </c>
      <c r="C21" s="162" t="s">
        <v>1230</v>
      </c>
      <c r="D21" s="169" t="s">
        <v>20</v>
      </c>
      <c r="E21" s="170" t="s">
        <v>1706</v>
      </c>
    </row>
    <row r="22" spans="1:5" x14ac:dyDescent="0.2">
      <c r="A22" s="168"/>
      <c r="B22" s="162" t="s">
        <v>1962</v>
      </c>
      <c r="C22" s="162" t="s">
        <v>1230</v>
      </c>
      <c r="D22" s="167" t="s">
        <v>1964</v>
      </c>
      <c r="E22" s="1851" t="s">
        <v>1707</v>
      </c>
    </row>
    <row r="23" spans="1:5" x14ac:dyDescent="0.2">
      <c r="A23" s="168"/>
      <c r="B23" s="162" t="s">
        <v>1963</v>
      </c>
      <c r="D23" s="167" t="s">
        <v>657</v>
      </c>
      <c r="E23" s="1851" t="s">
        <v>1015</v>
      </c>
    </row>
    <row r="24" spans="1:5" x14ac:dyDescent="0.2">
      <c r="A24" s="168" t="s">
        <v>1705</v>
      </c>
      <c r="C24" s="162" t="s">
        <v>1230</v>
      </c>
      <c r="D24" s="167" t="s">
        <v>1459</v>
      </c>
      <c r="E24" s="170" t="s">
        <v>1016</v>
      </c>
    </row>
    <row r="25" spans="1:5" x14ac:dyDescent="0.2">
      <c r="A25" s="168" t="s">
        <v>1975</v>
      </c>
      <c r="C25" s="162" t="s">
        <v>1230</v>
      </c>
      <c r="D25" s="169" t="s">
        <v>21</v>
      </c>
      <c r="E25" s="170" t="s">
        <v>1101</v>
      </c>
    </row>
    <row r="26" spans="1:5" x14ac:dyDescent="0.2">
      <c r="A26" s="168" t="s">
        <v>1976</v>
      </c>
      <c r="C26" s="162" t="s">
        <v>1230</v>
      </c>
      <c r="D26" s="169" t="s">
        <v>583</v>
      </c>
      <c r="E26" s="170" t="s">
        <v>1102</v>
      </c>
    </row>
    <row r="27" spans="1:5" x14ac:dyDescent="0.2">
      <c r="A27" s="168" t="s">
        <v>1977</v>
      </c>
      <c r="C27" s="162" t="s">
        <v>1230</v>
      </c>
      <c r="D27" s="169" t="s">
        <v>577</v>
      </c>
      <c r="E27" s="170" t="s">
        <v>703</v>
      </c>
    </row>
    <row r="28" spans="1:5" x14ac:dyDescent="0.2">
      <c r="A28" s="168" t="s">
        <v>1979</v>
      </c>
      <c r="D28" s="169" t="s">
        <v>704</v>
      </c>
      <c r="E28" s="170" t="s">
        <v>1432</v>
      </c>
    </row>
    <row r="29" spans="1:5" x14ac:dyDescent="0.2">
      <c r="A29" s="168" t="s">
        <v>1980</v>
      </c>
      <c r="D29" s="169" t="s">
        <v>1460</v>
      </c>
      <c r="E29" s="170" t="s">
        <v>1441</v>
      </c>
    </row>
    <row r="30" spans="1:5" x14ac:dyDescent="0.2">
      <c r="A30" s="173" t="s">
        <v>1981</v>
      </c>
      <c r="C30" s="162" t="s">
        <v>1230</v>
      </c>
      <c r="D30" s="169" t="s">
        <v>42</v>
      </c>
      <c r="E30" s="170" t="s">
        <v>1038</v>
      </c>
    </row>
    <row r="31" spans="1:5" x14ac:dyDescent="0.2">
      <c r="A31" s="168" t="s">
        <v>1601</v>
      </c>
      <c r="C31" s="162" t="s">
        <v>1230</v>
      </c>
      <c r="D31" s="167"/>
      <c r="E31" s="171"/>
    </row>
    <row r="32" spans="1:5" x14ac:dyDescent="0.2">
      <c r="B32" s="167" t="s">
        <v>1982</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98" t="s">
        <v>1124</v>
      </c>
      <c r="B35" s="2198"/>
      <c r="C35" s="2198"/>
      <c r="D35" s="2198"/>
      <c r="E35" s="219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95" t="s">
        <v>714</v>
      </c>
      <c r="B40" s="2195"/>
      <c r="C40" s="2195"/>
      <c r="D40" s="2195"/>
      <c r="E40" s="2195"/>
    </row>
    <row r="41" spans="1:5" x14ac:dyDescent="0.2">
      <c r="A41" s="2196" t="s">
        <v>1704</v>
      </c>
      <c r="B41" s="2196"/>
      <c r="C41" s="2196"/>
      <c r="D41" s="2196"/>
      <c r="E41" s="2196"/>
    </row>
    <row r="42" spans="1:5" ht="12.75" customHeight="1" x14ac:dyDescent="0.2">
      <c r="A42" s="2197" t="s">
        <v>1079</v>
      </c>
      <c r="B42" s="2197"/>
      <c r="C42" s="2197"/>
      <c r="D42" s="2197"/>
      <c r="E42" s="2197"/>
    </row>
    <row r="43" spans="1:5" ht="6.75" customHeight="1" x14ac:dyDescent="0.2">
      <c r="A43" s="167"/>
      <c r="B43" s="176"/>
    </row>
    <row r="44" spans="1:5" x14ac:dyDescent="0.2">
      <c r="A44" s="185" t="s">
        <v>1039</v>
      </c>
      <c r="B44" s="186" t="s">
        <v>2012</v>
      </c>
    </row>
    <row r="45" spans="1:5" ht="6.75" customHeight="1" x14ac:dyDescent="0.2">
      <c r="A45" s="187"/>
      <c r="B45" s="186"/>
    </row>
    <row r="46" spans="1:5" x14ac:dyDescent="0.2">
      <c r="A46" s="185" t="s">
        <v>1040</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4" t="s">
        <v>1874</v>
      </c>
    </row>
    <row r="60" spans="1:3" x14ac:dyDescent="0.2">
      <c r="A60" s="196"/>
      <c r="B60" s="1504" t="s">
        <v>1875</v>
      </c>
    </row>
    <row r="61" spans="1:3" ht="6" customHeight="1" x14ac:dyDescent="0.2">
      <c r="A61" s="197"/>
      <c r="B61" s="189"/>
    </row>
    <row r="62" spans="1:3" x14ac:dyDescent="0.2">
      <c r="A62" s="169" t="s">
        <v>1712</v>
      </c>
      <c r="B62" s="198" t="s">
        <v>1871</v>
      </c>
    </row>
    <row r="63" spans="1:3" x14ac:dyDescent="0.2">
      <c r="A63" s="188"/>
      <c r="B63" s="169" t="s">
        <v>1886</v>
      </c>
    </row>
    <row r="64" spans="1:3" x14ac:dyDescent="0.2">
      <c r="A64" s="195"/>
      <c r="B64" s="1506"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5" t="s">
        <v>1715</v>
      </c>
    </row>
    <row r="72" spans="1:9" ht="9" customHeight="1" x14ac:dyDescent="0.2">
      <c r="A72" s="192"/>
      <c r="B72" s="199"/>
    </row>
    <row r="73" spans="1:9" x14ac:dyDescent="0.2">
      <c r="A73" s="189" t="s">
        <v>1716</v>
      </c>
      <c r="B73" s="169" t="s">
        <v>1882</v>
      </c>
    </row>
    <row r="74" spans="1:9" x14ac:dyDescent="0.2">
      <c r="A74" s="189"/>
      <c r="B74" s="169" t="s">
        <v>1881</v>
      </c>
    </row>
    <row r="75" spans="1:9" ht="8.25" customHeight="1" x14ac:dyDescent="0.2">
      <c r="A75" s="189"/>
      <c r="B75" s="189"/>
    </row>
    <row r="76" spans="1:9" ht="12.2" customHeight="1" x14ac:dyDescent="0.2">
      <c r="A76" s="189" t="s">
        <v>1717</v>
      </c>
      <c r="B76" s="198" t="s">
        <v>1883</v>
      </c>
    </row>
    <row r="77" spans="1:9" ht="12.2" customHeight="1" x14ac:dyDescent="0.2">
      <c r="A77" s="190"/>
      <c r="B77" s="169" t="s">
        <v>1718</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1781</v>
      </c>
    </row>
    <row r="17" spans="1:2" ht="6" customHeight="1" x14ac:dyDescent="0.2"/>
    <row r="18" spans="1:2" ht="24.75" customHeight="1" x14ac:dyDescent="0.2">
      <c r="A18" s="2483" t="s">
        <v>1782</v>
      </c>
      <c r="B18" s="248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7" r:id="rId4"/>
      </mc:Fallback>
    </mc:AlternateContent>
    <mc:AlternateContent xmlns:mc="http://schemas.openxmlformats.org/markup-compatibility/2006">
      <mc:Choice Requires="x14">
        <oleObject progId="Acrobat Document" dvAspect="DVASPECT_ICON" shapeId="36868" r:id="rId6">
          <objectPr defaultSize="0" r:id="rId5">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8" r:id="rId6"/>
      </mc:Fallback>
    </mc:AlternateContent>
    <mc:AlternateContent xmlns:mc="http://schemas.openxmlformats.org/markup-compatibility/2006">
      <mc:Choice Requires="x14">
        <oleObject progId="Acrobat Document" dvAspect="DVASPECT_ICON" shapeId="36869" r:id="rId7">
          <objectPr defaultSize="0" r:id="rId8">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9"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4" t="s">
        <v>1788</v>
      </c>
      <c r="B1" s="2485"/>
      <c r="C1" s="2485"/>
      <c r="D1" s="2485"/>
      <c r="E1" s="2485"/>
      <c r="F1" s="2486"/>
    </row>
    <row r="2" spans="1:8" ht="45" customHeight="1" x14ac:dyDescent="0.2">
      <c r="A2" s="2494" t="s">
        <v>1789</v>
      </c>
      <c r="B2" s="2495"/>
      <c r="C2" s="2495"/>
      <c r="D2" s="2495"/>
      <c r="E2" s="2495"/>
      <c r="F2" s="2496"/>
      <c r="G2" s="1073"/>
      <c r="H2" s="1073"/>
    </row>
    <row r="3" spans="1:8" ht="57" customHeight="1" x14ac:dyDescent="0.2">
      <c r="A3" s="2497" t="s">
        <v>1784</v>
      </c>
      <c r="B3" s="2498"/>
      <c r="C3" s="2498"/>
      <c r="D3" s="2498"/>
      <c r="E3" s="2498"/>
      <c r="F3" s="2499"/>
      <c r="G3" s="1073"/>
      <c r="H3" s="1073"/>
    </row>
    <row r="4" spans="1:8" ht="14.25" customHeight="1" x14ac:dyDescent="0.2">
      <c r="A4" s="2503" t="s">
        <v>2050</v>
      </c>
      <c r="B4" s="2504"/>
      <c r="C4" s="2504"/>
      <c r="D4" s="2504"/>
      <c r="E4" s="2504"/>
      <c r="F4" s="2505"/>
      <c r="G4" s="1073"/>
      <c r="H4" s="1073"/>
    </row>
    <row r="5" spans="1:8" ht="14.25" customHeight="1" x14ac:dyDescent="0.2">
      <c r="A5" s="2506" t="s">
        <v>2051</v>
      </c>
      <c r="B5" s="2507"/>
      <c r="C5" s="2507"/>
      <c r="D5" s="2507"/>
      <c r="E5" s="2507"/>
      <c r="F5" s="2508"/>
      <c r="G5" s="1073"/>
      <c r="H5" s="1073"/>
    </row>
    <row r="6" spans="1:8" s="1074" customFormat="1" ht="41.25" customHeight="1" x14ac:dyDescent="0.2">
      <c r="A6" s="2500" t="s">
        <v>1790</v>
      </c>
      <c r="B6" s="2501"/>
      <c r="C6" s="2501"/>
      <c r="D6" s="2501"/>
      <c r="E6" s="2501"/>
      <c r="F6" s="2502"/>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0">
        <f>'Acct Summary 7-8'!C8</f>
        <v>16866839</v>
      </c>
      <c r="C8" s="1830">
        <f>'Acct Summary 7-8'!D8</f>
        <v>1827110</v>
      </c>
      <c r="D8" s="1830">
        <f>'Acct Summary 7-8'!F8</f>
        <v>2139798</v>
      </c>
      <c r="E8" s="1830">
        <f>'Acct Summary 7-8'!I8</f>
        <v>196164</v>
      </c>
      <c r="F8" s="1830">
        <f>SUM(B8:E8)</f>
        <v>21029911</v>
      </c>
    </row>
    <row r="9" spans="1:8" s="1078" customFormat="1" ht="14.25" customHeight="1" thickBot="1" x14ac:dyDescent="0.25">
      <c r="A9" s="1077" t="s">
        <v>1435</v>
      </c>
      <c r="B9" s="1831">
        <f>'Acct Summary 7-8'!C17</f>
        <v>17057122</v>
      </c>
      <c r="C9" s="1831">
        <f>'Acct Summary 7-8'!D17</f>
        <v>2088149</v>
      </c>
      <c r="D9" s="1831">
        <f>'Acct Summary 7-8'!F17</f>
        <v>1878181</v>
      </c>
      <c r="E9" s="1830"/>
      <c r="F9" s="1830">
        <f>SUM(B9:E9)</f>
        <v>21023452</v>
      </c>
    </row>
    <row r="10" spans="1:8" s="1078" customFormat="1" ht="14.25" thickTop="1" thickBot="1" x14ac:dyDescent="0.25">
      <c r="A10" s="1079" t="s">
        <v>1436</v>
      </c>
      <c r="B10" s="1832">
        <f>(B8-B9)</f>
        <v>-190283</v>
      </c>
      <c r="C10" s="1832">
        <f>(C8-C9)</f>
        <v>-261039</v>
      </c>
      <c r="D10" s="1832">
        <f>(D8-D9)</f>
        <v>261617</v>
      </c>
      <c r="E10" s="1831">
        <f>(E8-E9)</f>
        <v>196164</v>
      </c>
      <c r="F10" s="1833">
        <f>SUM(F8-F9)</f>
        <v>6459</v>
      </c>
    </row>
    <row r="11" spans="1:8" s="1078" customFormat="1" ht="14.25" thickTop="1" thickBot="1" x14ac:dyDescent="0.25">
      <c r="A11" s="1080" t="s">
        <v>1783</v>
      </c>
      <c r="B11" s="1834">
        <f>'Acct Summary 7-8'!C81</f>
        <v>5440735</v>
      </c>
      <c r="C11" s="1834">
        <f>'Acct Summary 7-8'!D81</f>
        <v>2588667</v>
      </c>
      <c r="D11" s="1834">
        <f>'Acct Summary 7-8'!F81</f>
        <v>1371820</v>
      </c>
      <c r="E11" s="1834">
        <f>'Acct Summary 7-8'!I81</f>
        <v>5111595</v>
      </c>
      <c r="F11" s="1835">
        <f>SUM(B11:E11)</f>
        <v>14512817</v>
      </c>
    </row>
    <row r="12" spans="1:8" ht="16.5" customHeight="1" thickTop="1" x14ac:dyDescent="0.2">
      <c r="A12" s="1081"/>
      <c r="B12" s="1082"/>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1083"/>
      <c r="B13" s="1084"/>
      <c r="C13" s="2488"/>
      <c r="D13" s="2489"/>
      <c r="E13" s="2489"/>
      <c r="F13" s="2490"/>
      <c r="H13" s="1073"/>
    </row>
    <row r="14" spans="1:8" ht="19.5" customHeight="1" x14ac:dyDescent="0.2">
      <c r="A14" s="1083"/>
      <c r="B14" s="1084"/>
      <c r="C14" s="2488"/>
      <c r="D14" s="2489"/>
      <c r="E14" s="2489"/>
      <c r="F14" s="2490"/>
      <c r="H14" s="1073"/>
    </row>
    <row r="15" spans="1:8" ht="17.25" customHeight="1" x14ac:dyDescent="0.2">
      <c r="A15" s="1083"/>
      <c r="B15" s="1084"/>
      <c r="C15" s="2491"/>
      <c r="D15" s="2492"/>
      <c r="E15" s="2492"/>
      <c r="F15" s="2493"/>
      <c r="H15" s="1073"/>
    </row>
    <row r="16" spans="1:8" s="310" customFormat="1" ht="51.75" hidden="1" customHeight="1" x14ac:dyDescent="0.2">
      <c r="A16" s="2487" t="s">
        <v>1785</v>
      </c>
      <c r="B16" s="2487"/>
      <c r="C16" s="2487"/>
      <c r="D16" s="2487"/>
      <c r="E16" s="2487"/>
      <c r="F16" s="310" t="s">
        <v>1437</v>
      </c>
    </row>
    <row r="17" spans="1:6" hidden="1" x14ac:dyDescent="0.2">
      <c r="A17" s="316" t="s">
        <v>1786</v>
      </c>
      <c r="F17" s="1085" t="s">
        <v>1438</v>
      </c>
    </row>
    <row r="18" spans="1:6" hidden="1" x14ac:dyDescent="0.2">
      <c r="A18" s="316" t="s">
        <v>1787</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3"/>
      <c r="B2" s="1914"/>
      <c r="C2" s="1915"/>
      <c r="D2" s="1916"/>
    </row>
    <row r="3" spans="1:4" ht="36" customHeight="1" x14ac:dyDescent="0.2">
      <c r="A3" s="2509" t="s">
        <v>685</v>
      </c>
      <c r="B3" s="2510"/>
      <c r="C3" s="2510"/>
      <c r="D3" s="2511"/>
    </row>
    <row r="4" spans="1:4" x14ac:dyDescent="0.2">
      <c r="A4" s="1151" t="s">
        <v>1791</v>
      </c>
      <c r="B4" s="1152"/>
      <c r="C4" s="1153"/>
      <c r="D4" s="1154"/>
    </row>
    <row r="5" spans="1:4" ht="21" customHeight="1" x14ac:dyDescent="0.2">
      <c r="A5" s="1147"/>
      <c r="B5" s="1148">
        <v>1</v>
      </c>
      <c r="C5" s="1149" t="s">
        <v>1940</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520" t="s">
        <v>1583</v>
      </c>
      <c r="D7" s="2521"/>
    </row>
    <row r="8" spans="1:4" s="667" customFormat="1" ht="12.75" x14ac:dyDescent="0.2">
      <c r="A8" s="1137"/>
      <c r="B8" s="1092"/>
      <c r="C8" s="1095" t="s">
        <v>1582</v>
      </c>
      <c r="D8" s="1096"/>
    </row>
    <row r="9" spans="1:4" s="667" customFormat="1" ht="14.25" customHeight="1" x14ac:dyDescent="0.2">
      <c r="A9" s="1137"/>
      <c r="B9" s="1092">
        <f>B7+1</f>
        <v>4</v>
      </c>
      <c r="C9" s="1093" t="s">
        <v>2043</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512" t="s">
        <v>1064</v>
      </c>
      <c r="B15" s="2513"/>
      <c r="C15" s="2513"/>
      <c r="D15" s="2514"/>
    </row>
    <row r="16" spans="1:4" s="667" customFormat="1" ht="24" customHeight="1" x14ac:dyDescent="0.2">
      <c r="A16" s="2515" t="s">
        <v>683</v>
      </c>
      <c r="B16" s="2516"/>
      <c r="C16" s="2516"/>
      <c r="D16" s="2517"/>
    </row>
    <row r="17" spans="1:10" s="667" customFormat="1" ht="12.75" customHeight="1" x14ac:dyDescent="0.2">
      <c r="A17" s="1155" t="s">
        <v>1792</v>
      </c>
      <c r="B17" s="1156"/>
      <c r="C17" s="1157"/>
      <c r="D17" s="1158"/>
    </row>
    <row r="18" spans="1:10" s="667" customFormat="1" ht="12.75" customHeight="1" x14ac:dyDescent="0.2">
      <c r="A18" s="1159" t="s">
        <v>1793</v>
      </c>
      <c r="B18" s="1160"/>
      <c r="C18" s="1161"/>
      <c r="D18" s="1162"/>
    </row>
    <row r="19" spans="1:10" ht="6.75" customHeight="1" thickBot="1" x14ac:dyDescent="0.25">
      <c r="A19" s="1163"/>
      <c r="B19" s="1164"/>
      <c r="C19" s="1165"/>
      <c r="D19" s="1166"/>
    </row>
    <row r="20" spans="1:10" s="1170" customFormat="1" ht="12.75" thickTop="1" x14ac:dyDescent="0.2">
      <c r="A20" s="1167"/>
      <c r="B20" s="1168" t="s">
        <v>1794</v>
      </c>
      <c r="C20" s="1169"/>
      <c r="D20" s="1172" t="s">
        <v>733</v>
      </c>
    </row>
    <row r="21" spans="1:10" x14ac:dyDescent="0.2">
      <c r="A21" s="1097"/>
      <c r="B21" s="1098">
        <v>1</v>
      </c>
      <c r="C21" s="2524" t="s">
        <v>331</v>
      </c>
      <c r="D21" s="2525"/>
    </row>
    <row r="22" spans="1:10" ht="12.75" x14ac:dyDescent="0.2">
      <c r="A22" s="1138"/>
      <c r="B22" s="1139">
        <v>2</v>
      </c>
      <c r="C22" s="2522" t="s">
        <v>1604</v>
      </c>
      <c r="D22" s="2523"/>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526" t="s">
        <v>556</v>
      </c>
      <c r="D43" s="2527"/>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518" t="s">
        <v>816</v>
      </c>
      <c r="D56" s="2519"/>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2044</v>
      </c>
      <c r="D66" s="1124"/>
    </row>
    <row r="67" spans="1:4" x14ac:dyDescent="0.2">
      <c r="A67" s="1118"/>
      <c r="B67" s="1139"/>
      <c r="C67" s="1146" t="s">
        <v>1078</v>
      </c>
      <c r="D67" s="1124"/>
    </row>
    <row r="68" spans="1:4" x14ac:dyDescent="0.2">
      <c r="A68" s="1099"/>
      <c r="B68" s="1109"/>
      <c r="C68" s="1101" t="s">
        <v>2045</v>
      </c>
      <c r="D68" s="1123" t="str">
        <f>IF('Short-Term Long-Term Debt 24'!F49=SUM(,'Acct Summary 7-8'!C33:K33),"OK","ERROR!")</f>
        <v>OK</v>
      </c>
    </row>
    <row r="69" spans="1:4" x14ac:dyDescent="0.2">
      <c r="A69" s="1099"/>
      <c r="B69" s="1109"/>
      <c r="C69" s="1101" t="s">
        <v>2046</v>
      </c>
      <c r="D69" s="1123" t="str">
        <f>IF('Expenditures 15-22'!H170&lt;&gt;'Short-Term Long-Term Debt 24'!H49,"ERROR!","OK")</f>
        <v>OK</v>
      </c>
    </row>
    <row r="70" spans="1:4" x14ac:dyDescent="0.2">
      <c r="A70" s="1097"/>
      <c r="B70" s="1119">
        <f>B66+1</f>
        <v>9</v>
      </c>
      <c r="C70" s="2518" t="s">
        <v>1795</v>
      </c>
      <c r="D70" s="2519"/>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1796</v>
      </c>
      <c r="D73" s="1125" t="str">
        <f>IF(SUM('Acct Summary 7-8'!C42:K42)&gt;=SUM( 'Acct Summary 7-8'!C74:K74),"OK", "ERROR")</f>
        <v>OK</v>
      </c>
    </row>
    <row r="74" spans="1:4" x14ac:dyDescent="0.2">
      <c r="A74" s="1097"/>
      <c r="B74" s="1119">
        <f>B70+1</f>
        <v>10</v>
      </c>
      <c r="C74" s="1113" t="s">
        <v>2047</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2048</v>
      </c>
      <c r="D78" s="1123" t="str">
        <f>IF(ISNUMBER('Acct Summary 7-8'!C9),"OK","ENTRY IS REQUIRED!")</f>
        <v>OK</v>
      </c>
    </row>
    <row r="79" spans="1:4" x14ac:dyDescent="0.2">
      <c r="A79" s="1118"/>
      <c r="B79" s="1119">
        <f>B74+1+1</f>
        <v>12</v>
      </c>
      <c r="C79" s="1129" t="s">
        <v>2013</v>
      </c>
      <c r="D79" s="1130" t="str">
        <f>IF(OR(COVER!$B$6="X",'PCTC-OEPP 27-28'!F78&gt;0),"OK","PLEASE ENTER 9 MO ADA.")</f>
        <v>OK</v>
      </c>
    </row>
    <row r="80" spans="1:4" x14ac:dyDescent="0.2">
      <c r="A80" s="1097"/>
      <c r="B80" s="1119">
        <v>13</v>
      </c>
      <c r="C80" s="1129" t="s">
        <v>2049</v>
      </c>
      <c r="D80" s="1130" t="str">
        <f>IF('Contracts Paid in CY 29'!D138&gt;0,"OK","PLEASE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28037228026</v>
      </c>
    </row>
    <row r="3" spans="1:2" x14ac:dyDescent="0.2">
      <c r="A3" t="s">
        <v>1012</v>
      </c>
      <c r="B3" s="138" t="str">
        <f>COVER!A15</f>
        <v>Henry</v>
      </c>
    </row>
    <row r="4" spans="1:2" x14ac:dyDescent="0.2">
      <c r="A4" t="s">
        <v>1063</v>
      </c>
      <c r="B4" s="138" t="str">
        <f>COVER!A17</f>
        <v>Geneseo CUSD 228</v>
      </c>
    </row>
    <row r="5" spans="1:2" x14ac:dyDescent="0.2">
      <c r="A5" t="s">
        <v>727</v>
      </c>
      <c r="B5" s="138" t="str">
        <f>COVER!A38</f>
        <v>Dr. Adam Brumbaugh</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Tim C. Custis, CPA</v>
      </c>
    </row>
    <row r="18" spans="1:2" x14ac:dyDescent="0.2">
      <c r="A18" t="s">
        <v>1211</v>
      </c>
      <c r="B18" s="138" t="str">
        <f>COVER!T17</f>
        <v>4200 N Knoxville Ave</v>
      </c>
    </row>
    <row r="19" spans="1:2" x14ac:dyDescent="0.2">
      <c r="A19" t="s">
        <v>940</v>
      </c>
      <c r="B19" s="138" t="str">
        <f>COVER!T25</f>
        <v>tcustis@gorenzcpa.com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5440735</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5317323</v>
      </c>
      <c r="D92" s="2" t="str">
        <f t="shared" si="0"/>
        <v>Error?</v>
      </c>
    </row>
    <row r="93" spans="1:4" x14ac:dyDescent="0.2">
      <c r="A93" s="5">
        <v>32</v>
      </c>
      <c r="B93" s="138">
        <f>'Assets-Liab 5-6'!C41</f>
        <v>5440735</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2588667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2588667</v>
      </c>
      <c r="D123" s="2" t="str">
        <f t="shared" si="0"/>
        <v>Error?</v>
      </c>
    </row>
    <row r="124" spans="1:4" x14ac:dyDescent="0.2">
      <c r="A124" s="5">
        <v>63</v>
      </c>
      <c r="B124" s="138">
        <f>'Assets-Liab 5-6'!D41</f>
        <v>2588667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1712763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1712763</v>
      </c>
      <c r="D140" s="2" t="str">
        <f t="shared" si="1"/>
        <v>Error?</v>
      </c>
    </row>
    <row r="141" spans="1:4" x14ac:dyDescent="0.2">
      <c r="A141" s="5">
        <v>80</v>
      </c>
      <c r="B141" s="138">
        <f>'Assets-Liab 5-6'!E41</f>
        <v>1712763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1371820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1371820</v>
      </c>
      <c r="D170" s="2" t="str">
        <f t="shared" si="1"/>
        <v>Error?</v>
      </c>
    </row>
    <row r="171" spans="1:4" x14ac:dyDescent="0.2">
      <c r="A171" s="5">
        <v>110</v>
      </c>
      <c r="B171" s="138">
        <f>'Assets-Liab 5-6'!F41</f>
        <v>1371820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920996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406032</v>
      </c>
      <c r="D189" s="2" t="str">
        <f t="shared" si="1"/>
        <v>Error?</v>
      </c>
    </row>
    <row r="190" spans="1:4" x14ac:dyDescent="0.2">
      <c r="A190" s="5">
        <v>129</v>
      </c>
      <c r="B190" s="138">
        <f>'Assets-Liab 5-6'!G41</f>
        <v>920996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3561116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1176327</v>
      </c>
      <c r="D212" s="2" t="str">
        <f t="shared" si="2"/>
        <v>Error?</v>
      </c>
    </row>
    <row r="213" spans="1:4" x14ac:dyDescent="0.2">
      <c r="A213" s="12">
        <v>152</v>
      </c>
      <c r="B213" s="138">
        <f>'Assets-Liab 5-6'!H41</f>
        <v>3561116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542305</v>
      </c>
      <c r="D273" s="2" t="str">
        <f t="shared" si="3"/>
        <v>Error?</v>
      </c>
    </row>
    <row r="274" spans="1:4" x14ac:dyDescent="0.2">
      <c r="A274" s="5">
        <v>213</v>
      </c>
      <c r="B274" s="138">
        <f>'Assets-Liab 5-6'!M17</f>
        <v>57050036</v>
      </c>
      <c r="D274" s="2" t="str">
        <f t="shared" si="3"/>
        <v>Error?</v>
      </c>
    </row>
    <row r="275" spans="1:4" x14ac:dyDescent="0.2">
      <c r="A275" s="5">
        <v>214</v>
      </c>
      <c r="B275" s="138">
        <f>'Assets-Liab 5-6'!M18</f>
        <v>641642</v>
      </c>
      <c r="D275" s="2" t="str">
        <f t="shared" si="3"/>
        <v>Error?</v>
      </c>
    </row>
    <row r="276" spans="1:4" x14ac:dyDescent="0.2">
      <c r="A276" s="5">
        <v>215</v>
      </c>
      <c r="B276" s="138">
        <f>'Assets-Liab 5-6'!M19</f>
        <v>2645901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61384326</v>
      </c>
      <c r="C279" s="2" t="s">
        <v>593</v>
      </c>
      <c r="D279" s="2" t="str">
        <f t="shared" si="3"/>
        <v>Error?</v>
      </c>
    </row>
    <row r="280" spans="1:4" x14ac:dyDescent="0.2">
      <c r="A280" s="5">
        <v>219</v>
      </c>
      <c r="B280" s="138">
        <f>'Assets-Liab 5-6'!M40</f>
        <v>61384326</v>
      </c>
      <c r="D280" s="2" t="str">
        <f t="shared" si="3"/>
        <v>Error?</v>
      </c>
    </row>
    <row r="281" spans="1:4" x14ac:dyDescent="0.2">
      <c r="A281" s="5">
        <v>220</v>
      </c>
      <c r="B281" s="138">
        <f>'Assets-Liab 5-6'!M41</f>
        <v>61384326</v>
      </c>
      <c r="C281" s="2" t="s">
        <v>593</v>
      </c>
      <c r="D281" s="2" t="str">
        <f t="shared" si="3"/>
        <v>Error?</v>
      </c>
    </row>
    <row r="282" spans="1:4" x14ac:dyDescent="0.2">
      <c r="A282" s="5">
        <v>221</v>
      </c>
      <c r="B282" s="138">
        <f>'Assets-Liab 5-6'!N21</f>
        <v>1712763</v>
      </c>
      <c r="D282" s="2" t="str">
        <f t="shared" si="3"/>
        <v>Error?</v>
      </c>
    </row>
    <row r="283" spans="1:4" x14ac:dyDescent="0.2">
      <c r="A283" s="5">
        <v>222</v>
      </c>
      <c r="B283" s="138">
        <f>'Assets-Liab 5-6'!N22</f>
        <v>36399704</v>
      </c>
      <c r="D283" s="2" t="str">
        <f t="shared" si="3"/>
        <v>Error?</v>
      </c>
    </row>
    <row r="284" spans="1:4" x14ac:dyDescent="0.2">
      <c r="A284" s="5">
        <v>223</v>
      </c>
      <c r="B284" s="138">
        <f>'Assets-Liab 5-6'!N23</f>
        <v>38112467</v>
      </c>
      <c r="C284" s="2" t="s">
        <v>593</v>
      </c>
      <c r="D284" s="2" t="str">
        <f t="shared" si="3"/>
        <v>Error?</v>
      </c>
    </row>
    <row r="285" spans="1:4" x14ac:dyDescent="0.2">
      <c r="A285" s="5">
        <v>224</v>
      </c>
      <c r="B285" s="138">
        <f>'Assets-Liab 5-6'!N36</f>
        <v>38112467</v>
      </c>
      <c r="D285" s="2" t="str">
        <f t="shared" si="3"/>
        <v>Error?</v>
      </c>
    </row>
    <row r="286" spans="1:4" x14ac:dyDescent="0.2">
      <c r="A286" s="10">
        <v>225</v>
      </c>
      <c r="D286" s="2" t="str">
        <f t="shared" si="3"/>
        <v>OK</v>
      </c>
    </row>
    <row r="287" spans="1:4" x14ac:dyDescent="0.2">
      <c r="A287" s="5">
        <v>226</v>
      </c>
      <c r="B287" s="138">
        <f>'Assets-Liab 5-6'!N37</f>
        <v>38112467</v>
      </c>
      <c r="C287" s="2" t="s">
        <v>593</v>
      </c>
      <c r="D287" s="2" t="str">
        <f t="shared" si="3"/>
        <v>Error?</v>
      </c>
    </row>
    <row r="288" spans="1:4" x14ac:dyDescent="0.2">
      <c r="A288" s="5">
        <v>227</v>
      </c>
      <c r="B288" s="138">
        <f>'Assets-Liab 5-6'!N41</f>
        <v>38112467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4063457</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6963658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236109</v>
      </c>
      <c r="D717" s="2" t="str">
        <f t="shared" si="10"/>
        <v>Error?</v>
      </c>
    </row>
    <row r="718" spans="1:4" x14ac:dyDescent="0.2">
      <c r="A718" s="5">
        <v>657</v>
      </c>
      <c r="B718" s="138">
        <f>'Expenditures 15-22'!C14</f>
        <v>395241</v>
      </c>
      <c r="D718" s="2" t="str">
        <f t="shared" si="10"/>
        <v>Error?</v>
      </c>
    </row>
    <row r="719" spans="1:4" x14ac:dyDescent="0.2">
      <c r="A719" s="5">
        <v>658</v>
      </c>
      <c r="B719" s="138">
        <f>'Expenditures 15-22'!C15</f>
        <v>4252</v>
      </c>
      <c r="D719" s="2" t="str">
        <f t="shared" si="10"/>
        <v>Error?</v>
      </c>
    </row>
    <row r="720" spans="1:4" x14ac:dyDescent="0.2">
      <c r="A720" s="5">
        <v>659</v>
      </c>
      <c r="B720" s="138">
        <f>'Expenditures 15-22'!C33</f>
        <v>8741372</v>
      </c>
      <c r="C720" s="2" t="s">
        <v>593</v>
      </c>
      <c r="D720" s="2" t="str">
        <f t="shared" si="10"/>
        <v>Error?</v>
      </c>
    </row>
    <row r="721" spans="1:4" x14ac:dyDescent="0.2">
      <c r="A721" s="5">
        <v>660</v>
      </c>
      <c r="B721" s="138">
        <f>'Expenditures 15-22'!C36</f>
        <v>148474</v>
      </c>
      <c r="D721" s="2" t="str">
        <f t="shared" si="10"/>
        <v>Error?</v>
      </c>
    </row>
    <row r="722" spans="1:4" x14ac:dyDescent="0.2">
      <c r="A722" s="5">
        <v>661</v>
      </c>
      <c r="B722" s="138">
        <f>'Expenditures 15-22'!C37</f>
        <v>282357</v>
      </c>
      <c r="D722" s="2" t="str">
        <f t="shared" si="10"/>
        <v>Error?</v>
      </c>
    </row>
    <row r="723" spans="1:4" x14ac:dyDescent="0.2">
      <c r="A723" s="5">
        <v>662</v>
      </c>
      <c r="B723" s="138">
        <f>'Expenditures 15-22'!C38</f>
        <v>120306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551137</v>
      </c>
      <c r="C727" s="2" t="s">
        <v>593</v>
      </c>
      <c r="D727" s="2" t="str">
        <f t="shared" si="10"/>
        <v>Error?</v>
      </c>
    </row>
    <row r="728" spans="1:4" x14ac:dyDescent="0.2">
      <c r="A728" s="5">
        <v>667</v>
      </c>
      <c r="B728" s="138">
        <f>'Expenditures 15-22'!C44</f>
        <v>69244</v>
      </c>
      <c r="D728" s="2" t="str">
        <f t="shared" si="10"/>
        <v>Error?</v>
      </c>
    </row>
    <row r="729" spans="1:4" x14ac:dyDescent="0.2">
      <c r="A729" s="5">
        <v>668</v>
      </c>
      <c r="B729" s="138">
        <f>'Expenditures 15-22'!C45</f>
        <v>346486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415730</v>
      </c>
      <c r="C731" s="2" t="s">
        <v>593</v>
      </c>
      <c r="D731" s="2" t="str">
        <f t="shared" si="10"/>
        <v>Error?</v>
      </c>
    </row>
    <row r="732" spans="1:4" x14ac:dyDescent="0.2">
      <c r="A732" s="5">
        <v>671</v>
      </c>
      <c r="B732" s="138">
        <f>'Expenditures 15-22'!C49</f>
        <v>2200</v>
      </c>
      <c r="D732" s="2" t="str">
        <f t="shared" si="10"/>
        <v>Error?</v>
      </c>
    </row>
    <row r="733" spans="1:4" x14ac:dyDescent="0.2">
      <c r="A733" s="5">
        <v>672</v>
      </c>
      <c r="B733" s="138">
        <f>'Expenditures 15-22'!C50</f>
        <v>218747</v>
      </c>
      <c r="D733" s="2" t="str">
        <f t="shared" si="10"/>
        <v>Error?</v>
      </c>
    </row>
    <row r="734" spans="1:4" x14ac:dyDescent="0.2">
      <c r="A734" s="5">
        <v>673</v>
      </c>
      <c r="B734" s="138">
        <f>'Expenditures 15-22'!C53</f>
        <v>220947</v>
      </c>
      <c r="C734" s="2" t="s">
        <v>593</v>
      </c>
      <c r="D734" s="2" t="str">
        <f t="shared" si="10"/>
        <v>Error?</v>
      </c>
    </row>
    <row r="735" spans="1:4" x14ac:dyDescent="0.2">
      <c r="A735" s="5">
        <v>674</v>
      </c>
      <c r="B735" s="138">
        <f>'Expenditures 15-22'!C55</f>
        <v>1080576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1080576</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266918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444333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711251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77758</v>
      </c>
      <c r="D754" s="2" t="str">
        <f t="shared" si="10"/>
        <v>Error?</v>
      </c>
    </row>
    <row r="755" spans="1:4" x14ac:dyDescent="0.2">
      <c r="A755" s="5">
        <v>694</v>
      </c>
      <c r="B755" s="138">
        <f>'Expenditures 15-22'!C74</f>
        <v>3057399</v>
      </c>
      <c r="C755" s="2" t="s">
        <v>593</v>
      </c>
      <c r="D755" s="2" t="str">
        <f t="shared" si="10"/>
        <v>Error?</v>
      </c>
    </row>
    <row r="756" spans="1:4" x14ac:dyDescent="0.2">
      <c r="A756" s="5">
        <v>695</v>
      </c>
      <c r="B756" s="138">
        <f>'Expenditures 15-22'!C75</f>
        <v>118356</v>
      </c>
      <c r="D756" s="2" t="str">
        <f t="shared" si="10"/>
        <v>Error?</v>
      </c>
    </row>
    <row r="757" spans="1:4" x14ac:dyDescent="0.2">
      <c r="A757" s="5">
        <v>696</v>
      </c>
      <c r="B757" s="138">
        <f>'Expenditures 15-22'!C114</f>
        <v>11917127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956956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41152</v>
      </c>
      <c r="D775" s="2" t="str">
        <f t="shared" si="11"/>
        <v>Error?</v>
      </c>
    </row>
    <row r="776" spans="1:4" x14ac:dyDescent="0.2">
      <c r="A776" s="5">
        <v>715</v>
      </c>
      <c r="B776" s="138">
        <f>'Expenditures 15-22'!D14</f>
        <v>6444</v>
      </c>
      <c r="D776" s="2" t="str">
        <f t="shared" si="11"/>
        <v>Error?</v>
      </c>
    </row>
    <row r="777" spans="1:4" x14ac:dyDescent="0.2">
      <c r="A777" s="5">
        <v>716</v>
      </c>
      <c r="B777" s="138">
        <f>'Expenditures 15-22'!D15</f>
        <v>104</v>
      </c>
      <c r="D777" s="2" t="str">
        <f t="shared" si="11"/>
        <v>Error?</v>
      </c>
    </row>
    <row r="778" spans="1:4" x14ac:dyDescent="0.2">
      <c r="A778" s="5">
        <v>717</v>
      </c>
      <c r="B778" s="138">
        <f>'Expenditures 15-22'!D33</f>
        <v>1171256</v>
      </c>
      <c r="C778" s="2" t="s">
        <v>593</v>
      </c>
      <c r="D778" s="2" t="str">
        <f t="shared" si="11"/>
        <v>Error?</v>
      </c>
    </row>
    <row r="779" spans="1:4" x14ac:dyDescent="0.2">
      <c r="A779" s="5">
        <v>718</v>
      </c>
      <c r="B779" s="138">
        <f>'Expenditures 15-22'!D36</f>
        <v>29684</v>
      </c>
      <c r="D779" s="2" t="str">
        <f t="shared" si="11"/>
        <v>Error?</v>
      </c>
    </row>
    <row r="780" spans="1:4" x14ac:dyDescent="0.2">
      <c r="A780" s="5">
        <v>719</v>
      </c>
      <c r="B780" s="138">
        <f>'Expenditures 15-22'!D37</f>
        <v>22761</v>
      </c>
      <c r="D780" s="2" t="str">
        <f t="shared" si="11"/>
        <v>Error?</v>
      </c>
    </row>
    <row r="781" spans="1:4" x14ac:dyDescent="0.2">
      <c r="A781" s="5">
        <v>720</v>
      </c>
      <c r="B781" s="138">
        <f>'Expenditures 15-22'!D38</f>
        <v>33774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86219</v>
      </c>
      <c r="C785" s="2" t="s">
        <v>593</v>
      </c>
      <c r="D785" s="2" t="str">
        <f t="shared" si="11"/>
        <v>Error?</v>
      </c>
    </row>
    <row r="786" spans="1:4" x14ac:dyDescent="0.2">
      <c r="A786" s="5">
        <v>725</v>
      </c>
      <c r="B786" s="138">
        <f>'Expenditures 15-22'!D44</f>
        <v>7198</v>
      </c>
      <c r="D786" s="2" t="str">
        <f t="shared" si="11"/>
        <v>Error?</v>
      </c>
    </row>
    <row r="787" spans="1:4" x14ac:dyDescent="0.2">
      <c r="A787" s="5">
        <v>726</v>
      </c>
      <c r="B787" s="138">
        <f>'Expenditures 15-22'!D45</f>
        <v>50968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58166</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40720</v>
      </c>
      <c r="D791" s="2" t="str">
        <f t="shared" si="11"/>
        <v>Error?</v>
      </c>
    </row>
    <row r="792" spans="1:4" x14ac:dyDescent="0.2">
      <c r="A792" s="5">
        <v>731</v>
      </c>
      <c r="B792" s="138">
        <f>'Expenditures 15-22'!D53</f>
        <v>40720</v>
      </c>
      <c r="C792" s="2" t="s">
        <v>593</v>
      </c>
      <c r="D792" s="2" t="str">
        <f t="shared" si="11"/>
        <v>Error?</v>
      </c>
    </row>
    <row r="793" spans="1:4" x14ac:dyDescent="0.2">
      <c r="A793" s="5">
        <v>732</v>
      </c>
      <c r="B793" s="138">
        <f>'Expenditures 15-22'!D55</f>
        <v>274129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274129</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52497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60201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112698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3134</v>
      </c>
      <c r="D812" s="2" t="str">
        <f t="shared" si="11"/>
        <v>Error?</v>
      </c>
    </row>
    <row r="813" spans="1:4" x14ac:dyDescent="0.2">
      <c r="A813" s="5">
        <v>752</v>
      </c>
      <c r="B813" s="138">
        <f>'Expenditures 15-22'!D74</f>
        <v>575066</v>
      </c>
      <c r="C813" s="2" t="s">
        <v>593</v>
      </c>
      <c r="D813" s="2" t="str">
        <f t="shared" si="11"/>
        <v>Error?</v>
      </c>
    </row>
    <row r="814" spans="1:4" x14ac:dyDescent="0.2">
      <c r="A814" s="5">
        <v>753</v>
      </c>
      <c r="B814" s="138">
        <f>'Expenditures 15-22'!D75</f>
        <v>11040</v>
      </c>
      <c r="D814" s="2" t="str">
        <f t="shared" si="11"/>
        <v>Error?</v>
      </c>
    </row>
    <row r="815" spans="1:4" x14ac:dyDescent="0.2">
      <c r="A815" s="5">
        <v>754</v>
      </c>
      <c r="B815" s="138">
        <f>'Expenditures 15-22'!D114</f>
        <v>1757362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54335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3888</v>
      </c>
      <c r="D833" s="2" t="str">
        <f t="shared" si="12"/>
        <v>Error?</v>
      </c>
    </row>
    <row r="834" spans="1:4" x14ac:dyDescent="0.2">
      <c r="A834" s="5">
        <v>773</v>
      </c>
      <c r="B834" s="138">
        <f>'Expenditures 15-22'!E14</f>
        <v>152019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221071</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299</v>
      </c>
      <c r="D838" s="2" t="str">
        <f t="shared" si="12"/>
        <v>Error?</v>
      </c>
    </row>
    <row r="839" spans="1:4" x14ac:dyDescent="0.2">
      <c r="A839" s="5">
        <v>778</v>
      </c>
      <c r="B839" s="138">
        <f>'Expenditures 15-22'!E38</f>
        <v>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359</v>
      </c>
      <c r="C843" s="2" t="s">
        <v>593</v>
      </c>
      <c r="D843" s="2" t="str">
        <f t="shared" si="12"/>
        <v>Error?</v>
      </c>
    </row>
    <row r="844" spans="1:4" x14ac:dyDescent="0.2">
      <c r="A844" s="5">
        <v>783</v>
      </c>
      <c r="B844" s="138">
        <f>'Expenditures 15-22'!E44</f>
        <v>92307</v>
      </c>
      <c r="D844" s="2" t="str">
        <f t="shared" si="12"/>
        <v>Error?</v>
      </c>
    </row>
    <row r="845" spans="1:4" x14ac:dyDescent="0.2">
      <c r="A845" s="5">
        <v>784</v>
      </c>
      <c r="B845" s="138">
        <f>'Expenditures 15-22'!E45</f>
        <v>17247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109554</v>
      </c>
      <c r="C847" s="2" t="s">
        <v>593</v>
      </c>
      <c r="D847" s="2" t="str">
        <f t="shared" si="12"/>
        <v>Error?</v>
      </c>
    </row>
    <row r="848" spans="1:4" x14ac:dyDescent="0.2">
      <c r="A848" s="5">
        <v>787</v>
      </c>
      <c r="B848" s="138">
        <f>'Expenditures 15-22'!E49</f>
        <v>106704</v>
      </c>
      <c r="D848" s="2" t="str">
        <f t="shared" si="12"/>
        <v>Error?</v>
      </c>
    </row>
    <row r="849" spans="1:4" x14ac:dyDescent="0.2">
      <c r="A849" s="5">
        <v>788</v>
      </c>
      <c r="B849" s="138">
        <f>'Expenditures 15-22'!E50</f>
        <v>838</v>
      </c>
      <c r="D849" s="2" t="str">
        <f t="shared" si="12"/>
        <v>Error?</v>
      </c>
    </row>
    <row r="850" spans="1:4" x14ac:dyDescent="0.2">
      <c r="A850" s="5">
        <v>789</v>
      </c>
      <c r="B850" s="138">
        <f>'Expenditures 15-22'!E53</f>
        <v>107542</v>
      </c>
      <c r="C850" s="2" t="s">
        <v>593</v>
      </c>
      <c r="D850" s="2" t="str">
        <f t="shared" si="12"/>
        <v>Error?</v>
      </c>
    </row>
    <row r="851" spans="1:4" x14ac:dyDescent="0.2">
      <c r="A851" s="5">
        <v>790</v>
      </c>
      <c r="B851" s="138">
        <f>'Expenditures 15-22'!E55</f>
        <v>13832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13832</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87453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51884</v>
      </c>
      <c r="D857" s="2" t="str">
        <f t="shared" si="12"/>
        <v>Error?</v>
      </c>
    </row>
    <row r="858" spans="1:4" x14ac:dyDescent="0.2">
      <c r="A858" s="5">
        <v>797</v>
      </c>
      <c r="B858" s="138">
        <f>'Expenditures 15-22'!E63</f>
        <v>10093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149430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26000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51284</v>
      </c>
      <c r="D867" s="2" t="str">
        <f t="shared" si="12"/>
        <v>Error?</v>
      </c>
    </row>
    <row r="868" spans="1:4" x14ac:dyDescent="0.2">
      <c r="A868" s="10">
        <v>807</v>
      </c>
      <c r="D868" s="2" t="str">
        <f t="shared" si="12"/>
        <v>OK</v>
      </c>
    </row>
    <row r="869" spans="1:4" x14ac:dyDescent="0.2">
      <c r="A869" s="5">
        <v>808</v>
      </c>
      <c r="B869" s="138">
        <f>'Expenditures 15-22'!E72</f>
        <v>77284</v>
      </c>
      <c r="C869" s="2" t="s">
        <v>593</v>
      </c>
      <c r="D869" s="2" t="str">
        <f t="shared" si="12"/>
        <v>Error?</v>
      </c>
    </row>
    <row r="870" spans="1:4" x14ac:dyDescent="0.2">
      <c r="A870" s="5">
        <v>809</v>
      </c>
      <c r="B870" s="138">
        <f>'Expenditures 15-22'!E73</f>
        <v>138</v>
      </c>
      <c r="D870" s="2" t="str">
        <f t="shared" si="12"/>
        <v>Error?</v>
      </c>
    </row>
    <row r="871" spans="1:4" x14ac:dyDescent="0.2">
      <c r="A871" s="5">
        <v>810</v>
      </c>
      <c r="B871" s="138">
        <f>'Expenditures 15-22'!E74</f>
        <v>458139</v>
      </c>
      <c r="C871" s="2" t="s">
        <v>593</v>
      </c>
      <c r="D871" s="2" t="str">
        <f t="shared" si="12"/>
        <v>Error?</v>
      </c>
    </row>
    <row r="872" spans="1:4" x14ac:dyDescent="0.2">
      <c r="A872" s="5">
        <v>811</v>
      </c>
      <c r="B872" s="138">
        <f>'Expenditures 15-22'!E75</f>
        <v>2691</v>
      </c>
      <c r="D872" s="2" t="str">
        <f t="shared" si="12"/>
        <v>Error?</v>
      </c>
    </row>
    <row r="873" spans="1:4" x14ac:dyDescent="0.2">
      <c r="A873" s="5">
        <v>812</v>
      </c>
      <c r="B873" s="138">
        <f>'Expenditures 15-22'!E114</f>
        <v>681901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215784</v>
      </c>
      <c r="D879" s="2" t="str">
        <f t="shared" si="12"/>
        <v>Error?</v>
      </c>
    </row>
    <row r="880" spans="1:4" x14ac:dyDescent="0.2">
      <c r="A880" s="5">
        <v>819</v>
      </c>
      <c r="B880" s="138">
        <f>'Expenditures 15-22'!F16</f>
        <v>750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38763</v>
      </c>
      <c r="D891" s="2" t="str">
        <f t="shared" si="12"/>
        <v>Error?</v>
      </c>
    </row>
    <row r="892" spans="1:4" x14ac:dyDescent="0.2">
      <c r="A892" s="5">
        <v>831</v>
      </c>
      <c r="B892" s="138">
        <f>'Expenditures 15-22'!F14</f>
        <v>79636</v>
      </c>
      <c r="D892" s="2" t="str">
        <f t="shared" si="12"/>
        <v>Error?</v>
      </c>
    </row>
    <row r="893" spans="1:4" x14ac:dyDescent="0.2">
      <c r="A893" s="5">
        <v>832</v>
      </c>
      <c r="B893" s="138">
        <f>'Expenditures 15-22'!F15</f>
        <v>612</v>
      </c>
      <c r="D893" s="2" t="str">
        <f t="shared" si="12"/>
        <v>Error?</v>
      </c>
    </row>
    <row r="894" spans="1:4" x14ac:dyDescent="0.2">
      <c r="A894" s="5">
        <v>833</v>
      </c>
      <c r="B894" s="138">
        <f>'Expenditures 15-22'!F33</f>
        <v>345615</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95</v>
      </c>
      <c r="D896" s="2" t="str">
        <f t="shared" si="13"/>
        <v>Error?</v>
      </c>
    </row>
    <row r="897" spans="1:4" x14ac:dyDescent="0.2">
      <c r="A897" s="5">
        <v>836</v>
      </c>
      <c r="B897" s="138">
        <f>'Expenditures 15-22'!F38</f>
        <v>3766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3861</v>
      </c>
      <c r="C901" s="2" t="s">
        <v>593</v>
      </c>
      <c r="D901" s="2" t="str">
        <f t="shared" si="13"/>
        <v>Error?</v>
      </c>
    </row>
    <row r="902" spans="1:4" x14ac:dyDescent="0.2">
      <c r="A902" s="5">
        <v>841</v>
      </c>
      <c r="B902" s="138">
        <f>'Expenditures 15-22'!F44</f>
        <v>21737</v>
      </c>
      <c r="D902" s="2" t="str">
        <f t="shared" si="13"/>
        <v>Error?</v>
      </c>
    </row>
    <row r="903" spans="1:4" x14ac:dyDescent="0.2">
      <c r="A903" s="5">
        <v>842</v>
      </c>
      <c r="B903" s="138">
        <f>'Expenditures 15-22'!F45</f>
        <v>177069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198806</v>
      </c>
      <c r="C905" s="2" t="s">
        <v>593</v>
      </c>
      <c r="D905" s="2" t="str">
        <f t="shared" si="13"/>
        <v>Error?</v>
      </c>
    </row>
    <row r="906" spans="1:4" x14ac:dyDescent="0.2">
      <c r="A906" s="5">
        <v>845</v>
      </c>
      <c r="B906" s="138">
        <f>'Expenditures 15-22'!F49</f>
        <v>4440</v>
      </c>
      <c r="D906" s="2" t="str">
        <f t="shared" si="13"/>
        <v>Error?</v>
      </c>
    </row>
    <row r="907" spans="1:4" x14ac:dyDescent="0.2">
      <c r="A907" s="5">
        <v>846</v>
      </c>
      <c r="B907" s="138">
        <f>'Expenditures 15-22'!F50</f>
        <v>884</v>
      </c>
      <c r="D907" s="2" t="str">
        <f t="shared" si="13"/>
        <v>Error?</v>
      </c>
    </row>
    <row r="908" spans="1:4" x14ac:dyDescent="0.2">
      <c r="A908" s="5">
        <v>847</v>
      </c>
      <c r="B908" s="138">
        <f>'Expenditures 15-22'!F53</f>
        <v>5324</v>
      </c>
      <c r="C908" s="2" t="s">
        <v>593</v>
      </c>
      <c r="D908" s="2" t="str">
        <f t="shared" si="13"/>
        <v>Error?</v>
      </c>
    </row>
    <row r="909" spans="1:4" x14ac:dyDescent="0.2">
      <c r="A909" s="5">
        <v>848</v>
      </c>
      <c r="B909" s="138">
        <f>'Expenditures 15-22'!F55</f>
        <v>6894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6894</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16598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575897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592495</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548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2541</v>
      </c>
      <c r="D925" s="2" t="str">
        <f t="shared" si="13"/>
        <v>Error?</v>
      </c>
    </row>
    <row r="926" spans="1:4" x14ac:dyDescent="0.2">
      <c r="A926" s="10">
        <v>865</v>
      </c>
      <c r="D926" s="2" t="str">
        <f t="shared" si="13"/>
        <v>OK</v>
      </c>
    </row>
    <row r="927" spans="1:4" x14ac:dyDescent="0.2">
      <c r="A927" s="5">
        <v>866</v>
      </c>
      <c r="B927" s="138">
        <f>'Expenditures 15-22'!F72</f>
        <v>3089</v>
      </c>
      <c r="C927" s="2" t="s">
        <v>593</v>
      </c>
      <c r="D927" s="2" t="str">
        <f t="shared" si="13"/>
        <v>Error?</v>
      </c>
    </row>
    <row r="928" spans="1:4" x14ac:dyDescent="0.2">
      <c r="A928" s="5">
        <v>867</v>
      </c>
      <c r="B928" s="138">
        <f>'Expenditures 15-22'!F73</f>
        <v>4493</v>
      </c>
      <c r="D928" s="2" t="str">
        <f t="shared" si="13"/>
        <v>Error?</v>
      </c>
    </row>
    <row r="929" spans="1:4" x14ac:dyDescent="0.2">
      <c r="A929" s="5">
        <v>868</v>
      </c>
      <c r="B929" s="138">
        <f>'Expenditures 15-22'!F74</f>
        <v>814962</v>
      </c>
      <c r="C929" s="2" t="s">
        <v>593</v>
      </c>
      <c r="D929" s="2" t="str">
        <f t="shared" si="13"/>
        <v>Error?</v>
      </c>
    </row>
    <row r="930" spans="1:4" x14ac:dyDescent="0.2">
      <c r="A930" s="5">
        <v>869</v>
      </c>
      <c r="B930" s="138">
        <f>'Expenditures 15-22'!F75</f>
        <v>11011</v>
      </c>
      <c r="D930" s="2" t="str">
        <f t="shared" si="13"/>
        <v>Error?</v>
      </c>
    </row>
    <row r="931" spans="1:4" x14ac:dyDescent="0.2">
      <c r="A931" s="5">
        <v>870</v>
      </c>
      <c r="B931" s="138">
        <f>'Expenditures 15-22'!F114</f>
        <v>1171588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50008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50008</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50008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50008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10043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13744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810</v>
      </c>
      <c r="D1022" s="2" t="str">
        <f t="shared" si="14"/>
        <v>Error?</v>
      </c>
    </row>
    <row r="1023" spans="1:4" x14ac:dyDescent="0.2">
      <c r="A1023" s="5">
        <v>962</v>
      </c>
      <c r="B1023" s="138">
        <f>'Expenditures 15-22'!H50</f>
        <v>9011</v>
      </c>
      <c r="D1023" s="2" t="str">
        <f t="shared" ref="D1023:D1086" si="15">IF(ISBLANK(B1023),"OK",IF(A1023-B1023=0,"OK","Error?"))</f>
        <v>Error?</v>
      </c>
    </row>
    <row r="1024" spans="1:4" x14ac:dyDescent="0.2">
      <c r="A1024" s="5">
        <v>963</v>
      </c>
      <c r="B1024" s="138">
        <f>'Expenditures 15-22'!H53</f>
        <v>9821</v>
      </c>
      <c r="C1024" s="2" t="s">
        <v>593</v>
      </c>
      <c r="D1024" s="2" t="str">
        <f t="shared" si="15"/>
        <v>Error?</v>
      </c>
    </row>
    <row r="1025" spans="1:4" x14ac:dyDescent="0.2">
      <c r="A1025" s="5">
        <v>964</v>
      </c>
      <c r="B1025" s="138">
        <f>'Expenditures 15-22'!H55</f>
        <v>4187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4187</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966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4499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5465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19473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1232140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1265357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8190733</v>
      </c>
      <c r="C1093" s="2" t="s">
        <v>593</v>
      </c>
      <c r="D1093" s="2" t="str">
        <f t="shared" si="16"/>
        <v>Error?</v>
      </c>
    </row>
    <row r="1094" spans="1:4" x14ac:dyDescent="0.2">
      <c r="A1094" s="5">
        <v>1033</v>
      </c>
      <c r="B1094" s="138">
        <f>'Expenditures 15-22'!K16</f>
        <v>750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319912</v>
      </c>
      <c r="C1105" s="2" t="s">
        <v>593</v>
      </c>
      <c r="D1105" s="2" t="str">
        <f t="shared" si="16"/>
        <v>Error?</v>
      </c>
    </row>
    <row r="1106" spans="1:4" x14ac:dyDescent="0.2">
      <c r="A1106" s="5">
        <v>1045</v>
      </c>
      <c r="B1106" s="138">
        <f>'Expenditures 15-22'!K14</f>
        <v>643383</v>
      </c>
      <c r="C1106" s="2" t="s">
        <v>593</v>
      </c>
      <c r="D1106" s="2" t="str">
        <f t="shared" si="16"/>
        <v>Error?</v>
      </c>
    </row>
    <row r="1107" spans="1:4" x14ac:dyDescent="0.2">
      <c r="A1107" s="5">
        <v>1046</v>
      </c>
      <c r="B1107" s="138">
        <f>'Expenditures 15-22'!K15</f>
        <v>4968</v>
      </c>
      <c r="C1107" s="2" t="s">
        <v>593</v>
      </c>
      <c r="D1107" s="2" t="str">
        <f t="shared" si="16"/>
        <v>Error?</v>
      </c>
    </row>
    <row r="1108" spans="1:4" x14ac:dyDescent="0.2">
      <c r="A1108" s="5">
        <v>1047</v>
      </c>
      <c r="B1108" s="138">
        <f>'Expenditures 15-22'!K33</f>
        <v>10493058</v>
      </c>
      <c r="C1108" s="2" t="s">
        <v>593</v>
      </c>
      <c r="D1108" s="2" t="str">
        <f t="shared" si="16"/>
        <v>Error?</v>
      </c>
    </row>
    <row r="1109" spans="1:4" x14ac:dyDescent="0.2">
      <c r="A1109" s="5">
        <v>1048</v>
      </c>
      <c r="B1109" s="138">
        <f>'Expenditures 15-22'!K36</f>
        <v>178158</v>
      </c>
      <c r="C1109" s="2" t="s">
        <v>593</v>
      </c>
      <c r="D1109" s="2" t="str">
        <f t="shared" si="16"/>
        <v>Error?</v>
      </c>
    </row>
    <row r="1110" spans="1:4" x14ac:dyDescent="0.2">
      <c r="A1110" s="5">
        <v>1049</v>
      </c>
      <c r="B1110" s="138">
        <f>'Expenditures 15-22'!K37</f>
        <v>305512</v>
      </c>
      <c r="C1110" s="2" t="s">
        <v>593</v>
      </c>
      <c r="D1110" s="2" t="str">
        <f t="shared" si="16"/>
        <v>Error?</v>
      </c>
    </row>
    <row r="1111" spans="1:4" x14ac:dyDescent="0.2">
      <c r="A1111" s="5">
        <v>1050</v>
      </c>
      <c r="B1111" s="138">
        <f>'Expenditures 15-22'!K38</f>
        <v>157906</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641576</v>
      </c>
      <c r="C1115" s="2" t="s">
        <v>593</v>
      </c>
      <c r="D1115" s="2" t="str">
        <f t="shared" si="16"/>
        <v>Error?</v>
      </c>
    </row>
    <row r="1116" spans="1:4" x14ac:dyDescent="0.2">
      <c r="A1116" s="5">
        <v>1055</v>
      </c>
      <c r="B1116" s="138">
        <f>'Expenditures 15-22'!K44</f>
        <v>190486</v>
      </c>
      <c r="C1116" s="2" t="s">
        <v>593</v>
      </c>
      <c r="D1116" s="2" t="str">
        <f t="shared" si="16"/>
        <v>Error?</v>
      </c>
    </row>
    <row r="1117" spans="1:4" x14ac:dyDescent="0.2">
      <c r="A1117" s="5">
        <v>1056</v>
      </c>
      <c r="B1117" s="138">
        <f>'Expenditures 15-22'!K45</f>
        <v>803931</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994417</v>
      </c>
      <c r="C1119" s="2" t="s">
        <v>593</v>
      </c>
      <c r="D1119" s="2" t="str">
        <f t="shared" si="16"/>
        <v>Error?</v>
      </c>
    </row>
    <row r="1120" spans="1:4" x14ac:dyDescent="0.2">
      <c r="A1120" s="5">
        <v>1059</v>
      </c>
      <c r="B1120" s="138">
        <f>'Expenditures 15-22'!K49</f>
        <v>114154</v>
      </c>
      <c r="C1120" s="2" t="s">
        <v>593</v>
      </c>
      <c r="D1120" s="2" t="str">
        <f t="shared" si="16"/>
        <v>Error?</v>
      </c>
    </row>
    <row r="1121" spans="1:4" x14ac:dyDescent="0.2">
      <c r="A1121" s="5">
        <v>1060</v>
      </c>
      <c r="B1121" s="138">
        <f>'Expenditures 15-22'!K50</f>
        <v>270200</v>
      </c>
      <c r="C1121" s="2" t="s">
        <v>593</v>
      </c>
      <c r="D1121" s="2" t="str">
        <f t="shared" si="16"/>
        <v>Error?</v>
      </c>
    </row>
    <row r="1122" spans="1:4" x14ac:dyDescent="0.2">
      <c r="A1122" s="5">
        <v>1061</v>
      </c>
      <c r="B1122" s="138">
        <f>'Expenditures 15-22'!K53</f>
        <v>384354</v>
      </c>
      <c r="C1122" s="2" t="s">
        <v>593</v>
      </c>
      <c r="D1122" s="2" t="str">
        <f t="shared" si="16"/>
        <v>Error?</v>
      </c>
    </row>
    <row r="1123" spans="1:4" x14ac:dyDescent="0.2">
      <c r="A1123" s="5">
        <v>1062</v>
      </c>
      <c r="B1123" s="138">
        <f>'Expenditures 15-22'!K55</f>
        <v>1379618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1379618</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424432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51884</v>
      </c>
      <c r="C1129" s="2" t="s">
        <v>593</v>
      </c>
      <c r="D1129" s="2" t="str">
        <f t="shared" si="16"/>
        <v>Error?</v>
      </c>
    </row>
    <row r="1130" spans="1:4" x14ac:dyDescent="0.2">
      <c r="A1130" s="5">
        <v>1069</v>
      </c>
      <c r="B1130" s="138">
        <f>'Expenditures 15-22'!K63</f>
        <v>1146649</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1622965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26548</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53825</v>
      </c>
      <c r="C1139" s="2" t="s">
        <v>593</v>
      </c>
      <c r="D1139" s="2" t="str">
        <f t="shared" si="16"/>
        <v>Error?</v>
      </c>
    </row>
    <row r="1140" spans="1:4" x14ac:dyDescent="0.2">
      <c r="A1140" s="10">
        <v>1079</v>
      </c>
      <c r="D1140" s="2" t="str">
        <f t="shared" si="16"/>
        <v>OK</v>
      </c>
    </row>
    <row r="1141" spans="1:4" x14ac:dyDescent="0.2">
      <c r="A1141" s="5">
        <v>1080</v>
      </c>
      <c r="B1141" s="138">
        <f>'Expenditures 15-22'!K72</f>
        <v>80373</v>
      </c>
      <c r="C1141" s="2" t="s">
        <v>593</v>
      </c>
      <c r="D1141" s="2" t="str">
        <f t="shared" si="16"/>
        <v>Error?</v>
      </c>
    </row>
    <row r="1142" spans="1:4" x14ac:dyDescent="0.2">
      <c r="A1142" s="5">
        <v>1081</v>
      </c>
      <c r="B1142" s="138">
        <f>'Expenditures 15-22'!K73</f>
        <v>85523</v>
      </c>
      <c r="C1142" s="2" t="s">
        <v>593</v>
      </c>
      <c r="D1142" s="2" t="str">
        <f t="shared" si="16"/>
        <v>Error?</v>
      </c>
    </row>
    <row r="1143" spans="1:4" x14ac:dyDescent="0.2">
      <c r="A1143" s="5">
        <v>1082</v>
      </c>
      <c r="B1143" s="138">
        <f>'Expenditures 15-22'!K74</f>
        <v>5188826</v>
      </c>
      <c r="C1143" s="2" t="s">
        <v>593</v>
      </c>
      <c r="D1143" s="2" t="str">
        <f t="shared" si="16"/>
        <v>Error?</v>
      </c>
    </row>
    <row r="1144" spans="1:4" x14ac:dyDescent="0.2">
      <c r="A1144" s="5">
        <v>1083</v>
      </c>
      <c r="B1144" s="138">
        <f>'Expenditures 15-22'!K75</f>
        <v>143098</v>
      </c>
      <c r="C1144" s="2" t="s">
        <v>593</v>
      </c>
      <c r="D1144" s="2" t="str">
        <f t="shared" si="16"/>
        <v>Error?</v>
      </c>
    </row>
    <row r="1145" spans="1:4" x14ac:dyDescent="0.2">
      <c r="A1145" s="5">
        <v>1084</v>
      </c>
      <c r="B1145" s="138">
        <f>'Expenditures 15-22'!K102</f>
        <v>1232140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17057122</v>
      </c>
      <c r="C1152" s="2" t="s">
        <v>593</v>
      </c>
      <c r="D1152" s="2" t="str">
        <f t="shared" si="17"/>
        <v>Error?</v>
      </c>
    </row>
    <row r="1153" spans="1:4" x14ac:dyDescent="0.2">
      <c r="A1153" s="5">
        <v>1092</v>
      </c>
      <c r="B1153" s="138">
        <f>'Expenditures 15-22'!K115</f>
        <v>-190283</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912154</v>
      </c>
      <c r="D1221" s="2" t="str">
        <f t="shared" si="18"/>
        <v>Error?</v>
      </c>
    </row>
    <row r="1222" spans="1:4" x14ac:dyDescent="0.2">
      <c r="A1222" s="10">
        <v>1161</v>
      </c>
      <c r="D1222" s="2" t="str">
        <f t="shared" si="18"/>
        <v>OK</v>
      </c>
    </row>
    <row r="1223" spans="1:4" x14ac:dyDescent="0.2">
      <c r="A1223" s="5">
        <v>1162</v>
      </c>
      <c r="B1223" s="138">
        <f>'Expenditures 15-22'!C127</f>
        <v>912154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912154</v>
      </c>
      <c r="C1225" s="2" t="s">
        <v>593</v>
      </c>
      <c r="D1225" s="2" t="str">
        <f t="shared" si="18"/>
        <v>Error?</v>
      </c>
    </row>
    <row r="1226" spans="1:4" x14ac:dyDescent="0.2">
      <c r="A1226" s="5">
        <v>1165</v>
      </c>
      <c r="B1226" s="138">
        <f>'Expenditures 15-22'!C151</f>
        <v>912154</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141282</v>
      </c>
      <c r="D1229" s="2" t="str">
        <f t="shared" si="18"/>
        <v>Error?</v>
      </c>
    </row>
    <row r="1230" spans="1:4" x14ac:dyDescent="0.2">
      <c r="A1230" s="10">
        <v>1169</v>
      </c>
      <c r="D1230" s="2" t="str">
        <f t="shared" si="18"/>
        <v>OK</v>
      </c>
    </row>
    <row r="1231" spans="1:4" x14ac:dyDescent="0.2">
      <c r="A1231" s="5">
        <v>1170</v>
      </c>
      <c r="B1231" s="138">
        <f>'Expenditures 15-22'!D127</f>
        <v>141282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141282</v>
      </c>
      <c r="C1233" s="2" t="s">
        <v>593</v>
      </c>
      <c r="D1233" s="2" t="str">
        <f t="shared" si="18"/>
        <v>Error?</v>
      </c>
    </row>
    <row r="1234" spans="1:4" x14ac:dyDescent="0.2">
      <c r="A1234" s="5">
        <v>1173</v>
      </c>
      <c r="B1234" s="138">
        <f>'Expenditures 15-22'!D151</f>
        <v>141282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259695</v>
      </c>
      <c r="D1237" s="2" t="str">
        <f t="shared" si="18"/>
        <v>Error?</v>
      </c>
    </row>
    <row r="1238" spans="1:4" x14ac:dyDescent="0.2">
      <c r="A1238" s="10">
        <v>1177</v>
      </c>
      <c r="D1238" s="2" t="str">
        <f t="shared" si="18"/>
        <v>OK</v>
      </c>
    </row>
    <row r="1239" spans="1:4" x14ac:dyDescent="0.2">
      <c r="A1239" s="5">
        <v>1178</v>
      </c>
      <c r="B1239" s="138">
        <f>'Expenditures 15-22'!E127</f>
        <v>259695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259695</v>
      </c>
      <c r="C1241" s="2" t="s">
        <v>593</v>
      </c>
      <c r="D1241" s="2" t="str">
        <f t="shared" si="18"/>
        <v>Error?</v>
      </c>
    </row>
    <row r="1242" spans="1:4" x14ac:dyDescent="0.2">
      <c r="A1242" s="5">
        <v>1181</v>
      </c>
      <c r="B1242" s="138">
        <f>'Expenditures 15-22'!E151</f>
        <v>259695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694678</v>
      </c>
      <c r="D1245" s="2" t="str">
        <f t="shared" si="18"/>
        <v>Error?</v>
      </c>
    </row>
    <row r="1246" spans="1:4" x14ac:dyDescent="0.2">
      <c r="A1246" s="10">
        <v>1185</v>
      </c>
      <c r="D1246" s="2" t="str">
        <f t="shared" si="18"/>
        <v>OK</v>
      </c>
    </row>
    <row r="1247" spans="1:4" x14ac:dyDescent="0.2">
      <c r="A1247" s="5">
        <v>1186</v>
      </c>
      <c r="B1247" s="138">
        <f>'Expenditures 15-22'!F127</f>
        <v>694678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694678</v>
      </c>
      <c r="C1249" s="2" t="s">
        <v>593</v>
      </c>
      <c r="D1249" s="2" t="str">
        <f t="shared" si="18"/>
        <v>Error?</v>
      </c>
    </row>
    <row r="1250" spans="1:4" x14ac:dyDescent="0.2">
      <c r="A1250" s="5">
        <v>1189</v>
      </c>
      <c r="B1250" s="138">
        <f>'Expenditures 15-22'!F151</f>
        <v>694678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80340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80340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80340</v>
      </c>
      <c r="C1258" s="2" t="s">
        <v>593</v>
      </c>
      <c r="D1258" s="2" t="str">
        <f t="shared" si="18"/>
        <v>Error?</v>
      </c>
    </row>
    <row r="1259" spans="1:4" x14ac:dyDescent="0.2">
      <c r="A1259" s="5">
        <v>1198</v>
      </c>
      <c r="B1259" s="138">
        <f>'Expenditures 15-22'!G151</f>
        <v>80340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2088149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2088149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2088149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2088149</v>
      </c>
      <c r="C1288" s="2" t="s">
        <v>593</v>
      </c>
      <c r="D1288" s="2" t="str">
        <f t="shared" si="19"/>
        <v>Error?</v>
      </c>
    </row>
    <row r="1289" spans="1:4" x14ac:dyDescent="0.2">
      <c r="A1289" s="5">
        <v>1228</v>
      </c>
      <c r="B1289" s="138">
        <f>'Expenditures 15-22'!K152</f>
        <v>-261039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1424182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1813211</v>
      </c>
      <c r="D1315" s="2" t="str">
        <f t="shared" si="19"/>
        <v>Error?</v>
      </c>
    </row>
    <row r="1316" spans="1:4" x14ac:dyDescent="0.2">
      <c r="A1316" s="5">
        <v>1255</v>
      </c>
      <c r="B1316" s="138">
        <f>'Expenditures 15-22'!H171</f>
        <v>954</v>
      </c>
      <c r="D1316" s="2" t="str">
        <f t="shared" si="19"/>
        <v>Error?</v>
      </c>
    </row>
    <row r="1317" spans="1:4" x14ac:dyDescent="0.2">
      <c r="A1317" s="5">
        <v>1256</v>
      </c>
      <c r="B1317" s="138">
        <f>'Expenditures 15-22'!H172</f>
        <v>3238347</v>
      </c>
      <c r="C1317" s="2" t="s">
        <v>593</v>
      </c>
      <c r="D1317" s="2" t="str">
        <f t="shared" si="19"/>
        <v>Error?</v>
      </c>
    </row>
    <row r="1318" spans="1:4" x14ac:dyDescent="0.2">
      <c r="A1318" s="5">
        <v>1257</v>
      </c>
      <c r="B1318" s="138">
        <f>'Expenditures 15-22'!H174</f>
        <v>3238347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1424182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1813211</v>
      </c>
      <c r="C1329" s="2" t="s">
        <v>593</v>
      </c>
      <c r="D1329" s="2" t="str">
        <f t="shared" si="19"/>
        <v>Error?</v>
      </c>
    </row>
    <row r="1330" spans="1:4" x14ac:dyDescent="0.2">
      <c r="A1330" s="5">
        <v>1269</v>
      </c>
      <c r="B1330" s="138">
        <f>'Expenditures 15-22'!K171</f>
        <v>954</v>
      </c>
      <c r="C1330" s="2" t="s">
        <v>593</v>
      </c>
      <c r="D1330" s="2" t="str">
        <f t="shared" si="19"/>
        <v>Error?</v>
      </c>
    </row>
    <row r="1331" spans="1:4" x14ac:dyDescent="0.2">
      <c r="A1331" s="5">
        <v>1270</v>
      </c>
      <c r="B1331" s="138">
        <f>'Expenditures 15-22'!K172</f>
        <v>3238347</v>
      </c>
      <c r="C1331" s="2" t="s">
        <v>593</v>
      </c>
      <c r="D1331" s="2" t="str">
        <f t="shared" si="19"/>
        <v>Error?</v>
      </c>
    </row>
    <row r="1332" spans="1:4" x14ac:dyDescent="0.2">
      <c r="A1332" s="5">
        <v>1271</v>
      </c>
      <c r="B1332" s="138">
        <f>'Expenditures 15-22'!K174</f>
        <v>3238347</v>
      </c>
      <c r="C1332" s="2" t="s">
        <v>593</v>
      </c>
      <c r="D1332" s="2" t="str">
        <f t="shared" si="19"/>
        <v>Error?</v>
      </c>
    </row>
    <row r="1333" spans="1:4" x14ac:dyDescent="0.2">
      <c r="A1333" s="5">
        <v>1272</v>
      </c>
      <c r="B1333" s="138">
        <f>'Expenditures 15-22'!K175</f>
        <v>-736571</v>
      </c>
      <c r="C1333" s="2" t="s">
        <v>593</v>
      </c>
      <c r="D1333" s="2" t="str">
        <f t="shared" si="19"/>
        <v>Error?</v>
      </c>
    </row>
    <row r="1334" spans="1:4" x14ac:dyDescent="0.2">
      <c r="A1334" s="10">
        <v>1273</v>
      </c>
      <c r="D1334" s="2" t="str">
        <f t="shared" si="19"/>
        <v>OK</v>
      </c>
    </row>
    <row r="1335" spans="1:4" x14ac:dyDescent="0.2">
      <c r="A1335" s="5">
        <v>1274</v>
      </c>
      <c r="B1335" s="138">
        <f>'Expenditures 15-22'!C182</f>
        <v>14486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14486</v>
      </c>
      <c r="C1339" s="2" t="s">
        <v>593</v>
      </c>
      <c r="D1339" s="2" t="str">
        <f t="shared" si="19"/>
        <v>Error?</v>
      </c>
    </row>
    <row r="1340" spans="1:4" x14ac:dyDescent="0.2">
      <c r="A1340" s="5">
        <v>1279</v>
      </c>
      <c r="B1340" s="138">
        <f>'Expenditures 15-22'!C210</f>
        <v>14486</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1702289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1702289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1702289</v>
      </c>
      <c r="C1353" s="2" t="s">
        <v>593</v>
      </c>
      <c r="D1353" s="2" t="str">
        <f t="shared" si="20"/>
        <v>Error?</v>
      </c>
    </row>
    <row r="1354" spans="1:4" x14ac:dyDescent="0.2">
      <c r="A1354" s="5">
        <v>1293</v>
      </c>
      <c r="B1354" s="138">
        <f>'Expenditures 15-22'!F182</f>
        <v>148647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148647</v>
      </c>
      <c r="C1358" s="2" t="s">
        <v>593</v>
      </c>
      <c r="D1358" s="2" t="str">
        <f t="shared" si="20"/>
        <v>Error?</v>
      </c>
    </row>
    <row r="1359" spans="1:4" x14ac:dyDescent="0.2">
      <c r="A1359" s="5">
        <v>1298</v>
      </c>
      <c r="B1359" s="138">
        <f>'Expenditures 15-22'!F210</f>
        <v>148647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12759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12759</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12759</v>
      </c>
      <c r="C1376" s="2" t="s">
        <v>593</v>
      </c>
      <c r="D1376" s="2" t="str">
        <f t="shared" si="20"/>
        <v>Error?</v>
      </c>
    </row>
    <row r="1377" spans="1:4" x14ac:dyDescent="0.2">
      <c r="A1377" s="5">
        <v>1316</v>
      </c>
      <c r="B1377" s="138">
        <f>'Expenditures 15-22'!K182</f>
        <v>1878181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1878181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1878181</v>
      </c>
      <c r="C1388" s="2" t="s">
        <v>593</v>
      </c>
      <c r="D1388" s="2" t="str">
        <f t="shared" si="20"/>
        <v>Error?</v>
      </c>
    </row>
    <row r="1389" spans="1:4" x14ac:dyDescent="0.2">
      <c r="A1389" s="5">
        <v>1328</v>
      </c>
      <c r="B1389" s="138">
        <f>'Expenditures 15-22'!K211</f>
        <v>261617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3230</v>
      </c>
      <c r="D1407" s="2" t="str">
        <f t="shared" ref="D1407:D1470" si="21">IF(ISBLANK(B1407),"OK",IF(A1407-B1407=0,"OK","Error?"))</f>
        <v>Error?</v>
      </c>
    </row>
    <row r="1408" spans="1:4" x14ac:dyDescent="0.2">
      <c r="A1408" s="5">
        <v>1347</v>
      </c>
      <c r="B1408" s="138">
        <f>'Expenditures 15-22'!D223</f>
        <v>11708</v>
      </c>
      <c r="D1408" s="2" t="str">
        <f t="shared" si="21"/>
        <v>Error?</v>
      </c>
    </row>
    <row r="1409" spans="1:4" x14ac:dyDescent="0.2">
      <c r="A1409" s="5">
        <v>1348</v>
      </c>
      <c r="B1409" s="138">
        <f>'Expenditures 15-22'!D224</f>
        <v>252</v>
      </c>
      <c r="D1409" s="2" t="str">
        <f t="shared" si="21"/>
        <v>Error?</v>
      </c>
    </row>
    <row r="1410" spans="1:4" x14ac:dyDescent="0.2">
      <c r="A1410" s="5">
        <v>1349</v>
      </c>
      <c r="B1410" s="138">
        <f>'Expenditures 15-22'!D229</f>
        <v>184526</v>
      </c>
      <c r="C1410" s="2" t="s">
        <v>593</v>
      </c>
      <c r="D1410" s="2" t="str">
        <f t="shared" si="21"/>
        <v>Error?</v>
      </c>
    </row>
    <row r="1411" spans="1:4" x14ac:dyDescent="0.2">
      <c r="A1411" s="5">
        <v>1350</v>
      </c>
      <c r="B1411" s="138">
        <f>'Expenditures 15-22'!D232</f>
        <v>2756</v>
      </c>
      <c r="D1411" s="2" t="str">
        <f t="shared" si="21"/>
        <v>Error?</v>
      </c>
    </row>
    <row r="1412" spans="1:4" x14ac:dyDescent="0.2">
      <c r="A1412" s="5">
        <v>1351</v>
      </c>
      <c r="B1412" s="138">
        <f>'Expenditures 15-22'!D233</f>
        <v>3996</v>
      </c>
      <c r="D1412" s="2" t="str">
        <f t="shared" si="21"/>
        <v>Error?</v>
      </c>
    </row>
    <row r="1413" spans="1:4" x14ac:dyDescent="0.2">
      <c r="A1413" s="5">
        <v>1352</v>
      </c>
      <c r="B1413" s="138">
        <f>'Expenditures 15-22'!D234</f>
        <v>22144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28896</v>
      </c>
      <c r="C1417" s="2" t="s">
        <v>593</v>
      </c>
      <c r="D1417" s="2" t="str">
        <f t="shared" si="21"/>
        <v>Error?</v>
      </c>
    </row>
    <row r="1418" spans="1:4" x14ac:dyDescent="0.2">
      <c r="A1418" s="5">
        <v>1357</v>
      </c>
      <c r="B1418" s="138">
        <f>'Expenditures 15-22'!D240</f>
        <v>8998</v>
      </c>
      <c r="D1418" s="2" t="str">
        <f t="shared" si="21"/>
        <v>Error?</v>
      </c>
    </row>
    <row r="1419" spans="1:4" x14ac:dyDescent="0.2">
      <c r="A1419" s="5">
        <v>1358</v>
      </c>
      <c r="B1419" s="138">
        <f>'Expenditures 15-22'!D241</f>
        <v>25383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34381</v>
      </c>
      <c r="C1421" s="2" t="s">
        <v>593</v>
      </c>
      <c r="D1421" s="2" t="str">
        <f t="shared" si="21"/>
        <v>Error?</v>
      </c>
    </row>
    <row r="1422" spans="1:4" x14ac:dyDescent="0.2">
      <c r="A1422" s="5">
        <v>1361</v>
      </c>
      <c r="B1422" s="138">
        <f>'Expenditures 15-22'!D245</f>
        <v>410</v>
      </c>
      <c r="D1422" s="2" t="str">
        <f t="shared" si="21"/>
        <v>Error?</v>
      </c>
    </row>
    <row r="1423" spans="1:4" x14ac:dyDescent="0.2">
      <c r="A1423" s="5">
        <v>1362</v>
      </c>
      <c r="B1423" s="138">
        <f>'Expenditures 15-22'!D246</f>
        <v>3177</v>
      </c>
      <c r="D1423" s="2" t="str">
        <f t="shared" si="21"/>
        <v>Error?</v>
      </c>
    </row>
    <row r="1424" spans="1:4" x14ac:dyDescent="0.2">
      <c r="A1424" s="5">
        <v>1363</v>
      </c>
      <c r="B1424" s="138">
        <f>'Expenditures 15-22'!D257</f>
        <v>4387</v>
      </c>
      <c r="C1424" s="2" t="s">
        <v>593</v>
      </c>
      <c r="D1424" s="2" t="str">
        <f t="shared" si="21"/>
        <v>Error?</v>
      </c>
    </row>
    <row r="1425" spans="1:4" x14ac:dyDescent="0.2">
      <c r="A1425" s="5">
        <v>1364</v>
      </c>
      <c r="B1425" s="138">
        <f>'Expenditures 15-22'!D259</f>
        <v>72372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72372</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31355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168449</v>
      </c>
      <c r="D1431" s="2" t="str">
        <f t="shared" si="21"/>
        <v>Error?</v>
      </c>
    </row>
    <row r="1432" spans="1:4" x14ac:dyDescent="0.2">
      <c r="A1432" s="5">
        <v>1371</v>
      </c>
      <c r="B1432" s="138">
        <f>'Expenditures 15-22'!D267</f>
        <v>2051</v>
      </c>
      <c r="D1432" s="2" t="str">
        <f t="shared" si="21"/>
        <v>Error?</v>
      </c>
    </row>
    <row r="1433" spans="1:4" x14ac:dyDescent="0.2">
      <c r="A1433" s="5">
        <v>1372</v>
      </c>
      <c r="B1433" s="138">
        <f>'Expenditures 15-22'!D268</f>
        <v>71435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273290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1043</v>
      </c>
      <c r="D1445" s="2" t="str">
        <f t="shared" si="21"/>
        <v>Error?</v>
      </c>
    </row>
    <row r="1446" spans="1:4" x14ac:dyDescent="0.2">
      <c r="A1446" s="5">
        <v>1385</v>
      </c>
      <c r="B1446" s="138">
        <f>'Expenditures 15-22'!D279</f>
        <v>414369</v>
      </c>
      <c r="C1446" s="2" t="s">
        <v>593</v>
      </c>
      <c r="D1446" s="2" t="str">
        <f t="shared" si="21"/>
        <v>Error?</v>
      </c>
    </row>
    <row r="1447" spans="1:4" x14ac:dyDescent="0.2">
      <c r="A1447" s="5">
        <v>1386</v>
      </c>
      <c r="B1447" s="138">
        <f>'Expenditures 15-22'!D280</f>
        <v>16121</v>
      </c>
      <c r="D1447" s="2" t="str">
        <f t="shared" si="21"/>
        <v>Error?</v>
      </c>
    </row>
    <row r="1448" spans="1:4" x14ac:dyDescent="0.2">
      <c r="A1448" s="5">
        <v>1387</v>
      </c>
      <c r="B1448" s="138">
        <f>'Expenditures 15-22'!D295</f>
        <v>649499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3230</v>
      </c>
      <c r="C1471" s="2" t="s">
        <v>593</v>
      </c>
      <c r="D1471" s="2" t="str">
        <f t="shared" ref="D1471:D1534" si="22">IF(ISBLANK(B1471),"OK",IF(A1471-B1471=0,"OK","Error?"))</f>
        <v>Error?</v>
      </c>
    </row>
    <row r="1472" spans="1:4" x14ac:dyDescent="0.2">
      <c r="A1472" s="5">
        <v>1411</v>
      </c>
      <c r="B1472" s="138">
        <f>'Expenditures 15-22'!K223</f>
        <v>11708</v>
      </c>
      <c r="C1472" s="2" t="s">
        <v>593</v>
      </c>
      <c r="D1472" s="2" t="str">
        <f t="shared" si="22"/>
        <v>Error?</v>
      </c>
    </row>
    <row r="1473" spans="1:4" x14ac:dyDescent="0.2">
      <c r="A1473" s="5">
        <v>1412</v>
      </c>
      <c r="B1473" s="138">
        <f>'Expenditures 15-22'!K224</f>
        <v>252</v>
      </c>
      <c r="C1473" s="2" t="s">
        <v>593</v>
      </c>
      <c r="D1473" s="2" t="str">
        <f t="shared" si="22"/>
        <v>Error?</v>
      </c>
    </row>
    <row r="1474" spans="1:4" x14ac:dyDescent="0.2">
      <c r="A1474" s="5">
        <v>1413</v>
      </c>
      <c r="B1474" s="138">
        <f>'Expenditures 15-22'!K229</f>
        <v>184526</v>
      </c>
      <c r="C1474" s="2" t="s">
        <v>593</v>
      </c>
      <c r="D1474" s="2" t="str">
        <f t="shared" si="22"/>
        <v>Error?</v>
      </c>
    </row>
    <row r="1475" spans="1:4" x14ac:dyDescent="0.2">
      <c r="A1475" s="5">
        <v>1414</v>
      </c>
      <c r="B1475" s="138">
        <f>'Expenditures 15-22'!K232</f>
        <v>2756</v>
      </c>
      <c r="C1475" s="2" t="s">
        <v>593</v>
      </c>
      <c r="D1475" s="2" t="str">
        <f t="shared" si="22"/>
        <v>Error?</v>
      </c>
    </row>
    <row r="1476" spans="1:4" x14ac:dyDescent="0.2">
      <c r="A1476" s="5">
        <v>1415</v>
      </c>
      <c r="B1476" s="138">
        <f>'Expenditures 15-22'!K233</f>
        <v>3996</v>
      </c>
      <c r="C1476" s="2" t="s">
        <v>593</v>
      </c>
      <c r="D1476" s="2" t="str">
        <f t="shared" si="22"/>
        <v>Error?</v>
      </c>
    </row>
    <row r="1477" spans="1:4" x14ac:dyDescent="0.2">
      <c r="A1477" s="5">
        <v>1416</v>
      </c>
      <c r="B1477" s="138">
        <f>'Expenditures 15-22'!K234</f>
        <v>22144</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28896</v>
      </c>
      <c r="C1481" s="2" t="s">
        <v>593</v>
      </c>
      <c r="D1481" s="2" t="str">
        <f t="shared" si="22"/>
        <v>Error?</v>
      </c>
    </row>
    <row r="1482" spans="1:4" x14ac:dyDescent="0.2">
      <c r="A1482" s="5">
        <v>1421</v>
      </c>
      <c r="B1482" s="138">
        <f>'Expenditures 15-22'!K240</f>
        <v>8998</v>
      </c>
      <c r="C1482" s="2" t="s">
        <v>593</v>
      </c>
      <c r="D1482" s="2" t="str">
        <f t="shared" si="22"/>
        <v>Error?</v>
      </c>
    </row>
    <row r="1483" spans="1:4" x14ac:dyDescent="0.2">
      <c r="A1483" s="5">
        <v>1422</v>
      </c>
      <c r="B1483" s="138">
        <f>'Expenditures 15-22'!K241</f>
        <v>25383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34381</v>
      </c>
      <c r="C1485" s="2" t="s">
        <v>593</v>
      </c>
      <c r="D1485" s="2" t="str">
        <f t="shared" si="22"/>
        <v>Error?</v>
      </c>
    </row>
    <row r="1486" spans="1:4" x14ac:dyDescent="0.2">
      <c r="A1486" s="5">
        <v>1425</v>
      </c>
      <c r="B1486" s="138">
        <f>'Expenditures 15-22'!K245</f>
        <v>410</v>
      </c>
      <c r="C1486" s="2" t="s">
        <v>593</v>
      </c>
      <c r="D1486" s="2" t="str">
        <f t="shared" si="22"/>
        <v>Error?</v>
      </c>
    </row>
    <row r="1487" spans="1:4" x14ac:dyDescent="0.2">
      <c r="A1487" s="5">
        <v>1426</v>
      </c>
      <c r="B1487" s="138">
        <f>'Expenditures 15-22'!K246</f>
        <v>3177</v>
      </c>
      <c r="C1487" s="2" t="s">
        <v>593</v>
      </c>
      <c r="D1487" s="2" t="str">
        <f t="shared" si="22"/>
        <v>Error?</v>
      </c>
    </row>
    <row r="1488" spans="1:4" x14ac:dyDescent="0.2">
      <c r="A1488" s="5">
        <v>1427</v>
      </c>
      <c r="B1488" s="138">
        <f>'Expenditures 15-22'!K257</f>
        <v>4387</v>
      </c>
      <c r="C1488" s="2" t="s">
        <v>593</v>
      </c>
      <c r="D1488" s="2" t="str">
        <f t="shared" si="22"/>
        <v>Error?</v>
      </c>
    </row>
    <row r="1489" spans="1:4" x14ac:dyDescent="0.2">
      <c r="A1489" s="5">
        <v>1428</v>
      </c>
      <c r="B1489" s="138">
        <f>'Expenditures 15-22'!K259</f>
        <v>72372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72372</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31355</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168449</v>
      </c>
      <c r="C1495" s="2" t="s">
        <v>593</v>
      </c>
      <c r="D1495" s="2" t="str">
        <f t="shared" si="22"/>
        <v>Error?</v>
      </c>
    </row>
    <row r="1496" spans="1:4" x14ac:dyDescent="0.2">
      <c r="A1496" s="5">
        <v>1435</v>
      </c>
      <c r="B1496" s="138">
        <f>'Expenditures 15-22'!K267</f>
        <v>2051</v>
      </c>
      <c r="C1496" s="2" t="s">
        <v>593</v>
      </c>
      <c r="D1496" s="2" t="str">
        <f t="shared" si="22"/>
        <v>Error?</v>
      </c>
    </row>
    <row r="1497" spans="1:4" x14ac:dyDescent="0.2">
      <c r="A1497" s="5">
        <v>1436</v>
      </c>
      <c r="B1497" s="138">
        <f>'Expenditures 15-22'!K268</f>
        <v>71435</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273290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1043</v>
      </c>
      <c r="C1509" s="2" t="s">
        <v>593</v>
      </c>
      <c r="D1509" s="2" t="str">
        <f t="shared" si="22"/>
        <v>Error?</v>
      </c>
    </row>
    <row r="1510" spans="1:4" x14ac:dyDescent="0.2">
      <c r="A1510" s="5">
        <v>1449</v>
      </c>
      <c r="B1510" s="138">
        <f>'Expenditures 15-22'!K279</f>
        <v>414369</v>
      </c>
      <c r="C1510" s="2" t="s">
        <v>593</v>
      </c>
      <c r="D1510" s="2" t="str">
        <f t="shared" si="22"/>
        <v>Error?</v>
      </c>
    </row>
    <row r="1511" spans="1:4" x14ac:dyDescent="0.2">
      <c r="A1511" s="5">
        <v>1450</v>
      </c>
      <c r="B1511" s="138">
        <f>'Expenditures 15-22'!K280</f>
        <v>16121</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649499</v>
      </c>
      <c r="C1517" s="2" t="s">
        <v>593</v>
      </c>
      <c r="D1517" s="2" t="str">
        <f t="shared" si="22"/>
        <v>Error?</v>
      </c>
    </row>
    <row r="1518" spans="1:4" x14ac:dyDescent="0.2">
      <c r="A1518" s="5">
        <v>1457</v>
      </c>
      <c r="B1518" s="138">
        <f>'Expenditures 15-22'!K296</f>
        <v>51734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278107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278107</v>
      </c>
      <c r="C1535" s="2" t="s">
        <v>593</v>
      </c>
      <c r="D1535" s="2" t="str">
        <f t="shared" ref="D1535:D1598" si="23">IF(ISBLANK(B1535),"OK",IF(A1535-B1535=0,"OK","Error?"))</f>
        <v>Error?</v>
      </c>
    </row>
    <row r="1536" spans="1:4" x14ac:dyDescent="0.2">
      <c r="A1536" s="5">
        <v>1475</v>
      </c>
      <c r="B1536" s="138">
        <f>'Expenditures 15-22'!E312</f>
        <v>278107</v>
      </c>
      <c r="C1536" s="2" t="s">
        <v>593</v>
      </c>
      <c r="D1536" s="2" t="str">
        <f t="shared" si="23"/>
        <v>Error?</v>
      </c>
    </row>
    <row r="1537" spans="1:4" x14ac:dyDescent="0.2">
      <c r="A1537" s="5">
        <v>1476</v>
      </c>
      <c r="B1537" s="138">
        <f>'Expenditures 15-22'!F301</f>
        <v>653038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653038</v>
      </c>
      <c r="C1541" s="2" t="s">
        <v>593</v>
      </c>
      <c r="D1541" s="2" t="str">
        <f t="shared" si="23"/>
        <v>Error?</v>
      </c>
    </row>
    <row r="1542" spans="1:4" x14ac:dyDescent="0.2">
      <c r="A1542" s="5">
        <v>1481</v>
      </c>
      <c r="B1542" s="138">
        <f>'Expenditures 15-22'!F312</f>
        <v>653038</v>
      </c>
      <c r="C1542" s="2" t="s">
        <v>593</v>
      </c>
      <c r="D1542" s="2" t="str">
        <f t="shared" si="23"/>
        <v>Error?</v>
      </c>
    </row>
    <row r="1543" spans="1:4" x14ac:dyDescent="0.2">
      <c r="A1543" s="5">
        <v>1482</v>
      </c>
      <c r="B1543" s="138">
        <f>'Expenditures 15-22'!G301</f>
        <v>9291264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9291264</v>
      </c>
      <c r="C1547" s="2" t="s">
        <v>593</v>
      </c>
      <c r="D1547" s="2" t="str">
        <f t="shared" si="23"/>
        <v>Error?</v>
      </c>
    </row>
    <row r="1548" spans="1:4" x14ac:dyDescent="0.2">
      <c r="A1548" s="5">
        <v>1487</v>
      </c>
      <c r="B1548" s="138">
        <f>'Expenditures 15-22'!G312</f>
        <v>9291264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10222409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10222409</v>
      </c>
      <c r="C1559" s="2" t="s">
        <v>593</v>
      </c>
      <c r="D1559" s="2" t="str">
        <f t="shared" si="23"/>
        <v>Error?</v>
      </c>
    </row>
    <row r="1560" spans="1:4" x14ac:dyDescent="0.2">
      <c r="A1560" s="5">
        <v>1499</v>
      </c>
      <c r="B1560" s="138">
        <f>'Expenditures 15-22'!K312</f>
        <v>10222409</v>
      </c>
      <c r="C1560" s="2" t="s">
        <v>593</v>
      </c>
      <c r="D1560" s="2" t="str">
        <f t="shared" si="23"/>
        <v>Error?</v>
      </c>
    </row>
    <row r="1561" spans="1:4" x14ac:dyDescent="0.2">
      <c r="A1561" s="5">
        <v>1500</v>
      </c>
      <c r="B1561" s="138">
        <f>'Expenditures 15-22'!K313</f>
        <v>-9089494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4681436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5440735</v>
      </c>
      <c r="C1630" s="2" t="s">
        <v>593</v>
      </c>
      <c r="D1630" s="2" t="str">
        <f t="shared" si="24"/>
        <v>Error?</v>
      </c>
    </row>
    <row r="1631" spans="1:4" x14ac:dyDescent="0.2">
      <c r="A1631" s="5">
        <v>1570</v>
      </c>
      <c r="B1631" s="138">
        <f>'Acct Summary 7-8'!D79</f>
        <v>2848474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2588667</v>
      </c>
      <c r="C1644" s="2" t="s">
        <v>593</v>
      </c>
      <c r="D1644" s="2" t="str">
        <f t="shared" si="24"/>
        <v>Error?</v>
      </c>
    </row>
    <row r="1645" spans="1:4" x14ac:dyDescent="0.2">
      <c r="A1645" s="5">
        <v>1584</v>
      </c>
      <c r="B1645" s="138">
        <f>'Acct Summary 7-8'!E79</f>
        <v>2292373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1712763</v>
      </c>
      <c r="C1658" s="2" t="s">
        <v>593</v>
      </c>
      <c r="D1658" s="2" t="str">
        <f t="shared" si="24"/>
        <v>Error?</v>
      </c>
    </row>
    <row r="1659" spans="1:4" x14ac:dyDescent="0.2">
      <c r="A1659" s="5">
        <v>1598</v>
      </c>
      <c r="B1659" s="138">
        <f>'Acct Summary 7-8'!F79</f>
        <v>1110203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1371820</v>
      </c>
      <c r="C1672" s="2" t="s">
        <v>593</v>
      </c>
      <c r="D1672" s="2" t="str">
        <f t="shared" si="25"/>
        <v>Error?</v>
      </c>
    </row>
    <row r="1673" spans="1:4" x14ac:dyDescent="0.2">
      <c r="A1673" s="5">
        <v>1612</v>
      </c>
      <c r="B1673" s="138">
        <f>'Acct Summary 7-8'!G79</f>
        <v>869262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920996</v>
      </c>
      <c r="C1686" s="2" t="s">
        <v>593</v>
      </c>
      <c r="D1686" s="2" t="str">
        <f t="shared" si="25"/>
        <v>Error?</v>
      </c>
    </row>
    <row r="1687" spans="1:4" x14ac:dyDescent="0.2">
      <c r="A1687" s="5">
        <v>1626</v>
      </c>
      <c r="B1687" s="138">
        <f>'Acct Summary 7-8'!H79</f>
        <v>12650610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3561116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8481618</v>
      </c>
      <c r="C1744" s="2" t="s">
        <v>593</v>
      </c>
      <c r="D1744" s="2" t="str">
        <f t="shared" si="26"/>
        <v>Error?</v>
      </c>
    </row>
    <row r="1745" spans="1:5" x14ac:dyDescent="0.2">
      <c r="A1745" s="5">
        <v>1684</v>
      </c>
      <c r="B1745" s="138">
        <f>'Tax Sched 23'!B5</f>
        <v>1804600</v>
      </c>
      <c r="C1745" s="2" t="s">
        <v>593</v>
      </c>
      <c r="D1745" s="2" t="str">
        <f t="shared" si="26"/>
        <v>Error?</v>
      </c>
    </row>
    <row r="1746" spans="1:5" x14ac:dyDescent="0.2">
      <c r="A1746" s="5">
        <v>1685</v>
      </c>
      <c r="B1746" s="138">
        <f>'Tax Sched 23'!B6</f>
        <v>2488783</v>
      </c>
      <c r="C1746" s="2" t="s">
        <v>593</v>
      </c>
      <c r="D1746" s="2" t="str">
        <f t="shared" si="26"/>
        <v>Error?</v>
      </c>
    </row>
    <row r="1747" spans="1:5" x14ac:dyDescent="0.2">
      <c r="A1747" s="5">
        <v>1686</v>
      </c>
      <c r="B1747" s="138">
        <f>'Tax Sched 23'!B7</f>
        <v>721839</v>
      </c>
      <c r="C1747" s="2" t="s">
        <v>593</v>
      </c>
      <c r="D1747" s="2" t="str">
        <f t="shared" si="26"/>
        <v>Error?</v>
      </c>
    </row>
    <row r="1748" spans="1:5" x14ac:dyDescent="0.2">
      <c r="A1748" s="5">
        <v>1687</v>
      </c>
      <c r="B1748" s="138">
        <f>'Tax Sched 23'!B8</f>
        <v>319346</v>
      </c>
      <c r="C1748" s="2" t="s">
        <v>593</v>
      </c>
      <c r="D1748" s="2" t="str">
        <f t="shared" si="26"/>
        <v>Error?</v>
      </c>
    </row>
    <row r="1749" spans="1:5" x14ac:dyDescent="0.2">
      <c r="A1749" s="5">
        <v>1688</v>
      </c>
      <c r="B1749" s="138">
        <f>'Tax Sched 23'!B10</f>
        <v>177733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711045</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144369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15233872</v>
      </c>
      <c r="C1759" s="2" t="s">
        <v>593</v>
      </c>
      <c r="D1759" s="2" t="str">
        <f t="shared" si="26"/>
        <v>Error?</v>
      </c>
    </row>
    <row r="1760" spans="1:5" x14ac:dyDescent="0.2">
      <c r="A1760" s="5">
        <v>1699</v>
      </c>
      <c r="B1760" s="138">
        <f>'Tax Sched 23'!D4</f>
        <v>3636773</v>
      </c>
      <c r="C1760" s="2" t="s">
        <v>593</v>
      </c>
      <c r="D1760" s="2" t="str">
        <f t="shared" si="26"/>
        <v>Error?</v>
      </c>
    </row>
    <row r="1761" spans="1:5" x14ac:dyDescent="0.2">
      <c r="A1761" s="5">
        <v>1700</v>
      </c>
      <c r="B1761" s="138">
        <f>'Tax Sched 23'!D5</f>
        <v>773782</v>
      </c>
      <c r="C1761" s="2" t="s">
        <v>593</v>
      </c>
      <c r="D1761" s="2" t="str">
        <f t="shared" si="26"/>
        <v>Error?</v>
      </c>
    </row>
    <row r="1762" spans="1:5" s="8" customFormat="1" x14ac:dyDescent="0.2">
      <c r="A1762" s="5">
        <v>1701</v>
      </c>
      <c r="B1762" s="138">
        <f>'Tax Sched 23'!D6</f>
        <v>1090581</v>
      </c>
      <c r="C1762" s="2" t="s">
        <v>593</v>
      </c>
      <c r="D1762" s="2" t="str">
        <f t="shared" si="26"/>
        <v>Error?</v>
      </c>
      <c r="E1762" s="9"/>
    </row>
    <row r="1763" spans="1:5" x14ac:dyDescent="0.2">
      <c r="A1763" s="5">
        <v>1702</v>
      </c>
      <c r="B1763" s="138">
        <f>'Tax Sched 23'!D7</f>
        <v>309512</v>
      </c>
      <c r="C1763" s="2" t="s">
        <v>593</v>
      </c>
      <c r="D1763" s="2" t="str">
        <f t="shared" si="26"/>
        <v>Error?</v>
      </c>
    </row>
    <row r="1764" spans="1:5" x14ac:dyDescent="0.2">
      <c r="A1764" s="5">
        <v>1703</v>
      </c>
      <c r="B1764" s="138">
        <f>'Tax Sched 23'!D8</f>
        <v>134211</v>
      </c>
      <c r="C1764" s="2" t="s">
        <v>593</v>
      </c>
      <c r="D1764" s="2" t="str">
        <f t="shared" si="26"/>
        <v>Error?</v>
      </c>
    </row>
    <row r="1765" spans="1:5" x14ac:dyDescent="0.2">
      <c r="A1765" s="5">
        <v>1704</v>
      </c>
      <c r="B1765" s="138">
        <f>'Tax Sched 23'!D10</f>
        <v>74651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298099</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61903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6536034</v>
      </c>
      <c r="C1775" s="2" t="s">
        <v>593</v>
      </c>
      <c r="D1775" s="2" t="str">
        <f t="shared" si="26"/>
        <v>Error?</v>
      </c>
    </row>
    <row r="1776" spans="1:5" x14ac:dyDescent="0.2">
      <c r="A1776" s="5">
        <v>1715</v>
      </c>
      <c r="B1776" s="138">
        <f>'Tax Sched 23'!C4</f>
        <v>4844845</v>
      </c>
      <c r="D1776" s="2" t="str">
        <f t="shared" si="26"/>
        <v>Error?</v>
      </c>
    </row>
    <row r="1777" spans="1:4" x14ac:dyDescent="0.2">
      <c r="A1777" s="5">
        <v>1716</v>
      </c>
      <c r="B1777" s="138">
        <f>'Tax Sched 23'!C5</f>
        <v>1030818</v>
      </c>
      <c r="D1777" s="2" t="str">
        <f t="shared" si="26"/>
        <v>Error?</v>
      </c>
    </row>
    <row r="1778" spans="1:4" x14ac:dyDescent="0.2">
      <c r="A1778" s="5">
        <v>1717</v>
      </c>
      <c r="B1778" s="138">
        <f>'Tax Sched 23'!C6</f>
        <v>1398202</v>
      </c>
      <c r="D1778" s="2" t="str">
        <f t="shared" si="26"/>
        <v>Error?</v>
      </c>
    </row>
    <row r="1779" spans="1:4" x14ac:dyDescent="0.2">
      <c r="A1779" s="5">
        <v>1718</v>
      </c>
      <c r="B1779" s="138">
        <f>'Tax Sched 23'!C7</f>
        <v>412327</v>
      </c>
      <c r="D1779" s="2" t="str">
        <f t="shared" si="26"/>
        <v>Error?</v>
      </c>
    </row>
    <row r="1780" spans="1:4" x14ac:dyDescent="0.2">
      <c r="A1780" s="5">
        <v>1719</v>
      </c>
      <c r="B1780" s="138">
        <f>'Tax Sched 23'!C8</f>
        <v>185135</v>
      </c>
      <c r="D1780" s="2" t="str">
        <f t="shared" si="26"/>
        <v>Error?</v>
      </c>
    </row>
    <row r="1781" spans="1:4" x14ac:dyDescent="0.2">
      <c r="A1781" s="5">
        <v>1720</v>
      </c>
      <c r="B1781" s="138">
        <f>'Tax Sched 23'!C10</f>
        <v>103082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412946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82466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8697838</v>
      </c>
      <c r="C1791" s="2" t="s">
        <v>593</v>
      </c>
      <c r="D1791" s="2" t="str">
        <f t="shared" ref="D1791:D1854" si="27">IF(ISBLANK(B1791),"OK",IF(A1791-B1791=0,"OK","Error?"))</f>
        <v>Error?</v>
      </c>
    </row>
    <row r="1792" spans="1:4" x14ac:dyDescent="0.2">
      <c r="A1792" s="5">
        <v>1731</v>
      </c>
      <c r="B1792" s="138">
        <f>'Tax Sched 23'!F4</f>
        <v>3665285</v>
      </c>
      <c r="C1792" s="2" t="s">
        <v>593</v>
      </c>
      <c r="D1792" s="2" t="str">
        <f t="shared" si="27"/>
        <v>Error?</v>
      </c>
    </row>
    <row r="1793" spans="1:4" x14ac:dyDescent="0.2">
      <c r="A1793" s="5">
        <v>1732</v>
      </c>
      <c r="B1793" s="138">
        <f>'Tax Sched 23'!F5</f>
        <v>779848</v>
      </c>
      <c r="C1793" s="2" t="s">
        <v>593</v>
      </c>
      <c r="D1793" s="2" t="str">
        <f t="shared" si="27"/>
        <v>Error?</v>
      </c>
    </row>
    <row r="1794" spans="1:4" x14ac:dyDescent="0.2">
      <c r="A1794" s="5">
        <v>1733</v>
      </c>
      <c r="B1794" s="138">
        <f>'Tax Sched 23'!F6</f>
        <v>1057785</v>
      </c>
      <c r="C1794" s="2" t="s">
        <v>593</v>
      </c>
      <c r="D1794" s="2" t="str">
        <f t="shared" si="27"/>
        <v>Error?</v>
      </c>
    </row>
    <row r="1795" spans="1:4" x14ac:dyDescent="0.2">
      <c r="A1795" s="5">
        <v>1734</v>
      </c>
      <c r="B1795" s="138">
        <f>'Tax Sched 23'!F7</f>
        <v>311939</v>
      </c>
      <c r="C1795" s="2" t="s">
        <v>593</v>
      </c>
      <c r="D1795" s="2" t="str">
        <f t="shared" si="27"/>
        <v>Error?</v>
      </c>
    </row>
    <row r="1796" spans="1:4" x14ac:dyDescent="0.2">
      <c r="A1796" s="5">
        <v>1735</v>
      </c>
      <c r="B1796" s="138">
        <f>'Tax Sched 23'!F8</f>
        <v>140061</v>
      </c>
      <c r="C1796" s="2" t="s">
        <v>593</v>
      </c>
      <c r="D1796" s="2" t="str">
        <f t="shared" si="27"/>
        <v>Error?</v>
      </c>
    </row>
    <row r="1797" spans="1:4" x14ac:dyDescent="0.2">
      <c r="A1797" s="5">
        <v>1736</v>
      </c>
      <c r="B1797" s="138">
        <f>'Tax Sched 23'!F10</f>
        <v>77985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312407</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62387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6580200</v>
      </c>
      <c r="C1807" s="2" t="s">
        <v>593</v>
      </c>
      <c r="D1807" s="2" t="str">
        <f t="shared" si="27"/>
        <v>Error?</v>
      </c>
    </row>
    <row r="1808" spans="1:4" x14ac:dyDescent="0.2">
      <c r="A1808" s="5">
        <v>1747</v>
      </c>
      <c r="B1808" s="138">
        <f>'Tax Sched 23'!E4</f>
        <v>8510130</v>
      </c>
      <c r="D1808" s="2" t="str">
        <f t="shared" si="27"/>
        <v>Error?</v>
      </c>
    </row>
    <row r="1809" spans="1:4" x14ac:dyDescent="0.2">
      <c r="A1809" s="5">
        <v>1748</v>
      </c>
      <c r="B1809" s="138">
        <f>'Tax Sched 23'!E5</f>
        <v>1810666</v>
      </c>
      <c r="D1809" s="2" t="str">
        <f t="shared" si="27"/>
        <v>Error?</v>
      </c>
    </row>
    <row r="1810" spans="1:4" x14ac:dyDescent="0.2">
      <c r="A1810" s="5">
        <v>1749</v>
      </c>
      <c r="B1810" s="138">
        <f>'Tax Sched 23'!E6</f>
        <v>2455987</v>
      </c>
      <c r="D1810" s="2" t="str">
        <f t="shared" si="27"/>
        <v>Error?</v>
      </c>
    </row>
    <row r="1811" spans="1:4" x14ac:dyDescent="0.2">
      <c r="A1811" s="5">
        <v>1750</v>
      </c>
      <c r="B1811" s="138">
        <f>'Tax Sched 23'!E7</f>
        <v>724266</v>
      </c>
      <c r="D1811" s="2" t="str">
        <f t="shared" si="27"/>
        <v>Error?</v>
      </c>
    </row>
    <row r="1812" spans="1:4" x14ac:dyDescent="0.2">
      <c r="A1812" s="5">
        <v>1751</v>
      </c>
      <c r="B1812" s="138">
        <f>'Tax Sched 23'!E8</f>
        <v>325196</v>
      </c>
      <c r="D1812" s="2" t="str">
        <f t="shared" si="27"/>
        <v>Error?</v>
      </c>
    </row>
    <row r="1813" spans="1:4" x14ac:dyDescent="0.2">
      <c r="A1813" s="5">
        <v>1752</v>
      </c>
      <c r="B1813" s="138">
        <f>'Tax Sched 23'!E10</f>
        <v>181067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725353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144853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15278038</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35755678</v>
      </c>
      <c r="C1939" s="2" t="s">
        <v>593</v>
      </c>
      <c r="D1939" s="2" t="str">
        <f t="shared" si="29"/>
        <v>Error?</v>
      </c>
    </row>
    <row r="1940" spans="1:5" x14ac:dyDescent="0.2">
      <c r="A1940" s="5">
        <v>1879</v>
      </c>
      <c r="B1940" s="138">
        <f>'Short-Term Long-Term Debt 24'!F49</f>
        <v>4170000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144369</v>
      </c>
      <c r="D1972" s="2" t="str">
        <f t="shared" si="29"/>
        <v>Error?</v>
      </c>
    </row>
    <row r="1973" spans="1:5" x14ac:dyDescent="0.2">
      <c r="A1973" s="5">
        <v>1912</v>
      </c>
      <c r="B1973" s="138">
        <f>'Rest Tax Levies-Tort Im 25'!H6</f>
        <v>95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144464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144464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542305</v>
      </c>
      <c r="D2008" s="2" t="str">
        <f t="shared" si="30"/>
        <v>Error?</v>
      </c>
    </row>
    <row r="2009" spans="1:4" x14ac:dyDescent="0.2">
      <c r="A2009" s="5">
        <v>1948</v>
      </c>
      <c r="B2009" s="138">
        <f>'Cap Outlay Deprec 26'!C8</f>
        <v>42388988</v>
      </c>
      <c r="D2009" s="2" t="str">
        <f t="shared" si="30"/>
        <v>Error?</v>
      </c>
    </row>
    <row r="2010" spans="1:4" x14ac:dyDescent="0.2">
      <c r="A2010" s="5">
        <v>1949</v>
      </c>
      <c r="B2010" s="138">
        <f>'Cap Outlay Deprec 26'!C10</f>
        <v>587130</v>
      </c>
      <c r="D2010" s="2" t="str">
        <f t="shared" si="30"/>
        <v>Error?</v>
      </c>
    </row>
    <row r="2011" spans="1:4" x14ac:dyDescent="0.2">
      <c r="A2011" s="5">
        <v>1950</v>
      </c>
      <c r="B2011" s="138">
        <f>'Cap Outlay Deprec 26'!C12</f>
        <v>2464498</v>
      </c>
      <c r="D2011" s="2" t="str">
        <f t="shared" si="30"/>
        <v>Error?</v>
      </c>
    </row>
    <row r="2012" spans="1:4" x14ac:dyDescent="0.2">
      <c r="A2012" s="5">
        <v>1951</v>
      </c>
      <c r="B2012" s="138">
        <f>'Cap Outlay Deprec 26'!C13</f>
        <v>170960</v>
      </c>
      <c r="D2012" s="2" t="str">
        <f t="shared" si="30"/>
        <v>Error?</v>
      </c>
    </row>
    <row r="2013" spans="1:4" x14ac:dyDescent="0.2">
      <c r="A2013" s="5">
        <v>1952</v>
      </c>
      <c r="B2013" s="138">
        <f>'Cap Outlay Deprec 26'!C16</f>
        <v>46217104</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14649038</v>
      </c>
      <c r="D2015" s="2" t="str">
        <f t="shared" si="30"/>
        <v>Error?</v>
      </c>
    </row>
    <row r="2016" spans="1:4" x14ac:dyDescent="0.2">
      <c r="A2016" s="5">
        <v>1955</v>
      </c>
      <c r="B2016" s="138">
        <f>'Cap Outlay Deprec 26'!D10</f>
        <v>54512</v>
      </c>
      <c r="D2016" s="2" t="str">
        <f t="shared" si="30"/>
        <v>Error?</v>
      </c>
    </row>
    <row r="2017" spans="1:4" x14ac:dyDescent="0.2">
      <c r="A2017" s="5">
        <v>1956</v>
      </c>
      <c r="B2017" s="138">
        <f>'Cap Outlay Deprec 26'!D12</f>
        <v>95497</v>
      </c>
      <c r="D2017" s="2" t="str">
        <f t="shared" si="30"/>
        <v>Error?</v>
      </c>
    </row>
    <row r="2018" spans="1:4" x14ac:dyDescent="0.2">
      <c r="A2018" s="5">
        <v>1957</v>
      </c>
      <c r="B2018" s="138">
        <f>'Cap Outlay Deprec 26'!D13</f>
        <v>24995</v>
      </c>
      <c r="D2018" s="2" t="str">
        <f t="shared" si="30"/>
        <v>Error?</v>
      </c>
    </row>
    <row r="2019" spans="1:4" x14ac:dyDescent="0.2">
      <c r="A2019" s="5">
        <v>1958</v>
      </c>
      <c r="B2019" s="138">
        <f>'Cap Outlay Deprec 26'!D16</f>
        <v>15340494</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43173</v>
      </c>
      <c r="D2023" s="2" t="str">
        <f t="shared" si="30"/>
        <v>Error?</v>
      </c>
    </row>
    <row r="2024" spans="1:4" x14ac:dyDescent="0.2">
      <c r="A2024" s="5">
        <v>1963</v>
      </c>
      <c r="B2024" s="138">
        <f>'Cap Outlay Deprec 26'!E13</f>
        <v>130099</v>
      </c>
      <c r="D2024" s="2" t="str">
        <f t="shared" si="30"/>
        <v>Error?</v>
      </c>
    </row>
    <row r="2025" spans="1:4" x14ac:dyDescent="0.2">
      <c r="A2025" s="5">
        <v>1964</v>
      </c>
      <c r="B2025" s="138">
        <f>'Cap Outlay Deprec 26'!E16</f>
        <v>173272</v>
      </c>
      <c r="C2025" s="2" t="s">
        <v>593</v>
      </c>
      <c r="D2025" s="2" t="str">
        <f t="shared" si="30"/>
        <v>Error?</v>
      </c>
    </row>
    <row r="2026" spans="1:4" x14ac:dyDescent="0.2">
      <c r="A2026" s="5">
        <v>1965</v>
      </c>
      <c r="B2026" s="138">
        <f>'Cap Outlay Deprec 26'!F5</f>
        <v>542305</v>
      </c>
      <c r="C2026" s="2" t="s">
        <v>593</v>
      </c>
      <c r="D2026" s="2" t="str">
        <f t="shared" si="30"/>
        <v>Error?</v>
      </c>
    </row>
    <row r="2027" spans="1:4" x14ac:dyDescent="0.2">
      <c r="A2027" s="5">
        <v>1966</v>
      </c>
      <c r="B2027" s="138">
        <f>'Cap Outlay Deprec 26'!F8</f>
        <v>57038026</v>
      </c>
      <c r="C2027" s="2" t="s">
        <v>593</v>
      </c>
      <c r="D2027" s="2" t="str">
        <f t="shared" si="30"/>
        <v>Error?</v>
      </c>
    </row>
    <row r="2028" spans="1:4" x14ac:dyDescent="0.2">
      <c r="A2028" s="5">
        <v>1967</v>
      </c>
      <c r="B2028" s="138">
        <f>'Cap Outlay Deprec 26'!F10</f>
        <v>641642</v>
      </c>
      <c r="C2028" s="2" t="s">
        <v>593</v>
      </c>
      <c r="D2028" s="2" t="str">
        <f t="shared" si="30"/>
        <v>Error?</v>
      </c>
    </row>
    <row r="2029" spans="1:4" x14ac:dyDescent="0.2">
      <c r="A2029" s="5">
        <v>1968</v>
      </c>
      <c r="B2029" s="138">
        <f>'Cap Outlay Deprec 26'!F12</f>
        <v>2516822</v>
      </c>
      <c r="C2029" s="2" t="s">
        <v>593</v>
      </c>
      <c r="D2029" s="2" t="str">
        <f t="shared" si="30"/>
        <v>Error?</v>
      </c>
    </row>
    <row r="2030" spans="1:4" x14ac:dyDescent="0.2">
      <c r="A2030" s="5">
        <v>1969</v>
      </c>
      <c r="B2030" s="138">
        <f>'Cap Outlay Deprec 26'!F13</f>
        <v>65856</v>
      </c>
      <c r="C2030" s="2" t="s">
        <v>593</v>
      </c>
      <c r="D2030" s="2" t="str">
        <f t="shared" si="30"/>
        <v>Error?</v>
      </c>
    </row>
    <row r="2031" spans="1:4" x14ac:dyDescent="0.2">
      <c r="A2031" s="5">
        <v>1970</v>
      </c>
      <c r="B2031" s="138">
        <f>'Cap Outlay Deprec 26'!F16</f>
        <v>61384326</v>
      </c>
      <c r="C2031" s="2" t="s">
        <v>593</v>
      </c>
      <c r="D2031" s="2" t="str">
        <f t="shared" si="30"/>
        <v>Error?</v>
      </c>
    </row>
    <row r="2032" spans="1:4" x14ac:dyDescent="0.2">
      <c r="A2032" s="10">
        <v>1971</v>
      </c>
      <c r="D2032" s="2" t="str">
        <f t="shared" si="30"/>
        <v>OK</v>
      </c>
    </row>
    <row r="2033" spans="1:4" x14ac:dyDescent="0.2">
      <c r="A2033" s="5">
        <v>1972</v>
      </c>
      <c r="B2033" s="138">
        <f>'Cap Outlay Deprec 26'!H8</f>
        <v>13894147</v>
      </c>
      <c r="D2033" s="2" t="str">
        <f t="shared" si="30"/>
        <v>Error?</v>
      </c>
    </row>
    <row r="2034" spans="1:4" x14ac:dyDescent="0.2">
      <c r="A2034" s="5">
        <v>1973</v>
      </c>
      <c r="B2034" s="138">
        <f>'Cap Outlay Deprec 26'!H10</f>
        <v>366905</v>
      </c>
      <c r="D2034" s="2" t="str">
        <f t="shared" si="30"/>
        <v>Error?</v>
      </c>
    </row>
    <row r="2035" spans="1:4" x14ac:dyDescent="0.2">
      <c r="A2035" s="5">
        <v>1974</v>
      </c>
      <c r="B2035" s="138">
        <f>'Cap Outlay Deprec 26'!H12</f>
        <v>1401296</v>
      </c>
      <c r="D2035" s="2" t="str">
        <f t="shared" si="30"/>
        <v>Error?</v>
      </c>
    </row>
    <row r="2036" spans="1:4" x14ac:dyDescent="0.2">
      <c r="A2036" s="5">
        <v>1975</v>
      </c>
      <c r="B2036" s="138">
        <f>'Cap Outlay Deprec 26'!H13</f>
        <v>157882</v>
      </c>
      <c r="D2036" s="2" t="str">
        <f t="shared" si="30"/>
        <v>Error?</v>
      </c>
    </row>
    <row r="2037" spans="1:4" x14ac:dyDescent="0.2">
      <c r="A2037" s="5">
        <v>1976</v>
      </c>
      <c r="B2037" s="138">
        <f>'Cap Outlay Deprec 26'!H16</f>
        <v>15883453</v>
      </c>
      <c r="C2037" s="2" t="s">
        <v>593</v>
      </c>
      <c r="D2037" s="2" t="str">
        <f t="shared" si="30"/>
        <v>Error?</v>
      </c>
    </row>
    <row r="2038" spans="1:4" x14ac:dyDescent="0.2">
      <c r="A2038" s="10">
        <v>1977</v>
      </c>
      <c r="D2038" s="2" t="str">
        <f t="shared" si="30"/>
        <v>OK</v>
      </c>
    </row>
    <row r="2039" spans="1:4" x14ac:dyDescent="0.2">
      <c r="A2039" s="5">
        <v>1978</v>
      </c>
      <c r="B2039" s="138">
        <f>'Cap Outlay Deprec 26'!I8</f>
        <v>1071119</v>
      </c>
      <c r="D2039" s="2" t="str">
        <f t="shared" si="30"/>
        <v>Error?</v>
      </c>
    </row>
    <row r="2040" spans="1:4" x14ac:dyDescent="0.2">
      <c r="A2040" s="5">
        <v>1979</v>
      </c>
      <c r="B2040" s="138">
        <f>'Cap Outlay Deprec 26'!I10</f>
        <v>20963</v>
      </c>
      <c r="D2040" s="2" t="str">
        <f t="shared" si="30"/>
        <v>Error?</v>
      </c>
    </row>
    <row r="2041" spans="1:4" x14ac:dyDescent="0.2">
      <c r="A2041" s="5">
        <v>1980</v>
      </c>
      <c r="B2041" s="138">
        <f>'Cap Outlay Deprec 26'!I12</f>
        <v>251685</v>
      </c>
      <c r="D2041" s="2" t="str">
        <f t="shared" si="30"/>
        <v>Error?</v>
      </c>
    </row>
    <row r="2042" spans="1:4" x14ac:dyDescent="0.2">
      <c r="A2042" s="5">
        <v>1981</v>
      </c>
      <c r="B2042" s="138">
        <f>'Cap Outlay Deprec 26'!I13</f>
        <v>13173</v>
      </c>
      <c r="D2042" s="2" t="str">
        <f t="shared" si="30"/>
        <v>Error?</v>
      </c>
    </row>
    <row r="2043" spans="1:4" x14ac:dyDescent="0.2">
      <c r="A2043" s="5">
        <v>1982</v>
      </c>
      <c r="B2043" s="138">
        <f>'Cap Outlay Deprec 26'!I16</f>
        <v>1357541</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43173</v>
      </c>
      <c r="D2047" s="2" t="str">
        <f t="shared" ref="D2047:D2110" si="31">IF(ISBLANK(B2047),"OK",IF(A2047-B2047=0,"OK","Error?"))</f>
        <v>Error?</v>
      </c>
    </row>
    <row r="2048" spans="1:4" x14ac:dyDescent="0.2">
      <c r="A2048" s="5">
        <v>1987</v>
      </c>
      <c r="B2048" s="138">
        <f>'Cap Outlay Deprec 26'!J13</f>
        <v>130099</v>
      </c>
      <c r="D2048" s="2" t="str">
        <f t="shared" si="31"/>
        <v>Error?</v>
      </c>
    </row>
    <row r="2049" spans="1:4" x14ac:dyDescent="0.2">
      <c r="A2049" s="5">
        <v>1988</v>
      </c>
      <c r="B2049" s="138">
        <f>'Cap Outlay Deprec 26'!J16</f>
        <v>173272</v>
      </c>
      <c r="C2049" s="2" t="s">
        <v>593</v>
      </c>
      <c r="D2049" s="2" t="str">
        <f t="shared" si="31"/>
        <v>Error?</v>
      </c>
    </row>
    <row r="2050" spans="1:4" x14ac:dyDescent="0.2">
      <c r="A2050" s="10">
        <v>1989</v>
      </c>
      <c r="D2050" s="2" t="str">
        <f t="shared" si="31"/>
        <v>OK</v>
      </c>
    </row>
    <row r="2051" spans="1:4" x14ac:dyDescent="0.2">
      <c r="A2051" s="5">
        <v>1990</v>
      </c>
      <c r="B2051" s="138">
        <f>'Cap Outlay Deprec 26'!K8</f>
        <v>14965266</v>
      </c>
      <c r="C2051" s="2" t="s">
        <v>593</v>
      </c>
      <c r="D2051" s="2" t="str">
        <f t="shared" si="31"/>
        <v>Error?</v>
      </c>
    </row>
    <row r="2052" spans="1:4" x14ac:dyDescent="0.2">
      <c r="A2052" s="5">
        <v>1991</v>
      </c>
      <c r="B2052" s="138">
        <f>'Cap Outlay Deprec 26'!K10</f>
        <v>387868</v>
      </c>
      <c r="C2052" s="2" t="s">
        <v>593</v>
      </c>
      <c r="D2052" s="2" t="str">
        <f t="shared" si="31"/>
        <v>Error?</v>
      </c>
    </row>
    <row r="2053" spans="1:4" x14ac:dyDescent="0.2">
      <c r="A2053" s="5">
        <v>1992</v>
      </c>
      <c r="B2053" s="138">
        <f>'Cap Outlay Deprec 26'!K12</f>
        <v>1609808</v>
      </c>
      <c r="C2053" s="2" t="s">
        <v>593</v>
      </c>
      <c r="D2053" s="2" t="str">
        <f t="shared" si="31"/>
        <v>Error?</v>
      </c>
    </row>
    <row r="2054" spans="1:4" x14ac:dyDescent="0.2">
      <c r="A2054" s="5">
        <v>1993</v>
      </c>
      <c r="B2054" s="138">
        <f>'Cap Outlay Deprec 26'!K13</f>
        <v>40956</v>
      </c>
      <c r="C2054" s="2" t="s">
        <v>593</v>
      </c>
      <c r="D2054" s="2" t="str">
        <f t="shared" si="31"/>
        <v>Error?</v>
      </c>
    </row>
    <row r="2055" spans="1:4" x14ac:dyDescent="0.2">
      <c r="A2055" s="5">
        <v>1994</v>
      </c>
      <c r="B2055" s="138">
        <f>'Cap Outlay Deprec 26'!K16</f>
        <v>17067722</v>
      </c>
      <c r="C2055" s="2" t="s">
        <v>593</v>
      </c>
      <c r="D2055" s="2" t="str">
        <f t="shared" si="31"/>
        <v>Error?</v>
      </c>
    </row>
    <row r="2056" spans="1:4" x14ac:dyDescent="0.2">
      <c r="A2056" s="5">
        <v>1995</v>
      </c>
      <c r="B2056" s="138">
        <f>'Cap Outlay Deprec 26'!L5</f>
        <v>542305</v>
      </c>
      <c r="C2056" s="2" t="s">
        <v>593</v>
      </c>
      <c r="D2056" s="2" t="str">
        <f t="shared" si="31"/>
        <v>Error?</v>
      </c>
    </row>
    <row r="2057" spans="1:4" x14ac:dyDescent="0.2">
      <c r="A2057" s="5">
        <v>1996</v>
      </c>
      <c r="B2057" s="138">
        <f>'Cap Outlay Deprec 26'!L8</f>
        <v>42072760</v>
      </c>
      <c r="C2057" s="2" t="s">
        <v>593</v>
      </c>
      <c r="D2057" s="2" t="str">
        <f t="shared" si="31"/>
        <v>Error?</v>
      </c>
    </row>
    <row r="2058" spans="1:4" x14ac:dyDescent="0.2">
      <c r="A2058" s="5">
        <v>1997</v>
      </c>
      <c r="B2058" s="138">
        <f>'Cap Outlay Deprec 26'!L10</f>
        <v>253774</v>
      </c>
      <c r="C2058" s="2" t="s">
        <v>593</v>
      </c>
      <c r="D2058" s="2" t="str">
        <f t="shared" si="31"/>
        <v>Error?</v>
      </c>
    </row>
    <row r="2059" spans="1:4" x14ac:dyDescent="0.2">
      <c r="A2059" s="5">
        <v>1998</v>
      </c>
      <c r="B2059" s="138">
        <f>'Cap Outlay Deprec 26'!L12</f>
        <v>907014</v>
      </c>
      <c r="C2059" s="2" t="s">
        <v>593</v>
      </c>
      <c r="D2059" s="2" t="str">
        <f t="shared" si="31"/>
        <v>Error?</v>
      </c>
    </row>
    <row r="2060" spans="1:4" x14ac:dyDescent="0.2">
      <c r="A2060" s="5">
        <v>1999</v>
      </c>
      <c r="B2060" s="138">
        <f>'Cap Outlay Deprec 26'!L13</f>
        <v>24900</v>
      </c>
      <c r="C2060" s="2" t="s">
        <v>593</v>
      </c>
      <c r="D2060" s="2" t="str">
        <f t="shared" si="31"/>
        <v>Error?</v>
      </c>
    </row>
    <row r="2061" spans="1:4" x14ac:dyDescent="0.2">
      <c r="A2061" s="5">
        <v>2000</v>
      </c>
      <c r="B2061" s="138">
        <f>'Cap Outlay Deprec 26'!L16</f>
        <v>44316604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9098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9098</v>
      </c>
      <c r="C2088" s="2" t="s">
        <v>593</v>
      </c>
      <c r="D2088" s="2" t="str">
        <f t="shared" si="31"/>
        <v>Error?</v>
      </c>
    </row>
    <row r="2089" spans="1:4" x14ac:dyDescent="0.2">
      <c r="A2089" s="5">
        <v>2028</v>
      </c>
      <c r="B2089" s="138">
        <f>'Expenditures 15-22'!K92</f>
        <v>1223042</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123412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514964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2384789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10455927</v>
      </c>
      <c r="C2551" s="2" t="s">
        <v>593</v>
      </c>
      <c r="D2551" s="2" t="str">
        <f t="shared" si="38"/>
        <v>Error?</v>
      </c>
    </row>
    <row r="2552" spans="1:4" x14ac:dyDescent="0.2">
      <c r="A2552" s="10">
        <v>2491</v>
      </c>
      <c r="D2552" s="2" t="str">
        <f t="shared" si="38"/>
        <v>OK</v>
      </c>
    </row>
    <row r="2553" spans="1:4" x14ac:dyDescent="0.2">
      <c r="A2553" s="5">
        <v>2492</v>
      </c>
      <c r="B2553" s="138">
        <f>'Acct Summary 7-8'!C6</f>
        <v>5649673</v>
      </c>
      <c r="C2553" s="2" t="s">
        <v>593</v>
      </c>
      <c r="D2553" s="2" t="str">
        <f t="shared" si="38"/>
        <v>Error?</v>
      </c>
    </row>
    <row r="2554" spans="1:4" x14ac:dyDescent="0.2">
      <c r="A2554" s="5">
        <v>2493</v>
      </c>
      <c r="B2554" s="138">
        <f>'Acct Summary 7-8'!C7</f>
        <v>761239</v>
      </c>
      <c r="C2554" s="2" t="s">
        <v>593</v>
      </c>
      <c r="D2554" s="2" t="str">
        <f t="shared" si="38"/>
        <v>Error?</v>
      </c>
    </row>
    <row r="2555" spans="1:4" x14ac:dyDescent="0.2">
      <c r="A2555" s="5">
        <v>2494</v>
      </c>
      <c r="B2555" s="138">
        <f>'Acct Summary 7-8'!C8</f>
        <v>16866839</v>
      </c>
      <c r="C2555" s="2" t="s">
        <v>593</v>
      </c>
      <c r="D2555" s="2" t="str">
        <f t="shared" si="38"/>
        <v>Error?</v>
      </c>
    </row>
    <row r="2556" spans="1:4" x14ac:dyDescent="0.2">
      <c r="A2556" s="5">
        <v>2495</v>
      </c>
      <c r="B2556" s="138">
        <f>'Acct Summary 7-8'!C12</f>
        <v>10493058</v>
      </c>
      <c r="C2556" s="2" t="s">
        <v>593</v>
      </c>
      <c r="D2556" s="2" t="str">
        <f t="shared" si="38"/>
        <v>Error?</v>
      </c>
    </row>
    <row r="2557" spans="1:4" x14ac:dyDescent="0.2">
      <c r="A2557" s="5">
        <v>2496</v>
      </c>
      <c r="B2557" s="138">
        <f>'Acct Summary 7-8'!C13</f>
        <v>5188826</v>
      </c>
      <c r="C2557" s="2" t="s">
        <v>593</v>
      </c>
      <c r="D2557" s="2" t="str">
        <f t="shared" si="38"/>
        <v>Error?</v>
      </c>
    </row>
    <row r="2558" spans="1:4" x14ac:dyDescent="0.2">
      <c r="A2558" s="5">
        <v>2497</v>
      </c>
      <c r="B2558" s="138">
        <f>'Acct Summary 7-8'!C14</f>
        <v>143098</v>
      </c>
      <c r="C2558" s="2" t="s">
        <v>593</v>
      </c>
      <c r="D2558" s="2" t="str">
        <f t="shared" si="38"/>
        <v>Error?</v>
      </c>
    </row>
    <row r="2559" spans="1:4" x14ac:dyDescent="0.2">
      <c r="A2559" s="5">
        <v>2498</v>
      </c>
      <c r="B2559" s="138">
        <f>'Acct Summary 7-8'!C15</f>
        <v>1232140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17057122</v>
      </c>
      <c r="C2561" s="2" t="s">
        <v>593</v>
      </c>
      <c r="D2561" s="2" t="str">
        <f t="shared" si="39"/>
        <v>Error?</v>
      </c>
    </row>
    <row r="2562" spans="1:4" x14ac:dyDescent="0.2">
      <c r="A2562" s="5">
        <v>2501</v>
      </c>
      <c r="B2562" s="138">
        <f>'Acct Summary 7-8'!C20</f>
        <v>-190283</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1827110</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1827110</v>
      </c>
      <c r="C2568" s="2" t="s">
        <v>593</v>
      </c>
      <c r="D2568" s="2" t="str">
        <f t="shared" si="39"/>
        <v>Error?</v>
      </c>
    </row>
    <row r="2569" spans="1:4" x14ac:dyDescent="0.2">
      <c r="A2569" s="5">
        <v>2508</v>
      </c>
      <c r="B2569" s="138">
        <f>'Acct Summary 7-8'!D13</f>
        <v>2088149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2088149</v>
      </c>
      <c r="C2573" s="2" t="s">
        <v>593</v>
      </c>
      <c r="D2573" s="2" t="str">
        <f t="shared" si="39"/>
        <v>Error?</v>
      </c>
    </row>
    <row r="2574" spans="1:4" x14ac:dyDescent="0.2">
      <c r="A2574" s="5">
        <v>2513</v>
      </c>
      <c r="B2574" s="138">
        <f>'Acct Summary 7-8'!D20</f>
        <v>-261039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734230</v>
      </c>
      <c r="C2591" s="2" t="s">
        <v>593</v>
      </c>
      <c r="D2591" s="2" t="str">
        <f t="shared" si="39"/>
        <v>Error?</v>
      </c>
    </row>
    <row r="2592" spans="1:4" x14ac:dyDescent="0.2">
      <c r="A2592" s="10">
        <v>2531</v>
      </c>
      <c r="D2592" s="2" t="str">
        <f t="shared" si="39"/>
        <v>OK</v>
      </c>
    </row>
    <row r="2593" spans="1:4" x14ac:dyDescent="0.2">
      <c r="A2593" s="5">
        <v>2532</v>
      </c>
      <c r="B2593" s="138">
        <f>'Acct Summary 7-8'!F6</f>
        <v>1405568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2139798</v>
      </c>
      <c r="C2595" s="2" t="s">
        <v>593</v>
      </c>
      <c r="D2595" s="2" t="str">
        <f t="shared" si="39"/>
        <v>Error?</v>
      </c>
    </row>
    <row r="2596" spans="1:4" x14ac:dyDescent="0.2">
      <c r="A2596" s="5">
        <v>2535</v>
      </c>
      <c r="B2596" s="138">
        <f>'Acct Summary 7-8'!F13</f>
        <v>1878181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1878181</v>
      </c>
      <c r="C2600" s="2" t="s">
        <v>593</v>
      </c>
      <c r="D2600" s="2" t="str">
        <f t="shared" si="39"/>
        <v>Error?</v>
      </c>
    </row>
    <row r="2601" spans="1:4" x14ac:dyDescent="0.2">
      <c r="A2601" s="5">
        <v>2540</v>
      </c>
      <c r="B2601" s="138">
        <f>'Acct Summary 7-8'!F20</f>
        <v>261617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701233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701233</v>
      </c>
      <c r="C2606" s="2" t="s">
        <v>593</v>
      </c>
      <c r="D2606" s="2" t="str">
        <f t="shared" si="39"/>
        <v>Error?</v>
      </c>
    </row>
    <row r="2607" spans="1:4" x14ac:dyDescent="0.2">
      <c r="A2607" s="5">
        <v>2546</v>
      </c>
      <c r="B2607" s="138">
        <f>'Acct Summary 7-8'!G12</f>
        <v>184526</v>
      </c>
      <c r="C2607" s="2" t="s">
        <v>593</v>
      </c>
      <c r="D2607" s="2" t="str">
        <f t="shared" si="39"/>
        <v>Error?</v>
      </c>
    </row>
    <row r="2608" spans="1:4" x14ac:dyDescent="0.2">
      <c r="A2608" s="5">
        <v>2547</v>
      </c>
      <c r="B2608" s="138">
        <f>'Acct Summary 7-8'!G13</f>
        <v>414369</v>
      </c>
      <c r="C2608" s="2" t="s">
        <v>593</v>
      </c>
      <c r="D2608" s="2" t="str">
        <f t="shared" si="39"/>
        <v>Error?</v>
      </c>
    </row>
    <row r="2609" spans="1:4" x14ac:dyDescent="0.2">
      <c r="A2609" s="5">
        <v>2548</v>
      </c>
      <c r="B2609" s="138">
        <f>'Acct Summary 7-8'!G14</f>
        <v>16121</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649499</v>
      </c>
      <c r="C2612" s="2" t="s">
        <v>593</v>
      </c>
      <c r="D2612" s="2" t="str">
        <f t="shared" si="39"/>
        <v>Error?</v>
      </c>
    </row>
    <row r="2613" spans="1:4" x14ac:dyDescent="0.2">
      <c r="A2613" s="5">
        <v>2552</v>
      </c>
      <c r="B2613" s="138">
        <f>'Acct Summary 7-8'!G20</f>
        <v>51734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2501776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2501776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3238347</v>
      </c>
      <c r="C2634" s="2" t="s">
        <v>593</v>
      </c>
      <c r="D2634" s="2" t="str">
        <f t="shared" si="40"/>
        <v>Error?</v>
      </c>
    </row>
    <row r="2635" spans="1:4" x14ac:dyDescent="0.2">
      <c r="A2635" s="5">
        <v>2574</v>
      </c>
      <c r="B2635" s="138">
        <f>'Acct Summary 7-8'!E17</f>
        <v>3238347</v>
      </c>
      <c r="C2635" s="2" t="s">
        <v>593</v>
      </c>
      <c r="D2635" s="2" t="str">
        <f t="shared" si="40"/>
        <v>Error?</v>
      </c>
    </row>
    <row r="2636" spans="1:4" x14ac:dyDescent="0.2">
      <c r="A2636" s="5">
        <v>2575</v>
      </c>
      <c r="B2636" s="138">
        <f>'Acct Summary 7-8'!E20</f>
        <v>-736571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1132915</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1132915</v>
      </c>
      <c r="C2658" s="2" t="s">
        <v>593</v>
      </c>
      <c r="D2658" s="2" t="str">
        <f t="shared" si="40"/>
        <v>Error?</v>
      </c>
    </row>
    <row r="2659" spans="1:4" x14ac:dyDescent="0.2">
      <c r="A2659" s="5">
        <v>2598</v>
      </c>
      <c r="B2659" s="138">
        <f>'Acct Summary 7-8'!H13</f>
        <v>10222409</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10222409</v>
      </c>
      <c r="C2661" s="2" t="s">
        <v>593</v>
      </c>
      <c r="D2661" s="2" t="str">
        <f t="shared" si="40"/>
        <v>Error?</v>
      </c>
    </row>
    <row r="2662" spans="1:4" x14ac:dyDescent="0.2">
      <c r="A2662" s="5">
        <v>2601</v>
      </c>
      <c r="B2662" s="138">
        <f>'Acct Summary 7-8'!H20</f>
        <v>-9089494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504442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5111595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198900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3090077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5111595</v>
      </c>
      <c r="D2912" s="2" t="str">
        <f t="shared" si="44"/>
        <v>Error?</v>
      </c>
    </row>
    <row r="2913" spans="1:4" x14ac:dyDescent="0.2">
      <c r="A2913" s="5">
        <v>2852</v>
      </c>
      <c r="B2913" s="138">
        <f>'Assets-Liab 5-6'!I41</f>
        <v>5111595</v>
      </c>
      <c r="C2913" s="2" t="s">
        <v>593</v>
      </c>
      <c r="D2913" s="2" t="str">
        <f t="shared" si="44"/>
        <v>Error?</v>
      </c>
    </row>
    <row r="2914" spans="1:4" x14ac:dyDescent="0.2">
      <c r="A2914" s="5">
        <v>2853</v>
      </c>
      <c r="B2914" s="138">
        <f>'Assets-Liab 5-6'!L33</f>
        <v>348142</v>
      </c>
      <c r="D2914" s="2" t="str">
        <f t="shared" si="44"/>
        <v>Error?</v>
      </c>
    </row>
    <row r="2915" spans="1:4" x14ac:dyDescent="0.2">
      <c r="A2915" s="10">
        <v>2854</v>
      </c>
      <c r="D2915" s="2" t="str">
        <f t="shared" si="44"/>
        <v>OK</v>
      </c>
    </row>
    <row r="2916" spans="1:4" x14ac:dyDescent="0.2">
      <c r="A2916" s="5">
        <v>2855</v>
      </c>
      <c r="B2916" s="138">
        <f>'Assets-Liab 5-6'!L34</f>
        <v>348142</v>
      </c>
      <c r="C2916" s="2" t="s">
        <v>593</v>
      </c>
      <c r="D2916" s="2" t="str">
        <f t="shared" si="44"/>
        <v>Error?</v>
      </c>
    </row>
    <row r="2917" spans="1:4" x14ac:dyDescent="0.2">
      <c r="A2917" s="5">
        <v>2856</v>
      </c>
      <c r="B2917" s="138">
        <f>'Assets-Liab 5-6'!L41</f>
        <v>3090077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9098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9098</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129202</v>
      </c>
      <c r="D3055" s="2" t="str">
        <f t="shared" si="46"/>
        <v>Error?</v>
      </c>
    </row>
    <row r="3056" spans="1:4" x14ac:dyDescent="0.2">
      <c r="A3056" s="5">
        <v>2995</v>
      </c>
      <c r="B3056" s="138">
        <f>'Expenditures 15-22'!D10</f>
        <v>14573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143775</v>
      </c>
      <c r="C3062" s="2" t="s">
        <v>593</v>
      </c>
      <c r="D3062" s="2" t="str">
        <f t="shared" si="46"/>
        <v>Error?</v>
      </c>
    </row>
    <row r="3063" spans="1:4" x14ac:dyDescent="0.2">
      <c r="A3063" s="10">
        <v>3002</v>
      </c>
      <c r="D3063" s="2" t="str">
        <f t="shared" si="46"/>
        <v>OK</v>
      </c>
    </row>
    <row r="3064" spans="1:4" x14ac:dyDescent="0.2">
      <c r="A3064" s="5">
        <v>3003</v>
      </c>
      <c r="B3064" s="138">
        <f>'Expenditures 15-22'!D219</f>
        <v>13814</v>
      </c>
      <c r="D3064" s="2" t="str">
        <f t="shared" si="46"/>
        <v>Error?</v>
      </c>
    </row>
    <row r="3065" spans="1:4" x14ac:dyDescent="0.2">
      <c r="A3065" s="5">
        <v>3004</v>
      </c>
      <c r="B3065" s="138">
        <f>'Expenditures 15-22'!K219</f>
        <v>13814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2741935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106543</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196164</v>
      </c>
      <c r="C3225" s="2" t="s">
        <v>593</v>
      </c>
      <c r="D3225" s="2" t="str">
        <f t="shared" si="49"/>
        <v>Error?</v>
      </c>
    </row>
    <row r="3226" spans="1:4" x14ac:dyDescent="0.2">
      <c r="A3226" s="5">
        <v>3165</v>
      </c>
      <c r="B3226" s="138">
        <f>'Acct Summary 7-8'!I8</f>
        <v>196164</v>
      </c>
      <c r="C3226" s="2" t="s">
        <v>593</v>
      </c>
      <c r="D3226" s="2" t="str">
        <f t="shared" si="49"/>
        <v>Error?</v>
      </c>
    </row>
    <row r="3227" spans="1:4" x14ac:dyDescent="0.2">
      <c r="A3227" s="5">
        <v>3166</v>
      </c>
      <c r="B3227" s="138">
        <f>'Acct Summary 7-8'!I20</f>
        <v>196164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50418</v>
      </c>
      <c r="C3231" s="2" t="s">
        <v>593</v>
      </c>
      <c r="D3231" s="2" t="str">
        <f t="shared" si="49"/>
        <v>Error?</v>
      </c>
    </row>
    <row r="3232" spans="1:4" x14ac:dyDescent="0.2">
      <c r="A3232" s="5">
        <v>3171</v>
      </c>
      <c r="B3232" s="138">
        <f>'Acct Summary 7-8'!C77</f>
        <v>949582</v>
      </c>
      <c r="C3232" s="2" t="s">
        <v>593</v>
      </c>
      <c r="D3232" s="2" t="str">
        <f t="shared" si="49"/>
        <v>Error?</v>
      </c>
    </row>
    <row r="3233" spans="1:4" x14ac:dyDescent="0.2">
      <c r="A3233" s="5">
        <v>3172</v>
      </c>
      <c r="B3233" s="138">
        <f>'Acct Summary 7-8'!C78</f>
        <v>759299</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1232</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1232</v>
      </c>
      <c r="C3238" s="2" t="s">
        <v>593</v>
      </c>
      <c r="D3238" s="2" t="str">
        <f t="shared" si="49"/>
        <v>Error?</v>
      </c>
    </row>
    <row r="3239" spans="1:4" x14ac:dyDescent="0.2">
      <c r="A3239" s="5">
        <v>3178</v>
      </c>
      <c r="B3239" s="138">
        <f>'Acct Summary 7-8'!D78</f>
        <v>-259807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261617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51734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156961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156961</v>
      </c>
      <c r="C3277" s="2" t="s">
        <v>593</v>
      </c>
      <c r="D3277" s="2" t="str">
        <f t="shared" si="50"/>
        <v>Error?</v>
      </c>
    </row>
    <row r="3278" spans="1:4" x14ac:dyDescent="0.2">
      <c r="A3278" s="5">
        <v>3217</v>
      </c>
      <c r="B3278" s="138">
        <f>'Acct Summary 7-8'!E78</f>
        <v>-579610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-9089494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4063457</v>
      </c>
      <c r="C3317" s="2" t="s">
        <v>593</v>
      </c>
      <c r="D3317" s="2" t="str">
        <f t="shared" si="50"/>
        <v>Error?</v>
      </c>
    </row>
    <row r="3318" spans="1:4" x14ac:dyDescent="0.2">
      <c r="A3318" s="5">
        <v>3257</v>
      </c>
      <c r="B3318" s="138">
        <f>'Acct Summary 7-8'!I76</f>
        <v>1063134</v>
      </c>
      <c r="C3318" s="2" t="s">
        <v>593</v>
      </c>
      <c r="D3318" s="2" t="str">
        <f t="shared" si="50"/>
        <v>Error?</v>
      </c>
    </row>
    <row r="3319" spans="1:4" x14ac:dyDescent="0.2">
      <c r="A3319" s="5">
        <v>3258</v>
      </c>
      <c r="B3319" s="138">
        <f>'Acct Summary 7-8'!I77</f>
        <v>3000323</v>
      </c>
      <c r="C3319" s="2" t="s">
        <v>593</v>
      </c>
      <c r="D3319" s="2" t="str">
        <f t="shared" si="50"/>
        <v>Error?</v>
      </c>
    </row>
    <row r="3320" spans="1:4" x14ac:dyDescent="0.2">
      <c r="A3320" s="5">
        <v>3259</v>
      </c>
      <c r="B3320" s="138">
        <f>'Acct Summary 7-8'!I78</f>
        <v>3196487</v>
      </c>
      <c r="C3320" s="2" t="s">
        <v>593</v>
      </c>
      <c r="D3320" s="2" t="str">
        <f t="shared" si="50"/>
        <v>Error?</v>
      </c>
    </row>
    <row r="3321" spans="1:4" x14ac:dyDescent="0.2">
      <c r="A3321" s="5">
        <v>3260</v>
      </c>
      <c r="B3321" s="138">
        <f>'Acct Summary 7-8'!I79</f>
        <v>1915108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5111595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810574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132414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5548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7573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3701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959810</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116564</v>
      </c>
      <c r="D3387" s="2" t="str">
        <f t="shared" si="51"/>
        <v>Error?</v>
      </c>
    </row>
    <row r="3388" spans="1:4" x14ac:dyDescent="0.2">
      <c r="A3388" s="5">
        <v>3327</v>
      </c>
      <c r="B3388" s="138">
        <f>'Expenditures 15-22'!D217</f>
        <v>33186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116564</v>
      </c>
      <c r="C3390" s="2" t="s">
        <v>593</v>
      </c>
      <c r="D3390" s="2" t="str">
        <f t="shared" si="51"/>
        <v>Error?</v>
      </c>
    </row>
    <row r="3391" spans="1:4" x14ac:dyDescent="0.2">
      <c r="A3391" s="5">
        <v>3330</v>
      </c>
      <c r="B3391" s="138">
        <f>'Expenditures 15-22'!K217</f>
        <v>33186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5440735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2588667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1712763</v>
      </c>
      <c r="D3417" s="2" t="str">
        <f t="shared" si="52"/>
        <v>Error?</v>
      </c>
    </row>
    <row r="3418" spans="1:4" x14ac:dyDescent="0.2">
      <c r="A3418" s="10">
        <v>3357</v>
      </c>
      <c r="D3418" s="2" t="str">
        <f t="shared" si="52"/>
        <v>OK</v>
      </c>
    </row>
    <row r="3419" spans="1:4" x14ac:dyDescent="0.2">
      <c r="A3419" s="5">
        <v>3358</v>
      </c>
      <c r="B3419" s="138">
        <f>'Assets-Liab 5-6'!F4</f>
        <v>1371820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920996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3561116</v>
      </c>
      <c r="D3425" s="2" t="str">
        <f t="shared" si="52"/>
        <v>Error?</v>
      </c>
    </row>
    <row r="3426" spans="1:4" x14ac:dyDescent="0.2">
      <c r="A3426" s="10">
        <v>3365</v>
      </c>
      <c r="D3426" s="2" t="str">
        <f t="shared" si="52"/>
        <v>OK</v>
      </c>
    </row>
    <row r="3427" spans="1:4" x14ac:dyDescent="0.2">
      <c r="A3427" s="5">
        <v>3366</v>
      </c>
      <c r="B3427" s="138">
        <f>'Assets-Liab 5-6'!I4</f>
        <v>5111595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2891177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341657</v>
      </c>
      <c r="C3446" s="2" t="s">
        <v>593</v>
      </c>
      <c r="D3446" s="2" t="str">
        <f t="shared" si="52"/>
        <v>Error?</v>
      </c>
    </row>
    <row r="3447" spans="1:4" x14ac:dyDescent="0.2">
      <c r="A3447" s="5">
        <v>3386</v>
      </c>
      <c r="B3447" s="138">
        <f>'Tax Sched 23'!D16</f>
        <v>156522</v>
      </c>
      <c r="C3447" s="2" t="s">
        <v>593</v>
      </c>
      <c r="D3447" s="2" t="str">
        <f t="shared" si="52"/>
        <v>Error?</v>
      </c>
    </row>
    <row r="3448" spans="1:4" x14ac:dyDescent="0.2">
      <c r="A3448" s="5">
        <v>3387</v>
      </c>
      <c r="B3448" s="138">
        <f>'Tax Sched 23'!C16</f>
        <v>185135</v>
      </c>
      <c r="D3448" s="2" t="str">
        <f t="shared" si="52"/>
        <v>Error?</v>
      </c>
    </row>
    <row r="3449" spans="1:4" x14ac:dyDescent="0.2">
      <c r="A3449" s="5">
        <v>3388</v>
      </c>
      <c r="B3449" s="138">
        <f>'Tax Sched 23'!F16</f>
        <v>140061</v>
      </c>
      <c r="C3449" s="2" t="s">
        <v>593</v>
      </c>
      <c r="D3449" s="2" t="str">
        <f t="shared" si="52"/>
        <v>Error?</v>
      </c>
    </row>
    <row r="3450" spans="1:4" x14ac:dyDescent="0.2">
      <c r="A3450" s="5">
        <v>3389</v>
      </c>
      <c r="B3450" s="138">
        <f>'Tax Sched 23'!E16</f>
        <v>325196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504442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504442</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504442</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1232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725092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725092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725092</v>
      </c>
      <c r="D3567" s="2" t="str">
        <f t="shared" si="54"/>
        <v>Error?</v>
      </c>
    </row>
    <row r="3568" spans="1:4" x14ac:dyDescent="0.2">
      <c r="A3568" s="5">
        <v>3507</v>
      </c>
      <c r="B3568" s="138">
        <f>'Assets-Liab 5-6'!K41</f>
        <v>725092</v>
      </c>
      <c r="C3568" s="2" t="s">
        <v>593</v>
      </c>
      <c r="D3568" s="2" t="str">
        <f t="shared" si="54"/>
        <v>Error?</v>
      </c>
    </row>
    <row r="3569" spans="1:4" x14ac:dyDescent="0.2">
      <c r="A3569" s="5">
        <v>3508</v>
      </c>
      <c r="B3569" s="138">
        <f>'Acct Summary 7-8'!K4</f>
        <v>27088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27088</v>
      </c>
      <c r="C3571" s="2" t="s">
        <v>593</v>
      </c>
      <c r="D3571" s="2" t="str">
        <f t="shared" si="54"/>
        <v>Error?</v>
      </c>
    </row>
    <row r="3572" spans="1:4" x14ac:dyDescent="0.2">
      <c r="A3572" s="5">
        <v>3511</v>
      </c>
      <c r="B3572" s="138">
        <f>'Acct Summary 7-8'!K13</f>
        <v>5918882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5918882</v>
      </c>
      <c r="C3575" s="2" t="s">
        <v>593</v>
      </c>
      <c r="D3575" s="2" t="str">
        <f t="shared" si="54"/>
        <v>Error?</v>
      </c>
    </row>
    <row r="3576" spans="1:4" x14ac:dyDescent="0.2">
      <c r="A3576" s="5">
        <v>3515</v>
      </c>
      <c r="B3576" s="138">
        <f>'Acct Summary 7-8'!K20</f>
        <v>-5891794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-5891794</v>
      </c>
      <c r="C3588" s="2" t="s">
        <v>593</v>
      </c>
      <c r="D3588" s="2" t="str">
        <f t="shared" si="55"/>
        <v>Error?</v>
      </c>
    </row>
    <row r="3589" spans="1:4" x14ac:dyDescent="0.2">
      <c r="A3589" s="5">
        <v>3528</v>
      </c>
      <c r="B3589" s="138">
        <f>'Acct Summary 7-8'!K79</f>
        <v>6616886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725092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5918882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5918882</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5918882</v>
      </c>
      <c r="C3649" s="2" t="s">
        <v>593</v>
      </c>
      <c r="D3649" s="2" t="str">
        <f t="shared" si="56"/>
        <v>Error?</v>
      </c>
    </row>
    <row r="3650" spans="1:4" x14ac:dyDescent="0.2">
      <c r="A3650" s="5">
        <v>3589</v>
      </c>
      <c r="B3650" s="138">
        <f>'Expenditures 15-22'!G367</f>
        <v>5918882</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5918882</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5918882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5918882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5918882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-5891794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34483</v>
      </c>
      <c r="D3721" s="2" t="str">
        <f t="shared" si="57"/>
        <v>Error?</v>
      </c>
    </row>
    <row r="3722" spans="1:4" x14ac:dyDescent="0.2">
      <c r="A3722" s="5">
        <v>3661</v>
      </c>
      <c r="B3722" s="138">
        <f>'Expenditures 15-22'!D285</f>
        <v>34483</v>
      </c>
      <c r="C3722" s="2" t="s">
        <v>593</v>
      </c>
      <c r="D3722" s="2" t="str">
        <f t="shared" si="57"/>
        <v>Error?</v>
      </c>
    </row>
    <row r="3723" spans="1:4" x14ac:dyDescent="0.2">
      <c r="A3723" s="5">
        <v>3662</v>
      </c>
      <c r="B3723" s="138">
        <f>'Expenditures 15-22'!K283</f>
        <v>34483</v>
      </c>
      <c r="C3723" s="2" t="s">
        <v>593</v>
      </c>
      <c r="D3723" s="2" t="str">
        <f t="shared" si="57"/>
        <v>Error?</v>
      </c>
    </row>
    <row r="3724" spans="1:4" x14ac:dyDescent="0.2">
      <c r="A3724" s="5">
        <v>3663</v>
      </c>
      <c r="B3724" s="138">
        <f>'Expenditures 15-22'!K285</f>
        <v>34483</v>
      </c>
      <c r="C3724" s="2" t="s">
        <v>593</v>
      </c>
      <c r="D3724" s="2" t="str">
        <f t="shared" si="57"/>
        <v>Error?</v>
      </c>
    </row>
    <row r="3725" spans="1:4" x14ac:dyDescent="0.2">
      <c r="A3725" s="5">
        <v>3664</v>
      </c>
      <c r="B3725" s="138">
        <f>'Tax Sched 23'!B13</f>
        <v>42882</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42882</v>
      </c>
      <c r="D3727" s="2" t="str">
        <f t="shared" si="57"/>
        <v>Error?</v>
      </c>
    </row>
    <row r="3728" spans="1:4" x14ac:dyDescent="0.2">
      <c r="A3728" s="5">
        <v>3667</v>
      </c>
      <c r="B3728" s="138">
        <f>'Tax Sched 23'!F13</f>
        <v>32442</v>
      </c>
      <c r="C3728" s="2" t="s">
        <v>593</v>
      </c>
      <c r="D3728" s="2" t="str">
        <f t="shared" si="57"/>
        <v>Error?</v>
      </c>
    </row>
    <row r="3729" spans="1:4" x14ac:dyDescent="0.2">
      <c r="A3729" s="5">
        <v>3668</v>
      </c>
      <c r="B3729" s="138">
        <f>'Tax Sched 23'!E13</f>
        <v>75324</v>
      </c>
      <c r="D3729" s="2" t="str">
        <f t="shared" si="57"/>
        <v>Error?</v>
      </c>
    </row>
    <row r="3730" spans="1:4" x14ac:dyDescent="0.2">
      <c r="A3730" s="5">
        <v>3669</v>
      </c>
      <c r="B3730" s="138">
        <f>'ICR Computation 30'!E10</f>
        <v>531435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7439012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24305851</v>
      </c>
      <c r="C4122" s="2" t="s">
        <v>593</v>
      </c>
      <c r="D4122" s="2" t="str">
        <f t="shared" si="63"/>
        <v>Error?</v>
      </c>
    </row>
    <row r="4123" spans="1:4" x14ac:dyDescent="0.2">
      <c r="A4123" s="5">
        <v>4062</v>
      </c>
      <c r="B4123" s="138">
        <f>'Acct Summary 7-8'!D10</f>
        <v>1827110</v>
      </c>
      <c r="C4123" s="2" t="s">
        <v>593</v>
      </c>
      <c r="D4123" s="2" t="str">
        <f t="shared" si="63"/>
        <v>Error?</v>
      </c>
    </row>
    <row r="4124" spans="1:4" x14ac:dyDescent="0.2">
      <c r="A4124" s="5">
        <v>4063</v>
      </c>
      <c r="B4124" s="138">
        <f>'Acct Summary 7-8'!E10</f>
        <v>2501776</v>
      </c>
      <c r="C4124" s="2" t="s">
        <v>593</v>
      </c>
      <c r="D4124" s="2" t="str">
        <f t="shared" si="63"/>
        <v>Error?</v>
      </c>
    </row>
    <row r="4125" spans="1:4" x14ac:dyDescent="0.2">
      <c r="A4125" s="5">
        <v>4064</v>
      </c>
      <c r="B4125" s="138">
        <f>'Acct Summary 7-8'!F10</f>
        <v>2139798</v>
      </c>
      <c r="C4125" s="2" t="s">
        <v>593</v>
      </c>
      <c r="D4125" s="2" t="str">
        <f t="shared" si="63"/>
        <v>Error?</v>
      </c>
    </row>
    <row r="4126" spans="1:4" x14ac:dyDescent="0.2">
      <c r="A4126" s="5">
        <v>4065</v>
      </c>
      <c r="B4126" s="138">
        <f>'Acct Summary 7-8'!G10</f>
        <v>701233</v>
      </c>
      <c r="C4126" s="2" t="s">
        <v>593</v>
      </c>
      <c r="D4126" s="2" t="str">
        <f t="shared" si="63"/>
        <v>Error?</v>
      </c>
    </row>
    <row r="4127" spans="1:4" x14ac:dyDescent="0.2">
      <c r="A4127" s="5">
        <v>4066</v>
      </c>
      <c r="B4127" s="138">
        <f>'Acct Summary 7-8'!H10</f>
        <v>1132915</v>
      </c>
      <c r="C4127" s="2" t="s">
        <v>593</v>
      </c>
      <c r="D4127" s="2" t="str">
        <f t="shared" si="63"/>
        <v>Error?</v>
      </c>
    </row>
    <row r="4128" spans="1:4" x14ac:dyDescent="0.2">
      <c r="A4128" s="5">
        <v>4067</v>
      </c>
      <c r="B4128" s="138">
        <f>'Acct Summary 7-8'!I10</f>
        <v>196164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27088</v>
      </c>
      <c r="C4130" s="2" t="s">
        <v>593</v>
      </c>
      <c r="D4130" s="2" t="str">
        <f t="shared" si="63"/>
        <v>Error?</v>
      </c>
    </row>
    <row r="4131" spans="1:4" x14ac:dyDescent="0.2">
      <c r="A4131" s="5">
        <v>4070</v>
      </c>
      <c r="B4131" s="138">
        <f>'Acct Summary 7-8'!C18</f>
        <v>7439012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24496134</v>
      </c>
      <c r="C4136" s="2" t="s">
        <v>593</v>
      </c>
      <c r="D4136" s="2" t="str">
        <f t="shared" si="63"/>
        <v>Error?</v>
      </c>
    </row>
    <row r="4137" spans="1:4" x14ac:dyDescent="0.2">
      <c r="A4137" s="5">
        <v>4076</v>
      </c>
      <c r="B4137" s="138">
        <f>'Acct Summary 7-8'!D19</f>
        <v>2088149</v>
      </c>
      <c r="C4137" s="2" t="s">
        <v>593</v>
      </c>
      <c r="D4137" s="2" t="str">
        <f t="shared" si="63"/>
        <v>Error?</v>
      </c>
    </row>
    <row r="4138" spans="1:4" x14ac:dyDescent="0.2">
      <c r="A4138" s="5">
        <v>4077</v>
      </c>
      <c r="B4138" s="138">
        <f>'Acct Summary 7-8'!E19</f>
        <v>3238347</v>
      </c>
      <c r="C4138" s="2" t="s">
        <v>593</v>
      </c>
      <c r="D4138" s="2" t="str">
        <f t="shared" si="63"/>
        <v>Error?</v>
      </c>
    </row>
    <row r="4139" spans="1:4" x14ac:dyDescent="0.2">
      <c r="A4139" s="5">
        <v>4078</v>
      </c>
      <c r="B4139" s="138">
        <f>'Acct Summary 7-8'!F19</f>
        <v>1878181</v>
      </c>
      <c r="C4139" s="2" t="s">
        <v>593</v>
      </c>
      <c r="D4139" s="2" t="str">
        <f t="shared" si="63"/>
        <v>Error?</v>
      </c>
    </row>
    <row r="4140" spans="1:4" x14ac:dyDescent="0.2">
      <c r="A4140" s="5">
        <v>4079</v>
      </c>
      <c r="B4140" s="138">
        <f>'Acct Summary 7-8'!G19</f>
        <v>649499</v>
      </c>
      <c r="C4140" s="2" t="s">
        <v>593</v>
      </c>
      <c r="D4140" s="2" t="str">
        <f t="shared" si="63"/>
        <v>Error?</v>
      </c>
    </row>
    <row r="4141" spans="1:4" x14ac:dyDescent="0.2">
      <c r="A4141" s="5">
        <v>4080</v>
      </c>
      <c r="B4141" s="138">
        <f>'Acct Summary 7-8'!H19</f>
        <v>10222409</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5918882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38112467</v>
      </c>
      <c r="C4171" s="2" t="s">
        <v>593</v>
      </c>
      <c r="D4171" s="2" t="str">
        <f t="shared" si="64"/>
        <v>Error?</v>
      </c>
    </row>
    <row r="4172" spans="1:4" x14ac:dyDescent="0.2">
      <c r="A4172" s="5">
        <v>4111</v>
      </c>
      <c r="B4172" s="138">
        <f>'Short-Term Long-Term Debt 24'!J49</f>
        <v>36399704</v>
      </c>
      <c r="C4172" s="2" t="s">
        <v>593</v>
      </c>
      <c r="D4172" s="2" t="str">
        <f t="shared" si="64"/>
        <v>Error?</v>
      </c>
    </row>
    <row r="4173" spans="1:4" x14ac:dyDescent="0.2">
      <c r="A4173" s="5">
        <v>4112</v>
      </c>
      <c r="B4173" s="138">
        <f>'Short-Term Long-Term Debt 24'!H49</f>
        <v>1813211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2350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3050</v>
      </c>
      <c r="C4268" s="2" t="s">
        <v>593</v>
      </c>
      <c r="D4268" s="2" t="str">
        <f t="shared" si="65"/>
        <v>Error?</v>
      </c>
    </row>
    <row r="4269" spans="1:5" x14ac:dyDescent="0.2">
      <c r="A4269" s="12">
        <v>4208</v>
      </c>
      <c r="B4269" s="138">
        <f>'FP Info 3'!J16</f>
        <v>14512817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10326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10040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3833</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61514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13999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3542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74743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362133178</v>
      </c>
      <c r="D4995" s="2" t="str">
        <f t="shared" si="77"/>
        <v>Error?</v>
      </c>
    </row>
    <row r="4996" spans="1:4" x14ac:dyDescent="0.2">
      <c r="A4996" s="12">
        <v>4935</v>
      </c>
      <c r="B4996" s="138">
        <f>'FP Info 3'!H31</f>
        <v>49974378.564000003</v>
      </c>
      <c r="D4996" s="2" t="str">
        <f t="shared" si="77"/>
        <v>Error?</v>
      </c>
    </row>
    <row r="4997" spans="1:4" x14ac:dyDescent="0.2">
      <c r="A4997" s="12">
        <v>4936</v>
      </c>
      <c r="B4997" s="138">
        <f>'FP Info 3'!H37</f>
        <v>38112467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42882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8481618</v>
      </c>
      <c r="D5061" s="2" t="str">
        <f t="shared" si="78"/>
        <v>Error?</v>
      </c>
    </row>
    <row r="5062" spans="1:4" x14ac:dyDescent="0.2">
      <c r="A5062" s="10">
        <v>5001</v>
      </c>
      <c r="D5062" s="2" t="str">
        <f t="shared" si="78"/>
        <v>OK</v>
      </c>
    </row>
    <row r="5063" spans="1:4" x14ac:dyDescent="0.2">
      <c r="A5063" s="5">
        <v>5002</v>
      </c>
      <c r="B5063" s="138">
        <f>'Revenues 9-14'!C7</f>
        <v>144369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8668869</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968</v>
      </c>
      <c r="D5068" s="2" t="str">
        <f t="shared" si="78"/>
        <v>Error?</v>
      </c>
    </row>
    <row r="5069" spans="1:4" x14ac:dyDescent="0.2">
      <c r="A5069" s="5">
        <v>5008</v>
      </c>
      <c r="B5069" s="138">
        <f>'Revenues 9-14'!C16</f>
        <v>398840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399808</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5531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5531</v>
      </c>
      <c r="C5087" s="2" t="s">
        <v>593</v>
      </c>
      <c r="D5087" s="2" t="str">
        <f t="shared" si="78"/>
        <v>Error?</v>
      </c>
    </row>
    <row r="5088" spans="1:4" x14ac:dyDescent="0.2">
      <c r="A5088" s="5">
        <v>5027</v>
      </c>
      <c r="B5088" s="138">
        <f>'Revenues 9-14'!C65</f>
        <v>29833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29833</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52102</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3329</v>
      </c>
      <c r="D5095" s="2" t="str">
        <f t="shared" si="78"/>
        <v>Error?</v>
      </c>
    </row>
    <row r="5096" spans="1:4" x14ac:dyDescent="0.2">
      <c r="A5096" s="5">
        <v>5035</v>
      </c>
      <c r="B5096" s="138">
        <f>'Revenues 9-14'!C75</f>
        <v>830658</v>
      </c>
      <c r="C5096" s="2" t="s">
        <v>593</v>
      </c>
      <c r="D5096" s="2" t="str">
        <f t="shared" si="78"/>
        <v>Error?</v>
      </c>
    </row>
    <row r="5097" spans="1:4" x14ac:dyDescent="0.2">
      <c r="A5097" s="5">
        <v>5036</v>
      </c>
      <c r="B5097" s="138">
        <f>'Revenues 9-14'!C77</f>
        <v>85060</v>
      </c>
      <c r="D5097" s="2" t="str">
        <f t="shared" si="78"/>
        <v>Error?</v>
      </c>
    </row>
    <row r="5098" spans="1:4" x14ac:dyDescent="0.2">
      <c r="A5098" s="5">
        <v>5037</v>
      </c>
      <c r="B5098" s="138">
        <f>'Revenues 9-14'!C78</f>
        <v>17</v>
      </c>
      <c r="D5098" s="2" t="str">
        <f t="shared" si="78"/>
        <v>Error?</v>
      </c>
    </row>
    <row r="5099" spans="1:4" x14ac:dyDescent="0.2">
      <c r="A5099" s="5">
        <v>5038</v>
      </c>
      <c r="B5099" s="138">
        <f>'Revenues 9-14'!C79</f>
        <v>2759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177369</v>
      </c>
      <c r="D5101" s="2" t="str">
        <f t="shared" si="78"/>
        <v>Error?</v>
      </c>
    </row>
    <row r="5102" spans="1:4" x14ac:dyDescent="0.2">
      <c r="A5102" s="5">
        <v>5041</v>
      </c>
      <c r="B5102" s="138">
        <f>'Revenues 9-14'!C82</f>
        <v>265205</v>
      </c>
      <c r="C5102" s="2" t="s">
        <v>593</v>
      </c>
      <c r="D5102" s="2" t="str">
        <f t="shared" si="78"/>
        <v>Error?</v>
      </c>
    </row>
    <row r="5103" spans="1:4" x14ac:dyDescent="0.2">
      <c r="A5103" s="5">
        <v>5042</v>
      </c>
      <c r="B5103" s="138">
        <f>'Revenues 9-14'!C84</f>
        <v>209232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209232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8141</v>
      </c>
      <c r="D5119" s="2" t="str">
        <f t="shared" ref="D5119:D5182" si="79">IF(ISBLANK(B5119),"OK",IF(A5119-B5119=0,"OK","Error?"))</f>
        <v>Error?</v>
      </c>
    </row>
    <row r="5120" spans="1:4" x14ac:dyDescent="0.2">
      <c r="A5120" s="5">
        <v>5059</v>
      </c>
      <c r="B5120" s="138">
        <f>'Revenues 9-14'!C108</f>
        <v>46791</v>
      </c>
      <c r="C5120" s="2" t="s">
        <v>593</v>
      </c>
      <c r="D5120" s="2" t="str">
        <f t="shared" si="79"/>
        <v>Error?</v>
      </c>
    </row>
    <row r="5121" spans="1:4" x14ac:dyDescent="0.2">
      <c r="A5121" s="5">
        <v>5060</v>
      </c>
      <c r="B5121" s="138">
        <f>'Revenues 9-14'!C109</f>
        <v>10455927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5002367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5002367</v>
      </c>
      <c r="C5132" s="2" t="s">
        <v>593</v>
      </c>
      <c r="D5132" s="2" t="str">
        <f t="shared" si="79"/>
        <v>Error?</v>
      </c>
    </row>
    <row r="5133" spans="1:4" x14ac:dyDescent="0.2">
      <c r="A5133" s="5">
        <v>5072</v>
      </c>
      <c r="B5133" s="138">
        <f>'Revenues 9-14'!C124</f>
        <v>13644</v>
      </c>
      <c r="D5133" s="2" t="str">
        <f t="shared" si="79"/>
        <v>Error?</v>
      </c>
    </row>
    <row r="5134" spans="1:4" x14ac:dyDescent="0.2">
      <c r="A5134" s="5">
        <v>5073</v>
      </c>
      <c r="B5134" s="138">
        <f>'Revenues 9-14'!C125</f>
        <v>158103</v>
      </c>
      <c r="D5134" s="2" t="str">
        <f t="shared" si="79"/>
        <v>Error?</v>
      </c>
    </row>
    <row r="5135" spans="1:4" x14ac:dyDescent="0.2">
      <c r="A5135" s="5">
        <v>5074</v>
      </c>
      <c r="B5135" s="138">
        <f>'Revenues 9-14'!C126</f>
        <v>81391</v>
      </c>
      <c r="D5135" s="2" t="str">
        <f t="shared" si="79"/>
        <v>Error?</v>
      </c>
    </row>
    <row r="5136" spans="1:4" x14ac:dyDescent="0.2">
      <c r="A5136" s="10">
        <v>5075</v>
      </c>
      <c r="D5136" s="2" t="str">
        <f t="shared" si="79"/>
        <v>OK</v>
      </c>
    </row>
    <row r="5137" spans="1:4" x14ac:dyDescent="0.2">
      <c r="A5137" s="5">
        <v>5076</v>
      </c>
      <c r="B5137" s="138">
        <f>'Revenues 9-14'!C127</f>
        <v>27016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280154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95160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99308</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4595</v>
      </c>
      <c r="D5167" s="2" t="str">
        <f t="shared" si="79"/>
        <v>Error?</v>
      </c>
    </row>
    <row r="5168" spans="1:4" x14ac:dyDescent="0.2">
      <c r="A5168" s="5">
        <v>5107</v>
      </c>
      <c r="B5168" s="138">
        <f>'Revenues 9-14'!C147</f>
        <v>40258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219449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647306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5649673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317787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79837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397624</v>
      </c>
      <c r="C5246" s="2" t="s">
        <v>593</v>
      </c>
      <c r="D5246" s="2" t="str">
        <f t="shared" si="80"/>
        <v>Error?</v>
      </c>
    </row>
    <row r="5247" spans="1:4" x14ac:dyDescent="0.2">
      <c r="A5247" s="5">
        <v>5186</v>
      </c>
      <c r="B5247" s="138">
        <f>'Revenues 9-14'!C203</f>
        <v>203159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3833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203159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761239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761239</v>
      </c>
      <c r="C5326" s="2" t="s">
        <v>593</v>
      </c>
      <c r="D5326" s="2" t="str">
        <f t="shared" si="82"/>
        <v>Error?</v>
      </c>
    </row>
    <row r="5327" spans="1:4" x14ac:dyDescent="0.2">
      <c r="A5327" s="5">
        <v>5266</v>
      </c>
      <c r="B5327" s="138">
        <f>'Revenues 9-14'!C275</f>
        <v>16866839</v>
      </c>
      <c r="C5327" s="2" t="s">
        <v>593</v>
      </c>
      <c r="D5327" s="2" t="str">
        <f t="shared" si="82"/>
        <v>Error?</v>
      </c>
    </row>
    <row r="5328" spans="1:4" x14ac:dyDescent="0.2">
      <c r="A5328" s="5">
        <v>5267</v>
      </c>
      <c r="B5328" s="138">
        <f>'Revenues 9-14'!D5</f>
        <v>1804600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1804600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21498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21498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1012</v>
      </c>
      <c r="D5354" s="2" t="str">
        <f t="shared" si="82"/>
        <v>Error?</v>
      </c>
    </row>
    <row r="5355" spans="1:4" x14ac:dyDescent="0.2">
      <c r="A5355" s="5">
        <v>5294</v>
      </c>
      <c r="B5355" s="138">
        <f>'Revenues 9-14'!D108</f>
        <v>1012</v>
      </c>
      <c r="C5355" s="2" t="s">
        <v>593</v>
      </c>
      <c r="D5355" s="2" t="str">
        <f t="shared" si="82"/>
        <v>Error?</v>
      </c>
    </row>
    <row r="5356" spans="1:4" x14ac:dyDescent="0.2">
      <c r="A5356" s="5">
        <v>5295</v>
      </c>
      <c r="B5356" s="138">
        <f>'Revenues 9-14'!D109</f>
        <v>1827110</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1827110</v>
      </c>
      <c r="C5508" s="2" t="s">
        <v>593</v>
      </c>
      <c r="D5508" s="2" t="str">
        <f t="shared" si="85"/>
        <v>Error?</v>
      </c>
    </row>
    <row r="5509" spans="1:4" x14ac:dyDescent="0.2">
      <c r="A5509" s="5">
        <v>5448</v>
      </c>
      <c r="B5509" s="138">
        <f>'Revenues 9-14'!E5</f>
        <v>2488783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2488783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221</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221</v>
      </c>
      <c r="C5518" s="2" t="s">
        <v>593</v>
      </c>
      <c r="D5518" s="2" t="str">
        <f t="shared" si="85"/>
        <v>Error?</v>
      </c>
    </row>
    <row r="5519" spans="1:4" x14ac:dyDescent="0.2">
      <c r="A5519" s="5">
        <v>5458</v>
      </c>
      <c r="B5519" s="138">
        <f>'Revenues 9-14'!E65</f>
        <v>12772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12772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2501776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2501776</v>
      </c>
      <c r="C5552" s="2" t="s">
        <v>593</v>
      </c>
      <c r="D5552" s="2" t="str">
        <f t="shared" si="85"/>
        <v>Error?</v>
      </c>
    </row>
    <row r="5553" spans="1:4" x14ac:dyDescent="0.2">
      <c r="A5553" s="5">
        <v>5492</v>
      </c>
      <c r="B5553" s="138">
        <f>'Revenues 9-14'!F5</f>
        <v>721839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721839</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2276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2276</v>
      </c>
      <c r="C5579" s="2" t="s">
        <v>593</v>
      </c>
      <c r="D5579" s="2" t="str">
        <f t="shared" si="86"/>
        <v>Error?</v>
      </c>
    </row>
    <row r="5580" spans="1:4" x14ac:dyDescent="0.2">
      <c r="A5580" s="5">
        <v>5519</v>
      </c>
      <c r="B5580" s="138">
        <f>'Revenues 9-14'!F65</f>
        <v>10115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10115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734230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1093316</v>
      </c>
      <c r="D5615" s="2" t="str">
        <f t="shared" si="86"/>
        <v>Error?</v>
      </c>
    </row>
    <row r="5616" spans="1:4" x14ac:dyDescent="0.2">
      <c r="A5616" s="10">
        <v>5555</v>
      </c>
      <c r="D5616" s="2" t="str">
        <f t="shared" si="86"/>
        <v>OK</v>
      </c>
    </row>
    <row r="5617" spans="1:4" x14ac:dyDescent="0.2">
      <c r="A5617" s="5">
        <v>5556</v>
      </c>
      <c r="B5617" s="138">
        <f>'Revenues 9-14'!F152</f>
        <v>312252</v>
      </c>
      <c r="D5617" s="2" t="str">
        <f t="shared" si="86"/>
        <v>Error?</v>
      </c>
    </row>
    <row r="5618" spans="1:4" x14ac:dyDescent="0.2">
      <c r="A5618" s="5">
        <v>5557</v>
      </c>
      <c r="B5618" s="138">
        <f>'Revenues 9-14'!F154</f>
        <v>1405568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1405568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1405568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2139798</v>
      </c>
      <c r="C5720" s="2" t="s">
        <v>593</v>
      </c>
      <c r="D5720" s="2" t="str">
        <f t="shared" si="88"/>
        <v>Error?</v>
      </c>
    </row>
    <row r="5721" spans="1:4" x14ac:dyDescent="0.2">
      <c r="A5721" s="5">
        <v>5660</v>
      </c>
      <c r="B5721" s="138">
        <f>'Revenues 9-14'!G5</f>
        <v>319346</v>
      </c>
      <c r="D5721" s="2" t="str">
        <f t="shared" si="88"/>
        <v>Error?</v>
      </c>
    </row>
    <row r="5722" spans="1:4" x14ac:dyDescent="0.2">
      <c r="A5722" s="5">
        <v>5661</v>
      </c>
      <c r="B5722" s="138">
        <f>'Revenues 9-14'!G7</f>
        <v>0</v>
      </c>
      <c r="D5722" s="2" t="str">
        <f t="shared" si="88"/>
        <v>Error?</v>
      </c>
    </row>
    <row r="5723" spans="1:4" x14ac:dyDescent="0.2">
      <c r="A5723" s="5">
        <v>5662</v>
      </c>
      <c r="B5723" s="138">
        <f>'Revenues 9-14'!G8</f>
        <v>341657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661003</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59</v>
      </c>
      <c r="D5727" s="2" t="str">
        <f t="shared" si="88"/>
        <v>Error?</v>
      </c>
    </row>
    <row r="5728" spans="1:4" x14ac:dyDescent="0.2">
      <c r="A5728" s="5">
        <v>5667</v>
      </c>
      <c r="B5728" s="138">
        <f>'Revenues 9-14'!G16</f>
        <v>33000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33059</v>
      </c>
      <c r="C5730" s="2" t="s">
        <v>593</v>
      </c>
      <c r="D5730" s="2" t="str">
        <f t="shared" si="88"/>
        <v>Error?</v>
      </c>
    </row>
    <row r="5731" spans="1:4" x14ac:dyDescent="0.2">
      <c r="A5731" s="5">
        <v>5670</v>
      </c>
      <c r="B5731" s="138">
        <f>'Revenues 9-14'!G65</f>
        <v>7171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7171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701233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42022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42022</v>
      </c>
      <c r="C5881" s="2" t="s">
        <v>593</v>
      </c>
      <c r="D5881" s="2" t="str">
        <f t="shared" si="90"/>
        <v>Error?</v>
      </c>
    </row>
    <row r="5882" spans="1:4" x14ac:dyDescent="0.2">
      <c r="A5882" s="5">
        <v>5821</v>
      </c>
      <c r="B5882" s="138">
        <f>'Revenues 9-14'!H96</f>
        <v>108500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1090893</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1132915</v>
      </c>
      <c r="C5915" s="2" t="s">
        <v>593</v>
      </c>
      <c r="D5915" s="2" t="str">
        <f t="shared" si="91"/>
        <v>Error?</v>
      </c>
    </row>
    <row r="5916" spans="1:4" x14ac:dyDescent="0.2">
      <c r="A5916" s="5">
        <v>5855</v>
      </c>
      <c r="B5916" s="138">
        <f>'Revenues 9-14'!I5</f>
        <v>177733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177733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16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16</v>
      </c>
      <c r="C5923" s="2" t="s">
        <v>593</v>
      </c>
      <c r="D5923" s="2" t="str">
        <f t="shared" si="91"/>
        <v>Error?</v>
      </c>
    </row>
    <row r="5924" spans="1:4" x14ac:dyDescent="0.2">
      <c r="A5924" s="5">
        <v>5863</v>
      </c>
      <c r="B5924" s="138">
        <f>'Revenues 9-14'!I65</f>
        <v>18415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18415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196164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27088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27088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27088</v>
      </c>
      <c r="C6023" s="2" t="s">
        <v>593</v>
      </c>
      <c r="D6023" s="2" t="str">
        <f t="shared" si="93"/>
        <v>Error?</v>
      </c>
    </row>
    <row r="6024" spans="1:5" x14ac:dyDescent="0.2">
      <c r="A6024" s="5">
        <v>5963</v>
      </c>
      <c r="B6024" s="138">
        <f>'Revenues 9-14'!G109</f>
        <v>701233</v>
      </c>
      <c r="C6024" s="2" t="s">
        <v>593</v>
      </c>
      <c r="D6024" s="2" t="str">
        <f t="shared" si="93"/>
        <v>Error?</v>
      </c>
    </row>
    <row r="6025" spans="1:5" x14ac:dyDescent="0.2">
      <c r="A6025" s="5">
        <v>5964</v>
      </c>
      <c r="B6025" s="138">
        <f>'Revenues 9-14'!H109</f>
        <v>1132915</v>
      </c>
      <c r="C6025" s="2" t="s">
        <v>593</v>
      </c>
      <c r="D6025" s="2" t="str">
        <f t="shared" si="93"/>
        <v>Error?</v>
      </c>
    </row>
    <row r="6026" spans="1:5" x14ac:dyDescent="0.2">
      <c r="A6026" s="5">
        <v>5965</v>
      </c>
      <c r="B6026" s="138">
        <f>'Revenues 9-14'!I109</f>
        <v>196164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27088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775227</v>
      </c>
      <c r="D6031" s="2" t="str">
        <f t="shared" si="93"/>
        <v>Error?</v>
      </c>
    </row>
    <row r="6032" spans="1:5" x14ac:dyDescent="0.2">
      <c r="A6032" s="5">
        <v>5971</v>
      </c>
      <c r="B6032" s="138">
        <f>'Acct Summary 7-8'!G15</f>
        <v>34483</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88599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2146.73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795598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795598</v>
      </c>
      <c r="D6215" s="2" t="str">
        <f t="shared" si="96"/>
        <v>Error?</v>
      </c>
      <c r="E6215" s="2" t="s">
        <v>199</v>
      </c>
    </row>
    <row r="6216" spans="1:5" x14ac:dyDescent="0.2">
      <c r="A6216">
        <v>6155</v>
      </c>
      <c r="B6216" s="138">
        <f>'Assets-Liab 5-6'!J41</f>
        <v>795598</v>
      </c>
      <c r="D6216" s="2" t="str">
        <f t="shared" si="96"/>
        <v>Error?</v>
      </c>
      <c r="E6216" s="2" t="s">
        <v>199</v>
      </c>
    </row>
    <row r="6217" spans="1:5" x14ac:dyDescent="0.2">
      <c r="A6217">
        <v>6156</v>
      </c>
      <c r="B6217" s="138">
        <f>'Assets-Liab 5-6'!J4</f>
        <v>795598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716101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716101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716101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575405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575405</v>
      </c>
      <c r="D6229" s="2" t="str">
        <f t="shared" si="96"/>
        <v>Error?</v>
      </c>
      <c r="E6229" s="2" t="s">
        <v>199</v>
      </c>
    </row>
    <row r="6230" spans="1:5" x14ac:dyDescent="0.2">
      <c r="A6230">
        <v>6169</v>
      </c>
      <c r="B6230" s="138">
        <f>'Acct Summary 7-8'!J20</f>
        <v>140696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48211</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2207</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63134</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140696</v>
      </c>
      <c r="D6263" s="2" t="str">
        <f t="shared" si="96"/>
        <v>Error?</v>
      </c>
      <c r="E6263" s="2" t="s">
        <v>199</v>
      </c>
    </row>
    <row r="6264" spans="1:5" x14ac:dyDescent="0.2">
      <c r="A6264">
        <v>6203</v>
      </c>
      <c r="B6264" s="138">
        <f>'Acct Summary 7-8'!J79</f>
        <v>654902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795598</v>
      </c>
      <c r="D6266" s="2" t="str">
        <f t="shared" si="96"/>
        <v>Error?</v>
      </c>
      <c r="E6266" s="2" t="s">
        <v>199</v>
      </c>
    </row>
    <row r="6267" spans="1:5" x14ac:dyDescent="0.2">
      <c r="A6267">
        <v>6206</v>
      </c>
      <c r="B6267" s="138">
        <f>'Acct Summary 7-8'!C82</f>
        <v>759299</v>
      </c>
      <c r="D6267" s="2" t="str">
        <f t="shared" si="96"/>
        <v>Error?</v>
      </c>
      <c r="E6267" s="2" t="s">
        <v>199</v>
      </c>
    </row>
    <row r="6268" spans="1:5" x14ac:dyDescent="0.2">
      <c r="A6268">
        <v>6207</v>
      </c>
      <c r="B6268" s="138">
        <f>'Acct Summary 7-8'!D82</f>
        <v>-259807</v>
      </c>
      <c r="D6268" s="2" t="str">
        <f t="shared" si="96"/>
        <v>Error?</v>
      </c>
      <c r="E6268" s="2" t="s">
        <v>199</v>
      </c>
    </row>
    <row r="6269" spans="1:5" x14ac:dyDescent="0.2">
      <c r="A6269">
        <v>6208</v>
      </c>
      <c r="B6269" s="138">
        <f>'Acct Summary 7-8'!E82</f>
        <v>-579610</v>
      </c>
      <c r="D6269" s="2" t="str">
        <f t="shared" si="96"/>
        <v>Error?</v>
      </c>
      <c r="E6269" s="2" t="s">
        <v>199</v>
      </c>
    </row>
    <row r="6270" spans="1:5" x14ac:dyDescent="0.2">
      <c r="A6270">
        <v>6209</v>
      </c>
      <c r="B6270" s="138">
        <f>'Acct Summary 7-8'!F82</f>
        <v>261617</v>
      </c>
      <c r="D6270" s="2" t="str">
        <f t="shared" si="96"/>
        <v>Error?</v>
      </c>
      <c r="E6270" s="2" t="s">
        <v>199</v>
      </c>
    </row>
    <row r="6271" spans="1:5" x14ac:dyDescent="0.2">
      <c r="A6271">
        <v>6210</v>
      </c>
      <c r="B6271" s="138">
        <f>'Acct Summary 7-8'!G82</f>
        <v>51734</v>
      </c>
      <c r="D6271" s="2" t="str">
        <f t="shared" ref="D6271:D6334" si="97">IF(ISBLANK(B6271),"OK",IF(A6271-B6271=0,"OK","Error?"))</f>
        <v>Error?</v>
      </c>
      <c r="E6271" s="2" t="s">
        <v>199</v>
      </c>
    </row>
    <row r="6272" spans="1:5" x14ac:dyDescent="0.2">
      <c r="A6272">
        <v>6211</v>
      </c>
      <c r="B6272" s="138">
        <f>'Acct Summary 7-8'!H82</f>
        <v>-9089494</v>
      </c>
      <c r="D6272" s="2" t="str">
        <f t="shared" si="97"/>
        <v>Error?</v>
      </c>
      <c r="E6272" s="2" t="s">
        <v>199</v>
      </c>
    </row>
    <row r="6273" spans="1:5" x14ac:dyDescent="0.2">
      <c r="A6273">
        <v>6212</v>
      </c>
      <c r="B6273" s="138">
        <f>'Acct Summary 7-8'!I82</f>
        <v>3196487</v>
      </c>
      <c r="D6273" s="2" t="str">
        <f t="shared" si="97"/>
        <v>Error?</v>
      </c>
      <c r="E6273" s="2" t="s">
        <v>199</v>
      </c>
    </row>
    <row r="6274" spans="1:5" x14ac:dyDescent="0.2">
      <c r="A6274">
        <v>6213</v>
      </c>
      <c r="B6274" s="138">
        <f>'Acct Summary 7-8'!J82</f>
        <v>140696</v>
      </c>
      <c r="D6274" s="2" t="str">
        <f t="shared" si="97"/>
        <v>Error?</v>
      </c>
      <c r="E6274" s="2" t="s">
        <v>199</v>
      </c>
    </row>
    <row r="6275" spans="1:5" x14ac:dyDescent="0.2">
      <c r="A6275">
        <v>6214</v>
      </c>
      <c r="B6275" s="138">
        <f>'Acct Summary 7-8'!K82</f>
        <v>-5891794</v>
      </c>
      <c r="D6275" s="2" t="str">
        <f t="shared" si="97"/>
        <v>Error?</v>
      </c>
      <c r="E6275" s="2" t="s">
        <v>199</v>
      </c>
    </row>
    <row r="6276" spans="1:5" x14ac:dyDescent="0.2">
      <c r="A6276">
        <v>6215</v>
      </c>
      <c r="B6276" s="138">
        <f>'Acct Summary 7-8'!C83</f>
        <v>0.13955816631392634</v>
      </c>
      <c r="D6276" s="2" t="str">
        <f t="shared" si="97"/>
        <v>Error?</v>
      </c>
      <c r="E6276" s="2" t="s">
        <v>199</v>
      </c>
    </row>
    <row r="6277" spans="1:5" x14ac:dyDescent="0.2">
      <c r="A6277">
        <v>6216</v>
      </c>
      <c r="B6277" s="138">
        <f>'Acct Summary 7-8'!D83</f>
        <v>-0.10036323714096869</v>
      </c>
      <c r="D6277" s="2" t="str">
        <f t="shared" si="97"/>
        <v>Error?</v>
      </c>
      <c r="E6277" s="2" t="s">
        <v>199</v>
      </c>
    </row>
    <row r="6278" spans="1:5" x14ac:dyDescent="0.2">
      <c r="A6278">
        <v>6217</v>
      </c>
      <c r="B6278" s="138">
        <f>'Acct Summary 7-8'!E83</f>
        <v>-0.33840642283841954</v>
      </c>
      <c r="D6278" s="2" t="str">
        <f t="shared" si="97"/>
        <v>Error?</v>
      </c>
      <c r="E6278" s="2" t="s">
        <v>199</v>
      </c>
    </row>
    <row r="6279" spans="1:5" x14ac:dyDescent="0.2">
      <c r="A6279">
        <v>6218</v>
      </c>
      <c r="B6279" s="138">
        <f>'Acct Summary 7-8'!F83</f>
        <v>0.19070796460176992</v>
      </c>
      <c r="D6279" s="2" t="str">
        <f t="shared" si="97"/>
        <v>Error?</v>
      </c>
      <c r="E6279" s="2" t="s">
        <v>199</v>
      </c>
    </row>
    <row r="6280" spans="1:5" x14ac:dyDescent="0.2">
      <c r="A6280">
        <v>6219</v>
      </c>
      <c r="B6280" s="138">
        <f>'Acct Summary 7-8'!G83</f>
        <v>5.6171796620180764E-2</v>
      </c>
      <c r="D6280" s="2" t="str">
        <f t="shared" si="97"/>
        <v>Error?</v>
      </c>
      <c r="E6280" s="2" t="s">
        <v>199</v>
      </c>
    </row>
    <row r="6281" spans="1:5" x14ac:dyDescent="0.2">
      <c r="A6281">
        <v>6220</v>
      </c>
      <c r="B6281" s="138">
        <f>'Acct Summary 7-8'!H83</f>
        <v>-2.5524285083664782</v>
      </c>
      <c r="D6281" s="2" t="str">
        <f t="shared" si="97"/>
        <v>Error?</v>
      </c>
      <c r="E6281" s="2" t="s">
        <v>199</v>
      </c>
    </row>
    <row r="6282" spans="1:5" x14ac:dyDescent="0.2">
      <c r="A6282">
        <v>6221</v>
      </c>
      <c r="B6282" s="138">
        <f>'Acct Summary 7-8'!I83</f>
        <v>0.62534042700957337</v>
      </c>
      <c r="D6282" s="2" t="str">
        <f t="shared" si="97"/>
        <v>Error?</v>
      </c>
      <c r="E6282" s="2" t="s">
        <v>199</v>
      </c>
    </row>
    <row r="6283" spans="1:5" x14ac:dyDescent="0.2">
      <c r="A6283">
        <v>6222</v>
      </c>
      <c r="B6283" s="138">
        <f>'Acct Summary 7-8'!J83</f>
        <v>0.17684307904243099</v>
      </c>
      <c r="D6283" s="2" t="str">
        <f t="shared" si="97"/>
        <v>Error?</v>
      </c>
      <c r="E6283" s="2" t="s">
        <v>199</v>
      </c>
    </row>
    <row r="6284" spans="1:5" x14ac:dyDescent="0.2">
      <c r="A6284">
        <v>6223</v>
      </c>
      <c r="B6284" s="138">
        <f>'Acct Summary 7-8'!K83</f>
        <v>-8.1255813055446762</v>
      </c>
      <c r="D6284" s="2" t="str">
        <f t="shared" si="97"/>
        <v>Error?</v>
      </c>
      <c r="E6284" s="2" t="s">
        <v>199</v>
      </c>
    </row>
    <row r="6285" spans="1:5" x14ac:dyDescent="0.2">
      <c r="A6285">
        <v>6224</v>
      </c>
      <c r="B6285" s="138">
        <f>'Acct Summary 7-8'!E37</f>
        <v>48211</v>
      </c>
      <c r="D6285" s="2" t="str">
        <f t="shared" si="97"/>
        <v>Error?</v>
      </c>
      <c r="E6285" s="2" t="s">
        <v>199</v>
      </c>
    </row>
    <row r="6286" spans="1:5" x14ac:dyDescent="0.2">
      <c r="A6286">
        <v>6225</v>
      </c>
      <c r="B6286" s="138">
        <f>'Acct Summary 7-8'!E38</f>
        <v>2207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711045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711045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61</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4995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4995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23074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716101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4148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69610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75711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154016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212161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212161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1618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1618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213779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1223042</v>
      </c>
      <c r="D6983" s="2" t="str">
        <f t="shared" si="108"/>
        <v>Error?</v>
      </c>
    </row>
    <row r="6984" spans="1:4" x14ac:dyDescent="0.2">
      <c r="A6984">
        <v>6923</v>
      </c>
      <c r="B6984" s="138">
        <f>'Expenditures 15-22'!K86</f>
        <v>1223042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1223042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213779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555956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716101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3917</v>
      </c>
      <c r="D7073" s="2" t="str">
        <f t="shared" si="109"/>
        <v>Error?</v>
      </c>
    </row>
    <row r="7074" spans="1:4" x14ac:dyDescent="0.2">
      <c r="A7074">
        <v>7013</v>
      </c>
      <c r="B7074" s="138">
        <f>'Expenditures 15-22'!K216</f>
        <v>3917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1855</v>
      </c>
      <c r="D7079" s="2" t="str">
        <f t="shared" si="109"/>
        <v>Error?</v>
      </c>
    </row>
    <row r="7080" spans="1:4" x14ac:dyDescent="0.2">
      <c r="A7080">
        <v>7019</v>
      </c>
      <c r="B7080" s="138">
        <f>'Expenditures 15-22'!K226</f>
        <v>1855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800</v>
      </c>
      <c r="D7093" s="2" t="str">
        <f t="shared" si="109"/>
        <v>Error?</v>
      </c>
    </row>
    <row r="7094" spans="1:4" x14ac:dyDescent="0.2">
      <c r="A7094">
        <v>7033</v>
      </c>
      <c r="B7094" s="138">
        <f>'Expenditures 15-22'!K254</f>
        <v>800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87812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87812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1921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1921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185637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185637</v>
      </c>
      <c r="D7153" s="2" t="str">
        <f t="shared" si="110"/>
        <v>Error?</v>
      </c>
    </row>
    <row r="7154" spans="1:4" x14ac:dyDescent="0.2">
      <c r="A7154">
        <v>7093</v>
      </c>
      <c r="B7154" s="138">
        <f>'Expenditures 15-22'!C323</f>
        <v>47700</v>
      </c>
      <c r="D7154" s="2" t="str">
        <f t="shared" si="110"/>
        <v>Error?</v>
      </c>
    </row>
    <row r="7155" spans="1:4" x14ac:dyDescent="0.2">
      <c r="A7155">
        <v>7094</v>
      </c>
      <c r="B7155" s="138">
        <f>'Expenditures 15-22'!D323</f>
        <v>11212</v>
      </c>
      <c r="D7155" s="2" t="str">
        <f t="shared" si="110"/>
        <v>Error?</v>
      </c>
    </row>
    <row r="7156" spans="1:4" x14ac:dyDescent="0.2">
      <c r="A7156">
        <v>7095</v>
      </c>
      <c r="B7156" s="138">
        <f>'Expenditures 15-22'!E323</f>
        <v>111823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36088</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206823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4300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45630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49930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23833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23833</v>
      </c>
      <c r="D7198" s="2" t="str">
        <f t="shared" si="111"/>
        <v>Error?</v>
      </c>
    </row>
    <row r="7199" spans="1:4" x14ac:dyDescent="0.2">
      <c r="A7199">
        <v>7138</v>
      </c>
      <c r="B7199" s="138">
        <f>'Expenditures 15-22'!C330</f>
        <v>52000</v>
      </c>
      <c r="D7199" s="2" t="str">
        <f t="shared" si="111"/>
        <v>Error?</v>
      </c>
    </row>
    <row r="7200" spans="1:4" x14ac:dyDescent="0.2">
      <c r="A7200">
        <v>7139</v>
      </c>
      <c r="B7200" s="138">
        <f>'Expenditures 15-22'!D330</f>
        <v>11212</v>
      </c>
      <c r="D7200" s="2" t="str">
        <f t="shared" si="111"/>
        <v>Error?</v>
      </c>
    </row>
    <row r="7201" spans="1:4" x14ac:dyDescent="0.2">
      <c r="A7201">
        <v>7140</v>
      </c>
      <c r="B7201" s="138">
        <f>'Expenditures 15-22'!E330</f>
        <v>456656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36088</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555956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52000</v>
      </c>
      <c r="D7216" s="2" t="str">
        <f t="shared" si="111"/>
        <v>Error?</v>
      </c>
    </row>
    <row r="7217" spans="1:4" x14ac:dyDescent="0.2">
      <c r="A7217">
        <v>7156</v>
      </c>
      <c r="B7217" s="138">
        <f>'Expenditures 15-22'!D342</f>
        <v>11212</v>
      </c>
      <c r="D7217" s="2" t="str">
        <f t="shared" si="111"/>
        <v>Error?</v>
      </c>
    </row>
    <row r="7218" spans="1:4" x14ac:dyDescent="0.2">
      <c r="A7218">
        <v>7157</v>
      </c>
      <c r="B7218" s="138">
        <f>'Expenditures 15-22'!E342</f>
        <v>456656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19449</v>
      </c>
      <c r="D7221" s="2" t="str">
        <f t="shared" si="111"/>
        <v>Error?</v>
      </c>
    </row>
    <row r="7222" spans="1:4" x14ac:dyDescent="0.2">
      <c r="A7222">
        <v>7161</v>
      </c>
      <c r="B7222" s="138">
        <f>'Expenditures 15-22'!I342</f>
        <v>36088</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575405</v>
      </c>
      <c r="D7224" s="2" t="str">
        <f t="shared" si="111"/>
        <v>Error?</v>
      </c>
    </row>
    <row r="7225" spans="1:4" x14ac:dyDescent="0.2">
      <c r="A7225">
        <v>7164</v>
      </c>
      <c r="B7225" s="138">
        <f>'Expenditures 15-22'!K343</f>
        <v>140696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5386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715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132726</v>
      </c>
      <c r="D7263" s="2" t="str">
        <f t="shared" si="112"/>
        <v>Error?</v>
      </c>
    </row>
    <row r="7264" spans="1:4" x14ac:dyDescent="0.2">
      <c r="A7264">
        <f t="shared" si="113"/>
        <v>7203</v>
      </c>
      <c r="B7264" s="138">
        <f>'Expenditures 15-22'!D17</f>
        <v>14227</v>
      </c>
      <c r="D7264" s="2" t="str">
        <f t="shared" si="112"/>
        <v>Error?</v>
      </c>
    </row>
    <row r="7265" spans="1:5" x14ac:dyDescent="0.2">
      <c r="A7265">
        <f t="shared" si="113"/>
        <v>7204</v>
      </c>
      <c r="B7265" s="138">
        <f>'Expenditures 15-22'!E17</f>
        <v>5281</v>
      </c>
      <c r="D7265" s="2" t="str">
        <f t="shared" si="112"/>
        <v>Error?</v>
      </c>
    </row>
    <row r="7266" spans="1:5" x14ac:dyDescent="0.2">
      <c r="A7266">
        <f t="shared" si="113"/>
        <v>7205</v>
      </c>
      <c r="B7266" s="138">
        <f>'Expenditures 15-22'!F17</f>
        <v>1782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12010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12010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601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601</v>
      </c>
      <c r="D7613" s="2" t="str">
        <f t="shared" si="122"/>
        <v>Error?</v>
      </c>
      <c r="E7613" s="2" t="s">
        <v>19</v>
      </c>
    </row>
    <row r="7614" spans="1:5" x14ac:dyDescent="0.2">
      <c r="A7614">
        <f t="shared" si="123"/>
        <v>7553</v>
      </c>
      <c r="B7614" s="138">
        <f>'Cap Outlay Deprec 26'!L9</f>
        <v>11409</v>
      </c>
      <c r="D7614" s="2" t="str">
        <f t="shared" si="122"/>
        <v>Error?</v>
      </c>
      <c r="E7614" s="2" t="s">
        <v>19</v>
      </c>
    </row>
    <row r="7615" spans="1:5" x14ac:dyDescent="0.2">
      <c r="A7615">
        <f t="shared" si="123"/>
        <v>7554</v>
      </c>
      <c r="B7615" s="138">
        <f>'Cap Outlay Deprec 26'!C14</f>
        <v>63223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63223</v>
      </c>
      <c r="D7618" s="2" t="str">
        <f t="shared" si="124"/>
        <v>Error?</v>
      </c>
      <c r="E7618" s="2" t="s">
        <v>19</v>
      </c>
    </row>
    <row r="7619" spans="1:5" x14ac:dyDescent="0.2">
      <c r="A7619">
        <f t="shared" si="123"/>
        <v>7558</v>
      </c>
      <c r="B7619" s="138">
        <f>'Cap Outlay Deprec 26'!H14</f>
        <v>63223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63223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249867</v>
      </c>
      <c r="D7624" s="2" t="str">
        <f t="shared" si="124"/>
        <v>Error?</v>
      </c>
      <c r="E7624" s="2" t="s">
        <v>19</v>
      </c>
    </row>
    <row r="7625" spans="1:5" x14ac:dyDescent="0.2">
      <c r="A7625">
        <f t="shared" si="123"/>
        <v>7564</v>
      </c>
      <c r="B7625" s="138">
        <f>'Cap Outlay Deprec 26'!I17</f>
        <v>24986.7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1382527.7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1433457</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1298</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23074</v>
      </c>
      <c r="D7712" s="2" t="str">
        <f t="shared" si="126"/>
        <v>Error?</v>
      </c>
      <c r="E7712" s="2" t="s">
        <v>880</v>
      </c>
    </row>
    <row r="7713" spans="1:6" x14ac:dyDescent="0.2">
      <c r="A7713">
        <v>7652</v>
      </c>
      <c r="B7713" s="138">
        <f>'Rest Tax Levies-Tort Im 25'!J8</f>
        <v>982393</v>
      </c>
      <c r="D7713" s="2" t="str">
        <f t="shared" si="126"/>
        <v>Error?</v>
      </c>
      <c r="E7713" s="2" t="s">
        <v>880</v>
      </c>
    </row>
    <row r="7714" spans="1:6" x14ac:dyDescent="0.2">
      <c r="A7714">
        <v>7653</v>
      </c>
      <c r="B7714" s="138">
        <f>'Rest Tax Levies-Tort Im 25'!K9</f>
        <v>40258</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t="str">
        <f>'Rest Tax Levies-Tort Im 25'!K10</f>
        <v xml:space="preserve"> </v>
      </c>
      <c r="D7716" s="2" t="e">
        <f t="shared" si="126"/>
        <v>#VALUE!</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983691</v>
      </c>
      <c r="D7718" s="2" t="str">
        <f t="shared" si="126"/>
        <v>Error?</v>
      </c>
      <c r="E7718" s="2" t="s">
        <v>880</v>
      </c>
    </row>
    <row r="7719" spans="1:6" x14ac:dyDescent="0.2">
      <c r="A7719">
        <v>7658</v>
      </c>
      <c r="B7719" s="138">
        <f>'Rest Tax Levies-Tort Im 25'!K12</f>
        <v>63332</v>
      </c>
      <c r="D7719" s="2" t="str">
        <f t="shared" si="126"/>
        <v>Error?</v>
      </c>
      <c r="E7719" s="2" t="s">
        <v>880</v>
      </c>
    </row>
    <row r="7720" spans="1:6" x14ac:dyDescent="0.2">
      <c r="A7720">
        <v>7659</v>
      </c>
      <c r="B7720" s="138">
        <f>'Rest Tax Levies-Tort Im 25'!H14</f>
        <v>144464</v>
      </c>
      <c r="D7720" s="2" t="str">
        <f t="shared" si="126"/>
        <v>Error?</v>
      </c>
      <c r="E7720" s="2" t="s">
        <v>880</v>
      </c>
    </row>
    <row r="7721" spans="1:6" x14ac:dyDescent="0.2">
      <c r="A7721">
        <v>7660</v>
      </c>
      <c r="B7721" s="138">
        <f>'Rest Tax Levies-Tort Im 25'!K14</f>
        <v>63332</v>
      </c>
      <c r="D7721" s="2" t="str">
        <f t="shared" si="126"/>
        <v>Error?</v>
      </c>
      <c r="E7721" s="2" t="s">
        <v>880</v>
      </c>
    </row>
    <row r="7722" spans="1:6" x14ac:dyDescent="0.2">
      <c r="A7722">
        <v>7661</v>
      </c>
      <c r="B7722" s="138">
        <f>'Rest Tax Levies-Tort Im 25'!J15</f>
        <v>32359</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32359</v>
      </c>
      <c r="D7730" s="2" t="str">
        <f t="shared" si="126"/>
        <v>Error?</v>
      </c>
      <c r="E7730" s="2" t="s">
        <v>880</v>
      </c>
    </row>
    <row r="7731" spans="1:6" x14ac:dyDescent="0.2">
      <c r="A7731">
        <v>7670</v>
      </c>
      <c r="B7731" s="138">
        <f>'Revenues 9-14'!H103</f>
        <v>982393</v>
      </c>
      <c r="D7731" s="2" t="str">
        <f t="shared" si="126"/>
        <v>Error?</v>
      </c>
      <c r="E7731" s="2" t="s">
        <v>880</v>
      </c>
    </row>
    <row r="7732" spans="1:6" x14ac:dyDescent="0.2">
      <c r="A7732">
        <v>7671</v>
      </c>
      <c r="B7732" s="138">
        <f>'Rest Tax Levies-Tort Im 25'!J24</f>
        <v>2384789</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2384789</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1000000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19449</v>
      </c>
      <c r="D7787" s="2" t="str">
        <f t="shared" si="127"/>
        <v>Error?</v>
      </c>
      <c r="E7787" s="4" t="s">
        <v>1961</v>
      </c>
    </row>
    <row r="7788" spans="1:5" x14ac:dyDescent="0.2">
      <c r="A7788">
        <v>7727</v>
      </c>
      <c r="B7788" s="138">
        <f>'Expenditures 15-22'!K333</f>
        <v>19449</v>
      </c>
      <c r="D7788" s="2" t="str">
        <f t="shared" si="127"/>
        <v>Error?</v>
      </c>
      <c r="E7788" s="4" t="s">
        <v>1961</v>
      </c>
    </row>
    <row r="7789" spans="1:5" x14ac:dyDescent="0.2">
      <c r="A7789">
        <v>7728</v>
      </c>
      <c r="B7789" s="138">
        <f>'Expenditures 15-22'!H334</f>
        <v>19449</v>
      </c>
      <c r="D7789" s="2" t="str">
        <f t="shared" si="127"/>
        <v>Error?</v>
      </c>
      <c r="E7789" s="4" t="s">
        <v>1961</v>
      </c>
    </row>
    <row r="7790" spans="1:5" x14ac:dyDescent="0.2">
      <c r="A7790">
        <v>7729</v>
      </c>
      <c r="B7790" s="138">
        <f>'Expenditures 15-22'!K334</f>
        <v>19449</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19449</v>
      </c>
      <c r="D7796" s="2" t="str">
        <f t="shared" si="127"/>
        <v>Error?</v>
      </c>
      <c r="E7796" s="4" t="s">
        <v>1961</v>
      </c>
    </row>
    <row r="7797" spans="1:5" x14ac:dyDescent="0.2">
      <c r="A7797">
        <v>7736</v>
      </c>
      <c r="B7797" s="138">
        <f>'Contracts Paid in CY 29'!D138</f>
        <v>1761261</v>
      </c>
      <c r="D7797" s="2" t="str">
        <f t="shared" si="127"/>
        <v>Error?</v>
      </c>
      <c r="E7797" s="4" t="s">
        <v>2014</v>
      </c>
    </row>
    <row r="7798" spans="1:5" x14ac:dyDescent="0.2">
      <c r="A7798">
        <v>7737</v>
      </c>
      <c r="B7798" s="138">
        <f>'Contracts Paid in CY 29'!F138</f>
        <v>50000</v>
      </c>
      <c r="D7798" s="2" t="str">
        <f t="shared" si="127"/>
        <v>Error?</v>
      </c>
      <c r="E7798" s="4" t="s">
        <v>2014</v>
      </c>
    </row>
    <row r="7799" spans="1:5" x14ac:dyDescent="0.2">
      <c r="A7799">
        <v>7738</v>
      </c>
      <c r="B7799" s="138">
        <f>'Contracts Paid in CY 29'!G138</f>
        <v>1711261</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heetViews>
  <sheetFormatPr defaultColWidth="9.140625" defaultRowHeight="12.75" x14ac:dyDescent="0.2"/>
  <cols>
    <col min="1" max="1" width="7.85546875" style="1179" customWidth="1"/>
    <col min="2" max="2" width="2.28515625" style="1175" customWidth="1"/>
    <col min="3" max="3" width="9.140625" style="1179"/>
    <col min="4" max="4" width="22.5703125"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28" t="s">
        <v>1252</v>
      </c>
      <c r="B2" s="2528"/>
      <c r="C2" s="2528"/>
      <c r="D2" s="2528"/>
      <c r="E2" s="2528"/>
      <c r="F2" s="2528"/>
      <c r="G2" s="2528"/>
      <c r="H2" s="2528"/>
      <c r="I2" s="2528"/>
      <c r="J2" s="2528"/>
      <c r="K2" s="2528"/>
      <c r="L2" s="2528"/>
    </row>
    <row r="3" spans="1:29" ht="13.5" customHeight="1" x14ac:dyDescent="0.2">
      <c r="A3" s="2559" t="s">
        <v>1251</v>
      </c>
      <c r="B3" s="2559"/>
      <c r="C3" s="2559"/>
      <c r="D3" s="2559"/>
      <c r="E3" s="2559"/>
      <c r="F3" s="2559"/>
      <c r="G3" s="2559"/>
      <c r="H3" s="2559"/>
      <c r="I3" s="2559"/>
      <c r="J3" s="2559"/>
      <c r="K3" s="2559"/>
      <c r="L3" s="2559"/>
    </row>
    <row r="4" spans="1:29" ht="13.5" customHeight="1" x14ac:dyDescent="0.2">
      <c r="A4" s="2528" t="s">
        <v>1797</v>
      </c>
      <c r="B4" s="2549"/>
      <c r="C4" s="2549"/>
      <c r="D4" s="2549"/>
      <c r="E4" s="2549"/>
      <c r="F4" s="2549"/>
      <c r="G4" s="2549"/>
      <c r="H4" s="2549"/>
      <c r="I4" s="2549"/>
      <c r="J4" s="2549"/>
      <c r="K4" s="2549"/>
      <c r="L4" s="254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550" t="str">
        <f>COVER!A17</f>
        <v>Geneseo CUSD 228</v>
      </c>
      <c r="B7" s="2551"/>
      <c r="C7" s="2551"/>
      <c r="D7" s="2552"/>
      <c r="E7" s="2553">
        <f>COVER!A13</f>
        <v>28037228026</v>
      </c>
      <c r="F7" s="2554"/>
      <c r="G7" s="2560" t="str">
        <f>COVER!T23</f>
        <v>066-005027</v>
      </c>
      <c r="H7" s="2561"/>
      <c r="I7" s="2561"/>
      <c r="J7" s="2561"/>
      <c r="K7" s="2561"/>
      <c r="L7" s="2562"/>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563"/>
      <c r="B9" s="2564"/>
      <c r="C9" s="2564"/>
      <c r="D9" s="2564"/>
      <c r="E9" s="2564"/>
      <c r="F9" s="2565"/>
      <c r="G9" s="2534" t="str">
        <f>COVER!T13</f>
        <v>Gorenz and Associates, Ltd.</v>
      </c>
      <c r="H9" s="2557"/>
      <c r="I9" s="2557"/>
      <c r="J9" s="2557"/>
      <c r="K9" s="2557"/>
      <c r="L9" s="2558"/>
    </row>
    <row r="10" spans="1:29" ht="13.5" customHeight="1" x14ac:dyDescent="0.2">
      <c r="A10" s="2540" t="str">
        <f>COVER!A38</f>
        <v>Dr. Adam Brumbaugh</v>
      </c>
      <c r="B10" s="2541"/>
      <c r="C10" s="2541"/>
      <c r="D10" s="2541"/>
      <c r="E10" s="2541"/>
      <c r="F10" s="2542"/>
      <c r="G10" s="2534" t="str">
        <f>COVER!T17</f>
        <v>4200 N Knoxville Ave</v>
      </c>
      <c r="H10" s="2535"/>
      <c r="I10" s="2535"/>
      <c r="J10" s="2535"/>
      <c r="K10" s="2535"/>
      <c r="L10" s="2536"/>
    </row>
    <row r="11" spans="1:29" ht="13.5" customHeight="1" x14ac:dyDescent="0.2">
      <c r="A11" s="1183" t="s">
        <v>1598</v>
      </c>
      <c r="B11" s="1184"/>
      <c r="C11" s="1185"/>
      <c r="D11" s="1190"/>
      <c r="E11" s="1185"/>
      <c r="F11" s="1189"/>
      <c r="G11" s="2534" t="str">
        <f>COVER!T19</f>
        <v>Peoria</v>
      </c>
      <c r="H11" s="2535"/>
      <c r="I11" s="2535"/>
      <c r="J11" s="2535"/>
      <c r="K11" s="2535"/>
      <c r="L11" s="2536"/>
    </row>
    <row r="12" spans="1:29" ht="13.5" customHeight="1" x14ac:dyDescent="0.2">
      <c r="A12" s="2543" t="s">
        <v>1597</v>
      </c>
      <c r="B12" s="2544"/>
      <c r="C12" s="2544"/>
      <c r="D12" s="2544"/>
      <c r="E12" s="2544"/>
      <c r="F12" s="2545"/>
      <c r="G12" s="2537"/>
      <c r="H12" s="2538"/>
      <c r="I12" s="2538"/>
      <c r="J12" s="2538"/>
      <c r="K12" s="2538"/>
      <c r="L12" s="2539"/>
    </row>
    <row r="13" spans="1:29" ht="13.5" customHeight="1" x14ac:dyDescent="0.2">
      <c r="A13" s="2534"/>
      <c r="B13" s="2535"/>
      <c r="C13" s="2535"/>
      <c r="D13" s="2535"/>
      <c r="E13" s="2535"/>
      <c r="F13" s="2536"/>
      <c r="G13" s="2529" t="s">
        <v>1599</v>
      </c>
      <c r="H13" s="2530"/>
      <c r="I13" s="2546" t="str">
        <f>COVER!T25</f>
        <v>tcustis@gorenzcpa.com</v>
      </c>
      <c r="J13" s="2547"/>
      <c r="K13" s="2547"/>
      <c r="L13" s="2548"/>
    </row>
    <row r="14" spans="1:29" ht="13.5" customHeight="1" x14ac:dyDescent="0.2">
      <c r="A14" s="2534" t="str">
        <f>COVER!A19</f>
        <v>648 North Chicago St.</v>
      </c>
      <c r="B14" s="2535"/>
      <c r="C14" s="2535"/>
      <c r="D14" s="2535"/>
      <c r="E14" s="2535"/>
      <c r="F14" s="2536"/>
      <c r="G14" s="1194" t="s">
        <v>1246</v>
      </c>
      <c r="H14" s="1192"/>
      <c r="I14" s="1192"/>
      <c r="J14" s="1192"/>
      <c r="K14" s="1192"/>
      <c r="L14" s="1193"/>
    </row>
    <row r="15" spans="1:29" ht="13.5" customHeight="1" x14ac:dyDescent="0.2">
      <c r="A15" s="2534" t="str">
        <f>COVER!A21</f>
        <v>Geneseo, IL</v>
      </c>
      <c r="B15" s="2535"/>
      <c r="C15" s="2535"/>
      <c r="D15" s="2535"/>
      <c r="E15" s="2535"/>
      <c r="F15" s="2536"/>
      <c r="G15" s="2531" t="str">
        <f>COVER!T15</f>
        <v>Tim C. Custis, CPA</v>
      </c>
      <c r="H15" s="2532"/>
      <c r="I15" s="2532"/>
      <c r="J15" s="2532"/>
      <c r="K15" s="2532"/>
      <c r="L15" s="2533"/>
    </row>
    <row r="16" spans="1:29" ht="12.2" customHeight="1" x14ac:dyDescent="0.2">
      <c r="A16" s="2556">
        <f>COVER!A25</f>
        <v>61254</v>
      </c>
      <c r="B16" s="2557"/>
      <c r="C16" s="2557"/>
      <c r="D16" s="2557"/>
      <c r="E16" s="2557"/>
      <c r="F16" s="2558"/>
      <c r="G16" s="2566"/>
      <c r="H16" s="2567"/>
      <c r="I16" s="2567"/>
      <c r="J16" s="2567"/>
      <c r="K16" s="2567"/>
      <c r="L16" s="2568"/>
    </row>
    <row r="17" spans="1:13" ht="12.2" customHeight="1" x14ac:dyDescent="0.2">
      <c r="A17" s="2569"/>
      <c r="B17" s="2570"/>
      <c r="C17" s="2570"/>
      <c r="D17" s="2570"/>
      <c r="E17" s="2570"/>
      <c r="F17" s="2571"/>
      <c r="G17" s="1194" t="s">
        <v>1245</v>
      </c>
      <c r="H17" s="1192"/>
      <c r="I17" s="1192"/>
      <c r="J17" s="1192"/>
      <c r="K17" s="1196" t="s">
        <v>1244</v>
      </c>
      <c r="L17" s="1189"/>
      <c r="M17" s="1182"/>
    </row>
    <row r="18" spans="1:13" ht="12.2" customHeight="1" x14ac:dyDescent="0.2">
      <c r="A18" s="2540"/>
      <c r="B18" s="2541"/>
      <c r="C18" s="2541"/>
      <c r="D18" s="2541"/>
      <c r="E18" s="2541"/>
      <c r="F18" s="2542"/>
      <c r="G18" s="2550" t="str">
        <f>COVER!T21</f>
        <v>309-685-7621</v>
      </c>
      <c r="H18" s="2551"/>
      <c r="I18" s="2551"/>
      <c r="J18" s="2551"/>
      <c r="K18" s="2550" t="str">
        <f>COVER!X21</f>
        <v>309-685-4758</v>
      </c>
      <c r="L18" s="255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1798</v>
      </c>
    </row>
    <row r="22" spans="1:13" ht="12.2" customHeight="1" x14ac:dyDescent="0.2">
      <c r="A22" s="1199"/>
    </row>
    <row r="23" spans="1:13" ht="12.2" customHeight="1" x14ac:dyDescent="0.2">
      <c r="A23" s="1199"/>
      <c r="B23" s="1200" t="s">
        <v>2071</v>
      </c>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t="s">
        <v>2071</v>
      </c>
      <c r="C26" s="1201" t="s">
        <v>1799</v>
      </c>
    </row>
    <row r="27" spans="1:13" s="1197" customFormat="1" ht="9" customHeight="1" x14ac:dyDescent="0.2">
      <c r="B27" s="1202"/>
      <c r="C27" s="1201"/>
    </row>
    <row r="28" spans="1:13" s="1197" customFormat="1" ht="12.2" customHeight="1" x14ac:dyDescent="0.2">
      <c r="A28" s="1204"/>
      <c r="B28" s="1200" t="s">
        <v>2071</v>
      </c>
      <c r="C28" s="1201" t="s">
        <v>1800</v>
      </c>
    </row>
    <row r="29" spans="1:13" s="1197" customFormat="1" ht="9" customHeight="1" x14ac:dyDescent="0.2">
      <c r="A29" s="1204"/>
      <c r="B29" s="1202"/>
      <c r="C29" s="1201"/>
    </row>
    <row r="30" spans="1:13" s="1197" customFormat="1" ht="12.2" customHeight="1" x14ac:dyDescent="0.2">
      <c r="B30" s="1200" t="s">
        <v>2071</v>
      </c>
      <c r="C30" s="1201" t="s">
        <v>1641</v>
      </c>
      <c r="D30" s="1195"/>
      <c r="E30" s="1195"/>
    </row>
    <row r="31" spans="1:13" s="1197" customFormat="1" ht="9" customHeight="1" x14ac:dyDescent="0.2">
      <c r="B31" s="1202"/>
      <c r="C31" s="1201"/>
      <c r="D31" s="1195"/>
      <c r="E31" s="1195"/>
    </row>
    <row r="32" spans="1:13" s="1197" customFormat="1" ht="12.2" customHeight="1" x14ac:dyDescent="0.2">
      <c r="B32" s="1200" t="s">
        <v>2071</v>
      </c>
      <c r="C32" s="1201" t="s">
        <v>1642</v>
      </c>
      <c r="D32" s="1195"/>
      <c r="E32" s="1195"/>
    </row>
    <row r="33" spans="1:8" s="1197" customFormat="1" ht="10.9" customHeight="1" x14ac:dyDescent="0.2">
      <c r="B33" s="1202"/>
      <c r="C33" s="1205" t="s">
        <v>1801</v>
      </c>
      <c r="D33" s="1195"/>
      <c r="E33" s="1195"/>
    </row>
    <row r="34" spans="1:8" ht="9" customHeight="1" x14ac:dyDescent="0.2">
      <c r="B34" s="1202"/>
      <c r="C34" s="1205"/>
    </row>
    <row r="35" spans="1:8" s="1197" customFormat="1" ht="13.5" customHeight="1" x14ac:dyDescent="0.2">
      <c r="B35" s="1200" t="s">
        <v>2071</v>
      </c>
      <c r="C35" s="1201" t="s">
        <v>1643</v>
      </c>
    </row>
    <row r="36" spans="1:8" s="1197" customFormat="1" ht="10.9" customHeight="1" x14ac:dyDescent="0.2">
      <c r="B36" s="1202"/>
      <c r="C36" s="1205" t="s">
        <v>1644</v>
      </c>
    </row>
    <row r="37" spans="1:8" ht="9" customHeight="1" x14ac:dyDescent="0.2">
      <c r="B37" s="1202"/>
      <c r="C37" s="1205"/>
    </row>
    <row r="38" spans="1:8" s="1197" customFormat="1" ht="12.2" customHeight="1" x14ac:dyDescent="0.2">
      <c r="B38" s="1200" t="s">
        <v>2071</v>
      </c>
      <c r="C38" s="1201" t="s">
        <v>1645</v>
      </c>
    </row>
    <row r="39" spans="1:8" ht="9" customHeight="1" x14ac:dyDescent="0.2">
      <c r="B39" s="1202"/>
      <c r="C39" s="1205"/>
    </row>
    <row r="40" spans="1:8" s="1197" customFormat="1" ht="13.5" customHeight="1" x14ac:dyDescent="0.2">
      <c r="B40" s="1200" t="s">
        <v>2071</v>
      </c>
      <c r="C40" s="1201" t="s">
        <v>1646</v>
      </c>
    </row>
    <row r="41" spans="1:8" ht="9" customHeight="1" x14ac:dyDescent="0.2">
      <c r="A41" s="1206"/>
      <c r="B41" s="1202"/>
      <c r="C41" s="1205"/>
    </row>
    <row r="42" spans="1:8" s="1197" customFormat="1" ht="13.5" customHeight="1" x14ac:dyDescent="0.2">
      <c r="B42" s="1200"/>
      <c r="C42" s="1201" t="s">
        <v>1941</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t="s">
        <v>2071</v>
      </c>
      <c r="C46" s="1208" t="s">
        <v>1647</v>
      </c>
      <c r="D46" s="1195"/>
      <c r="E46" s="1195"/>
      <c r="F46" s="1195"/>
      <c r="G46" s="1195"/>
      <c r="H46" s="1195"/>
    </row>
    <row r="47" spans="1:8" ht="9" customHeight="1" x14ac:dyDescent="0.2"/>
    <row r="48" spans="1:8" ht="12.2" customHeight="1" x14ac:dyDescent="0.2">
      <c r="B48" s="1209"/>
      <c r="C48" s="1210" t="s">
        <v>1648</v>
      </c>
    </row>
    <row r="49" spans="1:12" ht="9" customHeight="1" x14ac:dyDescent="0.2"/>
    <row r="50" spans="1:12" ht="6" customHeight="1" x14ac:dyDescent="0.2">
      <c r="C50" s="1210"/>
    </row>
    <row r="51" spans="1:12" ht="12.2" customHeight="1" x14ac:dyDescent="0.2">
      <c r="A51" s="1212" t="s">
        <v>1802</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1"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72" t="str">
        <f>'Single Audit Cover'!A7</f>
        <v>Geneseo CUSD 228</v>
      </c>
      <c r="B1" s="2549"/>
      <c r="C1" s="2549"/>
      <c r="D1" s="2549"/>
    </row>
    <row r="2" spans="1:11" s="1213" customFormat="1" ht="12.75" x14ac:dyDescent="0.2">
      <c r="A2" s="2573">
        <f>'Single Audit Cover'!E7</f>
        <v>28037228026</v>
      </c>
      <c r="B2" s="2574"/>
      <c r="C2" s="2574"/>
      <c r="D2" s="2574"/>
    </row>
    <row r="3" spans="1:11" s="1213" customFormat="1" ht="12.75" x14ac:dyDescent="0.2">
      <c r="A3" s="2572" t="s">
        <v>1592</v>
      </c>
      <c r="B3" s="2549"/>
      <c r="C3" s="2549"/>
      <c r="D3" s="2549"/>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1803</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1804</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1805</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1806</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1827</v>
      </c>
      <c r="E24" s="1226"/>
      <c r="F24" s="1226"/>
      <c r="G24" s="1226"/>
      <c r="H24" s="1226"/>
      <c r="I24" s="1226"/>
      <c r="J24" s="1226"/>
      <c r="K24" s="1226"/>
    </row>
    <row r="25" spans="1:11" x14ac:dyDescent="0.2">
      <c r="A25" s="1220"/>
      <c r="B25" s="1229"/>
      <c r="D25" s="1228" t="s">
        <v>1807</v>
      </c>
      <c r="E25" s="1226"/>
      <c r="F25" s="1226"/>
      <c r="G25" s="1226"/>
      <c r="H25" s="1226"/>
      <c r="I25" s="1226"/>
      <c r="J25" s="1226"/>
      <c r="K25" s="1226"/>
    </row>
    <row r="26" spans="1:11" x14ac:dyDescent="0.2">
      <c r="A26" s="1220"/>
      <c r="B26" s="1229"/>
      <c r="D26" s="1233" t="s">
        <v>1808</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1649</v>
      </c>
      <c r="E28" s="1226"/>
      <c r="F28" s="1226"/>
      <c r="G28" s="1226"/>
      <c r="H28" s="1226"/>
      <c r="I28" s="1226"/>
      <c r="J28" s="1226"/>
      <c r="K28" s="1226"/>
    </row>
    <row r="29" spans="1:11" ht="10.5" customHeight="1" x14ac:dyDescent="0.2">
      <c r="A29" s="1220"/>
      <c r="D29" s="1234" t="s">
        <v>1650</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1651</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1651</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1652</v>
      </c>
    </row>
    <row r="41" spans="1:5" ht="3" customHeight="1" x14ac:dyDescent="0.2">
      <c r="A41" s="1220"/>
      <c r="B41" s="1237"/>
      <c r="C41" s="1238"/>
      <c r="D41" s="1219"/>
    </row>
    <row r="42" spans="1:5" ht="10.5" customHeight="1" x14ac:dyDescent="0.2">
      <c r="A42" s="1220"/>
      <c r="B42" s="1239"/>
      <c r="C42" s="1230">
        <v>11</v>
      </c>
      <c r="D42" s="1241" t="s">
        <v>1653</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1654</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1809</v>
      </c>
    </row>
    <row r="57" spans="1:4" ht="10.5" customHeight="1" x14ac:dyDescent="0.2">
      <c r="A57" s="1220"/>
      <c r="D57" s="1235" t="s">
        <v>1810</v>
      </c>
    </row>
    <row r="58" spans="1:4" x14ac:dyDescent="0.2">
      <c r="A58" s="1220"/>
      <c r="C58" s="1242"/>
      <c r="D58" s="1235" t="s">
        <v>1811</v>
      </c>
    </row>
    <row r="59" spans="1:4" ht="10.5" customHeight="1" x14ac:dyDescent="0.2">
      <c r="A59" s="1220"/>
      <c r="D59" s="1219" t="s">
        <v>1270</v>
      </c>
    </row>
    <row r="60" spans="1:4" ht="10.5" customHeight="1" x14ac:dyDescent="0.2">
      <c r="A60" s="1220"/>
      <c r="D60" s="1243" t="s">
        <v>1679</v>
      </c>
    </row>
    <row r="61" spans="1:4" ht="10.5" customHeight="1" x14ac:dyDescent="0.2">
      <c r="A61" s="1220"/>
      <c r="C61" s="1242"/>
      <c r="D61" s="1235" t="s">
        <v>1812</v>
      </c>
    </row>
    <row r="62" spans="1:4" ht="10.5" customHeight="1" x14ac:dyDescent="0.2">
      <c r="A62" s="1220"/>
      <c r="D62" s="1244" t="s">
        <v>1269</v>
      </c>
    </row>
    <row r="63" spans="1:4" ht="10.5" customHeight="1" x14ac:dyDescent="0.2">
      <c r="A63" s="1220"/>
      <c r="D63" s="1219" t="s">
        <v>1655</v>
      </c>
    </row>
    <row r="64" spans="1:4" ht="10.5" customHeight="1" x14ac:dyDescent="0.2">
      <c r="A64" s="1220"/>
      <c r="D64" s="1243" t="s">
        <v>1678</v>
      </c>
    </row>
    <row r="65" spans="1:4" x14ac:dyDescent="0.2">
      <c r="A65" s="1220"/>
      <c r="C65" s="1242"/>
      <c r="D65" s="1235" t="s">
        <v>1813</v>
      </c>
    </row>
    <row r="66" spans="1:4" ht="10.5" customHeight="1" x14ac:dyDescent="0.2">
      <c r="A66" s="1220"/>
      <c r="D66" s="1245" t="s">
        <v>1268</v>
      </c>
    </row>
    <row r="67" spans="1:4" ht="10.5" customHeight="1" x14ac:dyDescent="0.2">
      <c r="A67" s="1220"/>
      <c r="D67" s="1219" t="s">
        <v>1656</v>
      </c>
    </row>
    <row r="68" spans="1:4" ht="10.5" customHeight="1" x14ac:dyDescent="0.2">
      <c r="A68" s="1220"/>
      <c r="D68" s="1243" t="s">
        <v>1678</v>
      </c>
    </row>
    <row r="69" spans="1:4" ht="10.5" customHeight="1" x14ac:dyDescent="0.2">
      <c r="A69" s="1220"/>
      <c r="C69" s="1242"/>
      <c r="D69" s="1235" t="s">
        <v>1814</v>
      </c>
    </row>
    <row r="70" spans="1:4" x14ac:dyDescent="0.2">
      <c r="A70" s="1220"/>
      <c r="D70" s="1244" t="s">
        <v>1267</v>
      </c>
    </row>
    <row r="71" spans="1:4" ht="3" customHeight="1" x14ac:dyDescent="0.2">
      <c r="A71" s="1220"/>
      <c r="D71" s="1219"/>
    </row>
    <row r="72" spans="1:4" x14ac:dyDescent="0.2">
      <c r="A72" s="1220"/>
      <c r="B72" s="1223"/>
      <c r="C72" s="1224">
        <f>C56+1</f>
        <v>18</v>
      </c>
      <c r="D72" s="1245" t="s">
        <v>1815</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1816</v>
      </c>
    </row>
    <row r="77" spans="1:4" ht="3" customHeight="1" x14ac:dyDescent="0.2">
      <c r="A77" s="1220"/>
      <c r="B77" s="1227"/>
      <c r="C77" s="1224"/>
      <c r="D77" s="1246"/>
    </row>
    <row r="78" spans="1:4" x14ac:dyDescent="0.2">
      <c r="A78" s="1220"/>
      <c r="B78" s="1223"/>
      <c r="C78" s="1224">
        <f>C76+1</f>
        <v>21</v>
      </c>
      <c r="D78" s="1219" t="s">
        <v>1817</v>
      </c>
    </row>
    <row r="79" spans="1:4" ht="3" customHeight="1" x14ac:dyDescent="0.2">
      <c r="A79" s="1220"/>
      <c r="B79" s="1227"/>
      <c r="C79" s="1224"/>
      <c r="D79" s="1219"/>
    </row>
    <row r="80" spans="1:4" x14ac:dyDescent="0.2">
      <c r="A80" s="1220"/>
      <c r="B80" s="1223"/>
      <c r="C80" s="1224">
        <f>C78+1</f>
        <v>22</v>
      </c>
      <c r="D80" s="1247" t="s">
        <v>1818</v>
      </c>
    </row>
    <row r="81" spans="1:4" ht="3" customHeight="1" x14ac:dyDescent="0.2">
      <c r="A81" s="1220"/>
      <c r="B81" s="1227"/>
      <c r="C81" s="1224"/>
      <c r="D81" s="1247"/>
    </row>
    <row r="82" spans="1:4" x14ac:dyDescent="0.2">
      <c r="A82" s="1220"/>
      <c r="B82" s="1223"/>
      <c r="C82" s="1224">
        <f>C80+1</f>
        <v>23</v>
      </c>
      <c r="D82" s="1246" t="s">
        <v>1819</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1820</v>
      </c>
    </row>
    <row r="92" spans="1:4" x14ac:dyDescent="0.2">
      <c r="A92" s="1220"/>
      <c r="B92" s="1248"/>
      <c r="C92" s="1242"/>
      <c r="D92" s="1235" t="s">
        <v>1261</v>
      </c>
    </row>
    <row r="93" spans="1:4" ht="4.5" customHeight="1" x14ac:dyDescent="0.2">
      <c r="A93" s="1220"/>
      <c r="D93" s="1219"/>
    </row>
    <row r="94" spans="1:4" x14ac:dyDescent="0.2">
      <c r="A94" s="1220"/>
      <c r="B94" s="1221" t="s">
        <v>1657</v>
      </c>
      <c r="C94" s="1222"/>
      <c r="D94" s="1219"/>
    </row>
    <row r="95" spans="1:4" ht="4.5" customHeight="1" x14ac:dyDescent="0.2">
      <c r="A95" s="1220"/>
      <c r="B95" s="1221"/>
      <c r="C95" s="1222"/>
      <c r="D95" s="1219"/>
    </row>
    <row r="96" spans="1:4" x14ac:dyDescent="0.2">
      <c r="A96" s="1220"/>
      <c r="B96" s="1223"/>
      <c r="C96" s="1224">
        <f>C91+1</f>
        <v>28</v>
      </c>
      <c r="D96" s="1235" t="s">
        <v>1821</v>
      </c>
    </row>
    <row r="97" spans="1:4" ht="3" customHeight="1" x14ac:dyDescent="0.2">
      <c r="A97" s="1220"/>
      <c r="B97" s="1227"/>
      <c r="C97" s="1224"/>
      <c r="D97" s="1235"/>
    </row>
    <row r="98" spans="1:4" x14ac:dyDescent="0.2">
      <c r="A98" s="1220"/>
      <c r="B98" s="1223"/>
      <c r="C98" s="1224">
        <f>C96+1</f>
        <v>29</v>
      </c>
      <c r="D98" s="1249" t="s">
        <v>1822</v>
      </c>
    </row>
    <row r="99" spans="1:4" ht="3" customHeight="1" x14ac:dyDescent="0.2">
      <c r="A99" s="1220"/>
      <c r="B99" s="1227"/>
      <c r="C99" s="1224"/>
      <c r="D99" s="1249"/>
    </row>
    <row r="100" spans="1:4" x14ac:dyDescent="0.2">
      <c r="A100" s="1220"/>
      <c r="B100" s="1223"/>
      <c r="C100" s="1224">
        <f>C98+1</f>
        <v>30</v>
      </c>
      <c r="D100" s="1235" t="s">
        <v>1823</v>
      </c>
    </row>
    <row r="101" spans="1:4" ht="3" customHeight="1" x14ac:dyDescent="0.2">
      <c r="A101" s="1220"/>
      <c r="B101" s="1227"/>
      <c r="C101" s="1224"/>
      <c r="D101" s="1250"/>
    </row>
    <row r="102" spans="1:4" x14ac:dyDescent="0.2">
      <c r="A102" s="1220"/>
      <c r="B102" s="1223"/>
      <c r="C102" s="1224">
        <f>C100+1</f>
        <v>31</v>
      </c>
      <c r="D102" s="1235" t="s">
        <v>1658</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1659</v>
      </c>
    </row>
    <row r="107" spans="1:4" ht="3" customHeight="1" x14ac:dyDescent="0.2">
      <c r="A107" s="1220"/>
      <c r="B107" s="1227"/>
      <c r="C107" s="1224"/>
      <c r="D107" s="1219"/>
    </row>
    <row r="108" spans="1:4" x14ac:dyDescent="0.2">
      <c r="A108" s="1220"/>
      <c r="B108" s="1223"/>
      <c r="C108" s="1224">
        <v>33</v>
      </c>
      <c r="D108" s="1219" t="s">
        <v>1824</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1825</v>
      </c>
    </row>
    <row r="118" spans="1:4" ht="3" customHeight="1" x14ac:dyDescent="0.2">
      <c r="A118" s="1220"/>
      <c r="B118" s="1227"/>
      <c r="C118" s="1224"/>
      <c r="D118" s="1235"/>
    </row>
    <row r="119" spans="1:4" x14ac:dyDescent="0.2">
      <c r="A119" s="1220"/>
      <c r="B119" s="1223"/>
      <c r="C119" s="1224">
        <f>C117+1</f>
        <v>38</v>
      </c>
      <c r="D119" s="1235" t="s">
        <v>1826</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1942</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76" t="str">
        <f>'Single Audit Cover'!A7</f>
        <v>Geneseo CUSD 228</v>
      </c>
      <c r="B1" s="2576"/>
      <c r="C1" s="2576"/>
      <c r="D1" s="2576"/>
      <c r="E1" s="2576"/>
    </row>
    <row r="2" spans="1:5" x14ac:dyDescent="0.2">
      <c r="A2" s="2577">
        <f>'Single Audit Cover'!E7</f>
        <v>28037228026</v>
      </c>
      <c r="B2" s="2577"/>
      <c r="C2" s="2577"/>
      <c r="D2" s="2577"/>
      <c r="E2" s="2577"/>
    </row>
    <row r="3" spans="1:5" ht="4.5" customHeight="1" x14ac:dyDescent="0.2"/>
    <row r="4" spans="1:5" x14ac:dyDescent="0.2">
      <c r="A4" s="2576" t="s">
        <v>1306</v>
      </c>
      <c r="B4" s="2576"/>
      <c r="C4" s="2576"/>
      <c r="D4" s="2576"/>
      <c r="E4" s="2576"/>
    </row>
    <row r="5" spans="1:5" x14ac:dyDescent="0.2">
      <c r="A5" s="2579" t="str">
        <f>'Single Audit Cover'!A4</f>
        <v>Year Ending June 30, 2018</v>
      </c>
      <c r="B5" s="2579"/>
      <c r="C5" s="2579"/>
      <c r="D5" s="2579"/>
      <c r="E5" s="2579"/>
    </row>
    <row r="6" spans="1:5" x14ac:dyDescent="0.2">
      <c r="A6" s="2576" t="s">
        <v>1305</v>
      </c>
      <c r="B6" s="2576"/>
      <c r="C6" s="2576"/>
      <c r="D6" s="2576"/>
      <c r="E6" s="2576"/>
    </row>
    <row r="8" spans="1:5" x14ac:dyDescent="0.2">
      <c r="A8" s="1258" t="s">
        <v>1304</v>
      </c>
    </row>
    <row r="10" spans="1:5" x14ac:dyDescent="0.2">
      <c r="A10" s="1259" t="s">
        <v>1303</v>
      </c>
      <c r="B10" s="1260" t="s">
        <v>1302</v>
      </c>
      <c r="C10" s="1260"/>
      <c r="D10" s="1261">
        <f>SUM('Acct Summary 7-8'!C7:K7)</f>
        <v>761239</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1828</v>
      </c>
      <c r="B14" s="1260"/>
      <c r="C14" s="1260"/>
      <c r="D14" s="1262">
        <f>'ICR Computation 30'!E11</f>
        <v>88599</v>
      </c>
    </row>
    <row r="15" spans="1:5" x14ac:dyDescent="0.2">
      <c r="A15" s="1259"/>
      <c r="B15" s="1260"/>
      <c r="C15" s="1260"/>
    </row>
    <row r="16" spans="1:5" x14ac:dyDescent="0.2">
      <c r="A16" s="1259" t="s">
        <v>1950</v>
      </c>
      <c r="B16" s="1260"/>
      <c r="C16" s="1260"/>
    </row>
    <row r="17" spans="1:4" x14ac:dyDescent="0.2">
      <c r="A17" s="1259" t="s">
        <v>1600</v>
      </c>
      <c r="B17" s="1260" t="s">
        <v>1297</v>
      </c>
      <c r="C17" s="1260"/>
      <c r="D17" s="1262">
        <f>-SUM('Revenues 9-14'!C271:D271,'Revenues 9-14'!F271:G271)</f>
        <v>-10040</v>
      </c>
    </row>
    <row r="19" spans="1:4" ht="13.5" thickBot="1" x14ac:dyDescent="0.25">
      <c r="A19" s="1263" t="s">
        <v>1296</v>
      </c>
      <c r="D19" s="1264">
        <f>SUM(D10:D17)</f>
        <v>839798</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578" t="s">
        <v>2237</v>
      </c>
      <c r="B24" s="2578"/>
      <c r="D24" s="1266">
        <v>-88599</v>
      </c>
    </row>
    <row r="25" spans="1:4" x14ac:dyDescent="0.2">
      <c r="A25" s="2575"/>
      <c r="B25" s="2575"/>
      <c r="D25" s="1266"/>
    </row>
    <row r="26" spans="1:4" x14ac:dyDescent="0.2">
      <c r="A26" s="2575"/>
      <c r="B26" s="2575"/>
      <c r="D26" s="1266"/>
    </row>
    <row r="27" spans="1:4" x14ac:dyDescent="0.2">
      <c r="A27" s="2575"/>
      <c r="B27" s="2575"/>
      <c r="D27" s="1266"/>
    </row>
    <row r="28" spans="1:4" x14ac:dyDescent="0.2">
      <c r="A28" s="2575"/>
      <c r="B28" s="2575"/>
      <c r="D28" s="1266"/>
    </row>
    <row r="29" spans="1:4" x14ac:dyDescent="0.2">
      <c r="A29" s="2575"/>
      <c r="B29" s="2575"/>
      <c r="D29" s="1266"/>
    </row>
    <row r="30" spans="1:4" x14ac:dyDescent="0.2">
      <c r="A30" s="2575"/>
      <c r="B30" s="2575"/>
      <c r="D30" s="1266"/>
    </row>
    <row r="32" spans="1:4" x14ac:dyDescent="0.2">
      <c r="A32" s="1258" t="s">
        <v>1294</v>
      </c>
      <c r="D32" s="1261">
        <f>SUM(D19:D30)</f>
        <v>751199</v>
      </c>
    </row>
    <row r="33" spans="1:4" x14ac:dyDescent="0.2">
      <c r="D33" s="1267"/>
    </row>
    <row r="34" spans="1:4" x14ac:dyDescent="0.2">
      <c r="A34" s="317" t="s">
        <v>1293</v>
      </c>
    </row>
    <row r="35" spans="1:4" x14ac:dyDescent="0.2">
      <c r="A35" s="317" t="s">
        <v>1292</v>
      </c>
      <c r="B35" s="1256" t="s">
        <v>1291</v>
      </c>
      <c r="D35" s="1268">
        <v>751199</v>
      </c>
    </row>
    <row r="37" spans="1:4" x14ac:dyDescent="0.2">
      <c r="A37" s="1258" t="s">
        <v>1290</v>
      </c>
    </row>
    <row r="39" spans="1:4" ht="13.35" customHeight="1" x14ac:dyDescent="0.2">
      <c r="A39" s="1265" t="s">
        <v>1289</v>
      </c>
    </row>
    <row r="40" spans="1:4" x14ac:dyDescent="0.2">
      <c r="A40" s="2575"/>
      <c r="B40" s="2575"/>
      <c r="D40" s="1266"/>
    </row>
    <row r="41" spans="1:4" x14ac:dyDescent="0.2">
      <c r="A41" s="2575"/>
      <c r="B41" s="2575"/>
      <c r="D41" s="1269"/>
    </row>
    <row r="42" spans="1:4" x14ac:dyDescent="0.2">
      <c r="A42" s="2575"/>
      <c r="B42" s="2575"/>
      <c r="D42" s="1269"/>
    </row>
    <row r="43" spans="1:4" x14ac:dyDescent="0.2">
      <c r="A43" s="2575"/>
      <c r="B43" s="2575"/>
      <c r="D43" s="1269"/>
    </row>
    <row r="44" spans="1:4" x14ac:dyDescent="0.2">
      <c r="A44" s="2575"/>
      <c r="B44" s="2575"/>
      <c r="D44" s="1269"/>
    </row>
    <row r="45" spans="1:4" x14ac:dyDescent="0.2">
      <c r="A45" s="2575"/>
      <c r="B45" s="2575"/>
      <c r="D45" s="1269"/>
    </row>
    <row r="47" spans="1:4" x14ac:dyDescent="0.2">
      <c r="B47" s="1270" t="s">
        <v>1288</v>
      </c>
      <c r="C47" s="1270"/>
      <c r="D47" s="1271">
        <f>SUM(D35:D45)</f>
        <v>751199</v>
      </c>
    </row>
    <row r="49" spans="2:4" x14ac:dyDescent="0.2">
      <c r="B49" s="1270" t="s">
        <v>1287</v>
      </c>
      <c r="C49" s="1270"/>
      <c r="D49" s="127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1"/>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91" t="str">
        <f>'Single Audit Cover'!A7</f>
        <v>Geneseo CUSD 228</v>
      </c>
      <c r="B1" s="2591"/>
      <c r="C1" s="2591"/>
      <c r="D1" s="2591"/>
      <c r="E1" s="2591"/>
      <c r="F1" s="2591"/>
    </row>
    <row r="2" spans="1:7" ht="13.5" customHeight="1" x14ac:dyDescent="0.2">
      <c r="A2" s="2592">
        <f>'Single Audit Cover'!E7</f>
        <v>28037228026</v>
      </c>
      <c r="B2" s="2592"/>
      <c r="C2" s="2592"/>
      <c r="D2" s="2592"/>
      <c r="E2" s="2592"/>
      <c r="F2" s="2592"/>
      <c r="G2" s="1273"/>
    </row>
    <row r="3" spans="1:7" ht="15.75" customHeight="1" x14ac:dyDescent="0.2">
      <c r="A3" s="2593" t="s">
        <v>1332</v>
      </c>
      <c r="B3" s="2593"/>
      <c r="C3" s="2593"/>
      <c r="D3" s="2593"/>
      <c r="E3" s="2593"/>
      <c r="F3" s="2593"/>
    </row>
    <row r="4" spans="1:7" ht="13.5" customHeight="1" x14ac:dyDescent="0.2">
      <c r="A4" s="2594" t="str">
        <f>'Single Audit Cover'!A4</f>
        <v>Year Ending June 30, 2018</v>
      </c>
      <c r="B4" s="2594"/>
      <c r="C4" s="2594"/>
      <c r="D4" s="2594"/>
      <c r="E4" s="2594"/>
      <c r="F4" s="2594"/>
    </row>
    <row r="5" spans="1:7" ht="8.25" customHeight="1" x14ac:dyDescent="0.2">
      <c r="C5" s="317"/>
      <c r="D5" s="317"/>
    </row>
    <row r="6" spans="1:7" ht="13.5" customHeight="1" x14ac:dyDescent="0.2">
      <c r="A6" s="1274" t="s">
        <v>1829</v>
      </c>
      <c r="C6" s="317"/>
      <c r="D6" s="317"/>
    </row>
    <row r="7" spans="1:7" ht="60.95" customHeight="1" x14ac:dyDescent="0.2">
      <c r="A7" s="2590" t="s">
        <v>2196</v>
      </c>
      <c r="B7" s="2590"/>
      <c r="C7" s="2590"/>
      <c r="D7" s="2590"/>
      <c r="E7" s="2590"/>
      <c r="F7" s="2590"/>
    </row>
    <row r="8" spans="1:7" ht="12" customHeight="1" x14ac:dyDescent="0.2">
      <c r="A8" s="1274"/>
      <c r="B8" s="1280"/>
      <c r="C8" s="1280"/>
      <c r="D8" s="1280"/>
    </row>
    <row r="9" spans="1:7" ht="15" customHeight="1" x14ac:dyDescent="0.2">
      <c r="A9" s="1275" t="s">
        <v>1830</v>
      </c>
      <c r="B9" s="1278"/>
      <c r="C9" s="1278"/>
      <c r="D9" s="1278"/>
      <c r="E9" s="1276"/>
      <c r="F9" s="1276"/>
      <c r="G9" s="1276"/>
    </row>
    <row r="10" spans="1:7" ht="15" customHeight="1" x14ac:dyDescent="0.2">
      <c r="A10" s="1277" t="s">
        <v>1627</v>
      </c>
      <c r="B10" s="1278"/>
      <c r="C10" s="1279"/>
      <c r="D10" s="1278" t="s">
        <v>1628</v>
      </c>
      <c r="E10" s="1279" t="s">
        <v>2071</v>
      </c>
      <c r="F10" s="1278" t="s">
        <v>101</v>
      </c>
      <c r="G10" s="1276"/>
    </row>
    <row r="11" spans="1:7" ht="12" customHeight="1" x14ac:dyDescent="0.2">
      <c r="A11" s="1277"/>
      <c r="B11" s="1278"/>
      <c r="C11" s="1918"/>
      <c r="D11" s="1278"/>
      <c r="E11" s="1918"/>
      <c r="F11" s="1278"/>
      <c r="G11" s="1276"/>
    </row>
    <row r="12" spans="1:7" x14ac:dyDescent="0.2">
      <c r="A12" s="1274" t="s">
        <v>1667</v>
      </c>
      <c r="C12" s="1258"/>
      <c r="D12" s="1258"/>
    </row>
    <row r="13" spans="1:7" ht="15" customHeight="1" x14ac:dyDescent="0.2">
      <c r="A13" s="2590" t="s">
        <v>2197</v>
      </c>
      <c r="B13" s="2590"/>
      <c r="C13" s="2590"/>
      <c r="D13" s="2590"/>
      <c r="E13" s="2590"/>
      <c r="F13" s="2590"/>
    </row>
    <row r="14" spans="1:7" ht="9.75" customHeight="1" x14ac:dyDescent="0.2">
      <c r="C14" s="1258"/>
      <c r="D14" s="1258"/>
    </row>
    <row r="15" spans="1:7" ht="13.5" customHeight="1" x14ac:dyDescent="0.2">
      <c r="C15" s="1862" t="s">
        <v>1331</v>
      </c>
      <c r="D15" s="2588" t="s">
        <v>1330</v>
      </c>
      <c r="E15" s="2588"/>
      <c r="F15" s="2588"/>
    </row>
    <row r="16" spans="1:7" ht="13.5" customHeight="1" x14ac:dyDescent="0.2">
      <c r="A16" s="1280"/>
      <c r="B16" s="1274" t="s">
        <v>1329</v>
      </c>
      <c r="C16" s="1862" t="s">
        <v>1328</v>
      </c>
      <c r="D16" s="2589" t="s">
        <v>1668</v>
      </c>
      <c r="E16" s="2589"/>
      <c r="F16" s="2589"/>
    </row>
    <row r="17" spans="1:6" ht="20.45" customHeight="1" x14ac:dyDescent="0.2">
      <c r="A17" s="1281"/>
      <c r="B17" s="1282" t="s">
        <v>2103</v>
      </c>
      <c r="C17" s="1283"/>
      <c r="D17" s="2581"/>
      <c r="E17" s="2581"/>
      <c r="F17" s="2581"/>
    </row>
    <row r="18" spans="1:6" ht="20.65" hidden="1" customHeight="1" x14ac:dyDescent="0.2">
      <c r="A18" s="1281"/>
      <c r="B18" s="1282"/>
      <c r="C18" s="1283"/>
      <c r="D18" s="2581"/>
      <c r="E18" s="2581"/>
      <c r="F18" s="2581"/>
    </row>
    <row r="19" spans="1:6" ht="20.65" hidden="1" customHeight="1" x14ac:dyDescent="0.2">
      <c r="A19" s="1281"/>
      <c r="B19" s="1282"/>
      <c r="C19" s="1283"/>
      <c r="D19" s="2581"/>
      <c r="E19" s="2581"/>
      <c r="F19" s="2581"/>
    </row>
    <row r="20" spans="1:6" ht="20.65" hidden="1" customHeight="1" x14ac:dyDescent="0.2">
      <c r="A20" s="1281"/>
      <c r="B20" s="1282"/>
      <c r="C20" s="1283"/>
      <c r="D20" s="2581"/>
      <c r="E20" s="2581"/>
      <c r="F20" s="2581"/>
    </row>
    <row r="21" spans="1:6" ht="20.65" hidden="1" customHeight="1" x14ac:dyDescent="0.2">
      <c r="A21" s="1281"/>
      <c r="B21" s="1282"/>
      <c r="C21" s="1283"/>
      <c r="D21" s="2581"/>
      <c r="E21" s="2581"/>
      <c r="F21" s="2581"/>
    </row>
    <row r="22" spans="1:6" ht="20.65" hidden="1" customHeight="1" x14ac:dyDescent="0.2">
      <c r="A22" s="1281"/>
      <c r="B22" s="1282"/>
      <c r="C22" s="1283"/>
      <c r="D22" s="2581"/>
      <c r="E22" s="2581"/>
      <c r="F22" s="2581"/>
    </row>
    <row r="23" spans="1:6" ht="20.65" hidden="1" customHeight="1" x14ac:dyDescent="0.2">
      <c r="A23" s="1281"/>
      <c r="B23" s="1282"/>
      <c r="C23" s="1283"/>
      <c r="D23" s="2581"/>
      <c r="E23" s="2581"/>
      <c r="F23" s="2581"/>
    </row>
    <row r="24" spans="1:6" ht="20.65" hidden="1" customHeight="1" x14ac:dyDescent="0.2">
      <c r="A24" s="1281"/>
      <c r="B24" s="1282"/>
      <c r="C24" s="1283"/>
      <c r="D24" s="2581"/>
      <c r="E24" s="2581"/>
      <c r="F24" s="2581"/>
    </row>
    <row r="25" spans="1:6" ht="20.65" hidden="1" customHeight="1" x14ac:dyDescent="0.2">
      <c r="A25" s="1281"/>
      <c r="B25" s="1282"/>
      <c r="C25" s="1283"/>
      <c r="D25" s="2581"/>
      <c r="E25" s="2581"/>
      <c r="F25" s="2581"/>
    </row>
    <row r="26" spans="1:6" ht="20.65" hidden="1" customHeight="1" x14ac:dyDescent="0.2">
      <c r="A26" s="1281"/>
      <c r="B26" s="1282"/>
      <c r="C26" s="1283"/>
      <c r="D26" s="2581"/>
      <c r="E26" s="2581"/>
      <c r="F26" s="2581"/>
    </row>
    <row r="27" spans="1:6" ht="20.65" hidden="1" customHeight="1" x14ac:dyDescent="0.2">
      <c r="A27" s="1281"/>
      <c r="B27" s="1282"/>
      <c r="C27" s="1283"/>
      <c r="D27" s="2581"/>
      <c r="E27" s="2581"/>
      <c r="F27" s="2581"/>
    </row>
    <row r="28" spans="1:6" ht="20.65" hidden="1" customHeight="1" x14ac:dyDescent="0.2">
      <c r="A28" s="1281"/>
      <c r="B28" s="1282"/>
      <c r="C28" s="1283"/>
      <c r="D28" s="2581"/>
      <c r="E28" s="2581"/>
      <c r="F28" s="2581"/>
    </row>
    <row r="29" spans="1:6" ht="20.65" hidden="1" customHeight="1" x14ac:dyDescent="0.2">
      <c r="A29" s="1281"/>
      <c r="B29" s="1282"/>
      <c r="C29" s="1283"/>
      <c r="D29" s="2581"/>
      <c r="E29" s="2581"/>
      <c r="F29" s="2581"/>
    </row>
    <row r="30" spans="1:6" ht="12" customHeight="1" x14ac:dyDescent="0.2">
      <c r="A30" s="328"/>
      <c r="B30" s="328"/>
      <c r="C30" s="1475"/>
      <c r="D30" s="1919"/>
      <c r="E30" s="1284"/>
    </row>
    <row r="31" spans="1:6" ht="12" customHeight="1" x14ac:dyDescent="0.2">
      <c r="A31" s="1285" t="s">
        <v>1629</v>
      </c>
      <c r="B31" s="328"/>
      <c r="C31" s="1475"/>
      <c r="D31" s="1919"/>
      <c r="E31" s="1284"/>
    </row>
    <row r="32" spans="1:6" ht="30" customHeight="1" x14ac:dyDescent="0.2">
      <c r="A32" s="2582" t="s">
        <v>2198</v>
      </c>
      <c r="B32" s="2582"/>
      <c r="C32" s="2582"/>
      <c r="D32" s="2582"/>
      <c r="E32" s="2582"/>
      <c r="F32" s="2582"/>
    </row>
    <row r="33" spans="1:9" ht="13.5" customHeight="1" x14ac:dyDescent="0.2">
      <c r="A33" s="328" t="s">
        <v>1508</v>
      </c>
      <c r="B33" s="328"/>
      <c r="C33" s="1286">
        <v>88598</v>
      </c>
      <c r="D33" s="1919"/>
      <c r="E33" s="1284"/>
    </row>
    <row r="34" spans="1:9" ht="13.5" customHeight="1" x14ac:dyDescent="0.2">
      <c r="A34" s="328" t="s">
        <v>1943</v>
      </c>
      <c r="B34" s="328"/>
      <c r="C34" s="1287">
        <v>0</v>
      </c>
      <c r="D34" s="1919" t="s">
        <v>1669</v>
      </c>
      <c r="E34" s="2583">
        <f>+C33+C34</f>
        <v>88598</v>
      </c>
      <c r="F34" s="2584"/>
      <c r="I34" s="2084"/>
    </row>
    <row r="35" spans="1:9" ht="13.5" customHeight="1" x14ac:dyDescent="0.2">
      <c r="A35" s="328"/>
      <c r="B35" s="328"/>
      <c r="C35" s="2080"/>
      <c r="D35" s="1919"/>
      <c r="E35" s="2081"/>
      <c r="F35" s="2082"/>
    </row>
    <row r="36" spans="1:9" ht="13.5" customHeight="1" x14ac:dyDescent="0.2">
      <c r="A36" s="1285" t="s">
        <v>2213</v>
      </c>
      <c r="B36" s="328"/>
      <c r="C36" s="2080"/>
      <c r="D36" s="1919"/>
      <c r="E36" s="2081"/>
      <c r="F36" s="2082"/>
    </row>
    <row r="37" spans="1:9" ht="13.5" customHeight="1" x14ac:dyDescent="0.2">
      <c r="A37" s="2586" t="s">
        <v>2214</v>
      </c>
      <c r="B37" s="2586"/>
      <c r="C37" s="2586"/>
      <c r="D37" s="2586"/>
      <c r="E37" s="2586"/>
      <c r="F37" s="2586"/>
    </row>
    <row r="38" spans="1:9" ht="13.5" customHeight="1" x14ac:dyDescent="0.2">
      <c r="A38" s="2586"/>
      <c r="B38" s="2586"/>
      <c r="C38" s="2586"/>
      <c r="D38" s="2586"/>
      <c r="E38" s="2586"/>
      <c r="F38" s="2586"/>
    </row>
    <row r="39" spans="1:9" ht="13.5" customHeight="1" x14ac:dyDescent="0.2">
      <c r="A39" s="328"/>
      <c r="B39" s="328"/>
      <c r="C39" s="2080"/>
      <c r="D39" s="1919"/>
      <c r="E39" s="2081"/>
      <c r="F39" s="2082"/>
    </row>
    <row r="40" spans="1:9" ht="13.5" customHeight="1" x14ac:dyDescent="0.2">
      <c r="A40" s="1285" t="s">
        <v>2215</v>
      </c>
      <c r="B40" s="328"/>
      <c r="C40" s="2080"/>
      <c r="D40" s="1919"/>
      <c r="E40" s="2081"/>
      <c r="F40" s="2082"/>
    </row>
    <row r="41" spans="1:9" ht="12" customHeight="1" x14ac:dyDescent="0.2">
      <c r="A41" s="2587" t="s">
        <v>2216</v>
      </c>
      <c r="B41" s="2587"/>
      <c r="C41" s="2587"/>
      <c r="D41" s="2587"/>
      <c r="E41" s="2587"/>
      <c r="F41" s="2587"/>
    </row>
    <row r="42" spans="1:9" ht="12" customHeight="1" x14ac:dyDescent="0.2">
      <c r="A42" s="2587"/>
      <c r="B42" s="2587"/>
      <c r="C42" s="2587"/>
      <c r="D42" s="2587"/>
      <c r="E42" s="2587"/>
      <c r="F42" s="2587"/>
    </row>
    <row r="43" spans="1:9" ht="12" customHeight="1" x14ac:dyDescent="0.2">
      <c r="A43" s="2587"/>
      <c r="B43" s="2587"/>
      <c r="C43" s="2587"/>
      <c r="D43" s="2587"/>
      <c r="E43" s="2587"/>
      <c r="F43" s="2587"/>
    </row>
    <row r="44" spans="1:9" ht="13.5" customHeight="1" x14ac:dyDescent="0.2">
      <c r="A44" s="2083"/>
      <c r="B44" s="2083"/>
      <c r="C44" s="2083"/>
      <c r="D44" s="2083"/>
      <c r="E44" s="2083"/>
      <c r="F44" s="2083"/>
    </row>
    <row r="45" spans="1:9" ht="13.5" customHeight="1" x14ac:dyDescent="0.2">
      <c r="A45" s="1285" t="s">
        <v>2217</v>
      </c>
      <c r="B45" s="328"/>
      <c r="C45" s="1475"/>
      <c r="D45" s="1919"/>
      <c r="E45" s="1284"/>
    </row>
    <row r="46" spans="1:9" ht="14.25" customHeight="1" x14ac:dyDescent="0.2">
      <c r="A46" s="328" t="s">
        <v>1562</v>
      </c>
      <c r="B46" s="328"/>
      <c r="C46" s="1920"/>
      <c r="D46" s="1919"/>
      <c r="E46" s="1284"/>
    </row>
    <row r="47" spans="1:9" ht="14.25" customHeight="1" x14ac:dyDescent="0.2">
      <c r="A47" s="328"/>
      <c r="B47" s="328" t="s">
        <v>1509</v>
      </c>
      <c r="C47" s="1289" t="s">
        <v>400</v>
      </c>
      <c r="D47" s="1919"/>
      <c r="E47" s="1284"/>
    </row>
    <row r="48" spans="1:9" ht="14.25" customHeight="1" x14ac:dyDescent="0.2">
      <c r="A48" s="328"/>
      <c r="B48" s="328" t="s">
        <v>1510</v>
      </c>
      <c r="C48" s="1289" t="s">
        <v>400</v>
      </c>
      <c r="D48" s="1919"/>
      <c r="E48" s="1284"/>
    </row>
    <row r="49" spans="1:6" ht="14.25" customHeight="1" x14ac:dyDescent="0.2">
      <c r="A49" s="328"/>
      <c r="B49" s="328" t="s">
        <v>1511</v>
      </c>
      <c r="C49" s="1289" t="s">
        <v>400</v>
      </c>
      <c r="D49" s="1919"/>
      <c r="E49" s="1284"/>
    </row>
    <row r="50" spans="1:6" ht="14.25" customHeight="1" x14ac:dyDescent="0.2">
      <c r="A50" s="328"/>
      <c r="B50" s="328" t="s">
        <v>1512</v>
      </c>
      <c r="C50" s="1289" t="s">
        <v>400</v>
      </c>
      <c r="D50" s="1919"/>
      <c r="E50" s="1284"/>
    </row>
    <row r="51" spans="1:6" ht="14.25" customHeight="1" x14ac:dyDescent="0.2">
      <c r="A51" s="328" t="s">
        <v>1513</v>
      </c>
      <c r="B51" s="328"/>
      <c r="C51" s="1917" t="s">
        <v>400</v>
      </c>
      <c r="D51" s="1919"/>
      <c r="E51" s="1284"/>
    </row>
    <row r="52" spans="1:6" ht="14.25" customHeight="1" x14ac:dyDescent="0.2">
      <c r="A52" s="328" t="s">
        <v>1514</v>
      </c>
      <c r="B52" s="328"/>
      <c r="C52" s="1290" t="s">
        <v>592</v>
      </c>
      <c r="D52" s="1919"/>
      <c r="E52" s="1284"/>
    </row>
    <row r="53" spans="1:6" ht="14.25" customHeight="1" x14ac:dyDescent="0.2">
      <c r="A53" s="328"/>
      <c r="B53" s="328"/>
      <c r="C53" s="1920" t="s">
        <v>1515</v>
      </c>
      <c r="D53" s="1919"/>
      <c r="E53" s="1284"/>
    </row>
    <row r="54" spans="1:6" ht="13.5" customHeight="1" x14ac:dyDescent="0.2">
      <c r="B54" s="322"/>
      <c r="C54" s="1291"/>
      <c r="D54" s="1291"/>
    </row>
    <row r="55" spans="1:6" x14ac:dyDescent="0.2">
      <c r="A55" s="1292" t="s">
        <v>1831</v>
      </c>
      <c r="C55" s="317"/>
      <c r="D55" s="317"/>
    </row>
    <row r="56" spans="1:6" s="322" customFormat="1" ht="11.25" customHeight="1" x14ac:dyDescent="0.2">
      <c r="A56" s="1293"/>
      <c r="B56" s="1294"/>
      <c r="C56" s="1294"/>
      <c r="D56" s="1294"/>
      <c r="E56" s="1294"/>
      <c r="F56" s="1294"/>
    </row>
    <row r="57" spans="1:6" s="322" customFormat="1" ht="6" customHeight="1" x14ac:dyDescent="0.2">
      <c r="A57" s="1295"/>
    </row>
    <row r="58" spans="1:6" s="1297" customFormat="1" ht="23.25" customHeight="1" x14ac:dyDescent="0.2">
      <c r="A58" s="1296">
        <v>5</v>
      </c>
      <c r="B58" s="2585" t="s">
        <v>1670</v>
      </c>
      <c r="C58" s="2585"/>
      <c r="D58" s="2585"/>
      <c r="E58" s="1396"/>
    </row>
    <row r="59" spans="1:6" s="1297" customFormat="1" ht="3.75" customHeight="1" x14ac:dyDescent="0.2">
      <c r="A59" s="1296"/>
      <c r="B59" s="1861"/>
      <c r="C59" s="1861"/>
      <c r="D59" s="1861"/>
      <c r="E59" s="1396"/>
    </row>
    <row r="60" spans="1:6" s="1297" customFormat="1" ht="20.25" customHeight="1" x14ac:dyDescent="0.2">
      <c r="A60" s="1298">
        <v>6</v>
      </c>
      <c r="B60" s="2580" t="s">
        <v>1630</v>
      </c>
      <c r="C60" s="2580"/>
      <c r="D60" s="2580"/>
    </row>
    <row r="61" spans="1:6" ht="14.25" customHeight="1" x14ac:dyDescent="0.2">
      <c r="A61" s="1298"/>
      <c r="B61" s="2580"/>
      <c r="C61" s="2580"/>
      <c r="D61" s="2580"/>
    </row>
  </sheetData>
  <mergeCells count="28">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60:D60"/>
    <mergeCell ref="B61:D61"/>
    <mergeCell ref="D27:F27"/>
    <mergeCell ref="D28:F28"/>
    <mergeCell ref="D29:F29"/>
    <mergeCell ref="A32:F32"/>
    <mergeCell ref="E34:F34"/>
    <mergeCell ref="B58:D58"/>
    <mergeCell ref="A37:F38"/>
    <mergeCell ref="A41:F43"/>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59" t="str">
        <f>'Single Audit Cover'!A7</f>
        <v>Geneseo CUSD 228</v>
      </c>
      <c r="C1" s="2595"/>
      <c r="D1" s="2595"/>
      <c r="E1" s="2595"/>
      <c r="F1" s="2595"/>
      <c r="G1" s="2595"/>
      <c r="H1" s="2595"/>
      <c r="I1" s="2595"/>
      <c r="J1" s="2595"/>
      <c r="K1" s="2595"/>
      <c r="L1" s="2595"/>
      <c r="M1" s="2595"/>
    </row>
    <row r="2" spans="2:14" ht="15" x14ac:dyDescent="0.2">
      <c r="B2" s="2592">
        <f>'Single Audit Cover'!E7</f>
        <v>28037228026</v>
      </c>
      <c r="C2" s="2592"/>
      <c r="D2" s="2592"/>
      <c r="E2" s="2592"/>
      <c r="F2" s="2592"/>
      <c r="G2" s="2592"/>
      <c r="H2" s="2592"/>
      <c r="I2" s="2592"/>
      <c r="J2" s="2592"/>
      <c r="K2" s="2592"/>
      <c r="L2" s="2592"/>
      <c r="M2" s="2592"/>
      <c r="N2" s="1299"/>
    </row>
    <row r="3" spans="2:14" ht="15" x14ac:dyDescent="0.2">
      <c r="B3" s="2596" t="s">
        <v>1280</v>
      </c>
      <c r="C3" s="2596"/>
      <c r="D3" s="2596"/>
      <c r="E3" s="2596"/>
      <c r="F3" s="2596"/>
      <c r="G3" s="2596"/>
      <c r="H3" s="2596"/>
      <c r="I3" s="2596"/>
      <c r="J3" s="2596"/>
      <c r="K3" s="2596"/>
      <c r="L3" s="2596"/>
      <c r="M3" s="2596"/>
      <c r="N3" s="1299"/>
    </row>
    <row r="4" spans="2:14" ht="15" x14ac:dyDescent="0.2">
      <c r="B4" s="2597" t="str">
        <f>'Single Audit Cover'!A4</f>
        <v>Year Ending June 30, 2018</v>
      </c>
      <c r="C4" s="2597"/>
      <c r="D4" s="2597"/>
      <c r="E4" s="2597"/>
      <c r="F4" s="2597"/>
      <c r="G4" s="2597"/>
      <c r="H4" s="2597"/>
      <c r="I4" s="2597"/>
      <c r="J4" s="2597"/>
      <c r="K4" s="2597"/>
      <c r="L4" s="2597"/>
      <c r="M4" s="2597"/>
      <c r="N4" s="1299"/>
    </row>
    <row r="6" spans="2:14" x14ac:dyDescent="0.2">
      <c r="B6" s="1300"/>
      <c r="C6" s="1301"/>
      <c r="D6" s="1302" t="s">
        <v>1326</v>
      </c>
      <c r="E6" s="1303" t="s">
        <v>547</v>
      </c>
      <c r="F6" s="1304"/>
      <c r="G6" s="1305" t="s">
        <v>1832</v>
      </c>
      <c r="H6" s="1303"/>
      <c r="I6" s="1303"/>
      <c r="J6" s="1303"/>
      <c r="K6" s="1306"/>
      <c r="L6" s="1307"/>
      <c r="M6" s="1308"/>
    </row>
    <row r="7" spans="2:14" x14ac:dyDescent="0.2">
      <c r="B7" s="1309" t="s">
        <v>1660</v>
      </c>
      <c r="C7" s="1310"/>
      <c r="D7" s="1311"/>
      <c r="E7" s="1312"/>
      <c r="F7" s="1313"/>
      <c r="G7" s="1312"/>
      <c r="H7" s="1314" t="s">
        <v>1323</v>
      </c>
      <c r="I7" s="1312"/>
      <c r="J7" s="1315" t="s">
        <v>1323</v>
      </c>
      <c r="K7" s="1316"/>
      <c r="L7" s="1317" t="s">
        <v>1321</v>
      </c>
      <c r="M7" s="1318"/>
    </row>
    <row r="8" spans="2:14" x14ac:dyDescent="0.2">
      <c r="B8" s="1679"/>
      <c r="C8" s="1310" t="s">
        <v>1325</v>
      </c>
      <c r="D8" s="1311" t="s">
        <v>1324</v>
      </c>
      <c r="E8" s="1319" t="s">
        <v>1323</v>
      </c>
      <c r="F8" s="1320" t="s">
        <v>1323</v>
      </c>
      <c r="G8" s="1321" t="s">
        <v>1323</v>
      </c>
      <c r="H8" s="1314" t="s">
        <v>1661</v>
      </c>
      <c r="I8" s="1316" t="s">
        <v>1323</v>
      </c>
      <c r="J8" s="1315" t="s">
        <v>1944</v>
      </c>
      <c r="K8" s="1316" t="s">
        <v>1322</v>
      </c>
      <c r="L8" s="1317" t="s">
        <v>1318</v>
      </c>
      <c r="M8" s="1318" t="s">
        <v>30</v>
      </c>
    </row>
    <row r="9" spans="2:14" ht="14.25" x14ac:dyDescent="0.2">
      <c r="B9" s="1322" t="s">
        <v>1320</v>
      </c>
      <c r="C9" s="1310" t="s">
        <v>1833</v>
      </c>
      <c r="D9" s="1311" t="s">
        <v>1834</v>
      </c>
      <c r="E9" s="1319" t="s">
        <v>1661</v>
      </c>
      <c r="F9" s="1320" t="s">
        <v>1944</v>
      </c>
      <c r="G9" s="1321" t="s">
        <v>1661</v>
      </c>
      <c r="H9" s="1314" t="s">
        <v>1662</v>
      </c>
      <c r="I9" s="1316" t="s">
        <v>1944</v>
      </c>
      <c r="J9" s="1315" t="s">
        <v>1662</v>
      </c>
      <c r="K9" s="1316" t="s">
        <v>1319</v>
      </c>
      <c r="L9" s="1323" t="s">
        <v>1663</v>
      </c>
      <c r="M9" s="1318"/>
    </row>
    <row r="10" spans="2:14" ht="11.85" customHeight="1" x14ac:dyDescent="0.2">
      <c r="B10" s="1322" t="s">
        <v>1317</v>
      </c>
      <c r="C10" s="1324" t="s">
        <v>1316</v>
      </c>
      <c r="D10" s="1325" t="s">
        <v>1315</v>
      </c>
      <c r="E10" s="1326" t="s">
        <v>1314</v>
      </c>
      <c r="F10" s="1327" t="s">
        <v>1313</v>
      </c>
      <c r="G10" s="1328" t="s">
        <v>1312</v>
      </c>
      <c r="H10" s="1329" t="s">
        <v>1327</v>
      </c>
      <c r="I10" s="1330" t="s">
        <v>1311</v>
      </c>
      <c r="J10" s="1331" t="s">
        <v>1327</v>
      </c>
      <c r="K10" s="1332" t="s">
        <v>1310</v>
      </c>
      <c r="L10" s="1332" t="s">
        <v>1309</v>
      </c>
      <c r="M10" s="1333" t="s">
        <v>1308</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2079</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1230</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5"/>
      <c r="C29" s="1346"/>
      <c r="D29" s="1347"/>
      <c r="E29" s="1255"/>
      <c r="F29" s="1255"/>
      <c r="G29" s="1248"/>
      <c r="H29" s="1248"/>
      <c r="I29" s="1248"/>
      <c r="J29" s="1248"/>
      <c r="K29" s="1248"/>
      <c r="L29" s="1248"/>
      <c r="M29" s="1255"/>
      <c r="N29" s="1341"/>
    </row>
    <row r="30" spans="2:14" ht="13.5" customHeight="1" x14ac:dyDescent="0.2">
      <c r="B30" s="1280" t="s">
        <v>1835</v>
      </c>
      <c r="C30" s="1346"/>
      <c r="D30" s="1347"/>
      <c r="E30" s="1255"/>
      <c r="F30" s="1255"/>
      <c r="G30" s="1248"/>
      <c r="H30" s="1248"/>
      <c r="I30" s="1248"/>
      <c r="J30" s="1248"/>
      <c r="K30" s="1248"/>
      <c r="L30" s="1248"/>
      <c r="M30" s="1255"/>
      <c r="N30" s="1341"/>
    </row>
    <row r="31" spans="2:14" ht="8.25" customHeight="1" x14ac:dyDescent="0.2">
      <c r="B31" s="1280"/>
      <c r="C31" s="1346"/>
      <c r="D31" s="1347"/>
      <c r="E31" s="1255"/>
      <c r="F31" s="1255"/>
      <c r="G31" s="1248"/>
      <c r="H31" s="1248"/>
      <c r="I31" s="1248"/>
      <c r="J31" s="1248"/>
      <c r="K31" s="1248"/>
      <c r="L31" s="1248"/>
      <c r="M31" s="1255"/>
      <c r="N31" s="1341"/>
    </row>
    <row r="32" spans="2:14" x14ac:dyDescent="0.2">
      <c r="B32" s="1348" t="s">
        <v>1945</v>
      </c>
      <c r="C32" s="1349"/>
      <c r="D32" s="1350"/>
      <c r="E32" s="1351"/>
      <c r="F32" s="1351"/>
      <c r="G32" s="1351"/>
      <c r="H32" s="1351"/>
      <c r="I32" s="317"/>
      <c r="J32" s="317"/>
    </row>
    <row r="33" spans="2:13" x14ac:dyDescent="0.2">
      <c r="B33" s="1275"/>
      <c r="C33" s="1352"/>
      <c r="D33" s="1353"/>
      <c r="E33" s="1276"/>
      <c r="F33" s="1276"/>
      <c r="G33" s="317"/>
      <c r="H33" s="317"/>
      <c r="I33" s="317"/>
      <c r="J33" s="317"/>
    </row>
    <row r="34" spans="2:13" ht="13.5" customHeight="1" x14ac:dyDescent="0.2">
      <c r="B34" s="1274" t="s">
        <v>1307</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1836</v>
      </c>
      <c r="C37" s="1362"/>
      <c r="D37" s="1362"/>
      <c r="E37" s="1362"/>
      <c r="F37" s="1362"/>
      <c r="G37" s="1362"/>
      <c r="H37" s="1362"/>
      <c r="I37" s="1363"/>
      <c r="J37" s="1363"/>
      <c r="K37" s="1363"/>
      <c r="L37" s="1363"/>
      <c r="M37" s="1363"/>
    </row>
    <row r="38" spans="2:13" ht="11.25" customHeight="1" x14ac:dyDescent="0.2">
      <c r="B38" s="1364" t="s">
        <v>1664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1837</v>
      </c>
      <c r="C40" s="1363"/>
      <c r="D40" s="1363"/>
      <c r="E40" s="1363"/>
      <c r="F40" s="1363"/>
      <c r="G40" s="1363"/>
      <c r="H40" s="1363"/>
      <c r="I40" s="1363"/>
      <c r="J40" s="1363"/>
      <c r="K40" s="1363"/>
      <c r="L40" s="1363"/>
      <c r="M40" s="1363"/>
    </row>
    <row r="41" spans="2:13" ht="11.25" customHeight="1" x14ac:dyDescent="0.2">
      <c r="B41" s="1297" t="s">
        <v>1665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1839</v>
      </c>
      <c r="C45" s="1365"/>
      <c r="D45" s="1366"/>
      <c r="E45" s="1297"/>
      <c r="F45" s="1297"/>
      <c r="G45" s="1297"/>
      <c r="H45" s="1297"/>
      <c r="I45" s="1297"/>
      <c r="J45" s="1297"/>
      <c r="K45" s="1367"/>
      <c r="L45" s="1367"/>
      <c r="M45" s="1297"/>
    </row>
    <row r="46" spans="2:13" ht="11.25" customHeight="1" x14ac:dyDescent="0.2">
      <c r="B46" s="1297" t="s">
        <v>1666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99" t="s">
        <v>1229</v>
      </c>
      <c r="B2" s="2199"/>
      <c r="C2" s="2199"/>
      <c r="D2" s="2199"/>
      <c r="E2" s="2199"/>
      <c r="F2" s="2199"/>
      <c r="G2" s="2199"/>
      <c r="H2" s="2199"/>
      <c r="I2" s="2199"/>
      <c r="J2" s="2199"/>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1891</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213" t="s">
        <v>1729</v>
      </c>
      <c r="B35" s="2214"/>
      <c r="C35" s="2214"/>
      <c r="D35" s="2214"/>
      <c r="E35" s="2215"/>
      <c r="F35" s="2215"/>
      <c r="G35" s="2215"/>
      <c r="H35" s="2215"/>
      <c r="I35" s="221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13" t="s">
        <v>330</v>
      </c>
      <c r="B47" s="2216"/>
      <c r="C47" s="2216"/>
      <c r="D47" s="2216"/>
      <c r="E47" s="2217"/>
      <c r="F47" s="2217"/>
      <c r="G47" s="2217"/>
      <c r="H47" s="2217"/>
      <c r="I47" s="221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1735</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2071</v>
      </c>
      <c r="C54" s="179">
        <v>23</v>
      </c>
      <c r="D54" s="243" t="s">
        <v>1428</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0" t="s">
        <v>2108</v>
      </c>
      <c r="C57" s="2221"/>
      <c r="D57" s="2221"/>
      <c r="E57" s="2221"/>
      <c r="F57" s="2221"/>
      <c r="G57" s="2221"/>
      <c r="H57" s="2221"/>
      <c r="I57" s="2221"/>
      <c r="J57" s="2222"/>
    </row>
    <row r="58" spans="1:10" s="181" customFormat="1" x14ac:dyDescent="0.2">
      <c r="A58" s="253"/>
      <c r="B58" s="2223"/>
      <c r="C58" s="2224"/>
      <c r="D58" s="2224"/>
      <c r="E58" s="2224"/>
      <c r="F58" s="2224"/>
      <c r="G58" s="2224"/>
      <c r="H58" s="2224"/>
      <c r="I58" s="2224"/>
      <c r="J58" s="2225"/>
    </row>
    <row r="59" spans="1:10" s="181" customFormat="1" x14ac:dyDescent="0.2">
      <c r="A59" s="253"/>
      <c r="B59" s="2223"/>
      <c r="C59" s="2224"/>
      <c r="D59" s="2224"/>
      <c r="E59" s="2224"/>
      <c r="F59" s="2224"/>
      <c r="G59" s="2224"/>
      <c r="H59" s="2224"/>
      <c r="I59" s="2224"/>
      <c r="J59" s="2225"/>
    </row>
    <row r="60" spans="1:10" s="181" customFormat="1" x14ac:dyDescent="0.2">
      <c r="A60" s="253"/>
      <c r="B60" s="2223"/>
      <c r="C60" s="2224"/>
      <c r="D60" s="2224"/>
      <c r="E60" s="2224"/>
      <c r="F60" s="2224"/>
      <c r="G60" s="2224"/>
      <c r="H60" s="2224"/>
      <c r="I60" s="2224"/>
      <c r="J60" s="2225"/>
    </row>
    <row r="61" spans="1:10" s="181" customFormat="1" x14ac:dyDescent="0.2">
      <c r="A61" s="253"/>
      <c r="B61" s="2223"/>
      <c r="C61" s="2224"/>
      <c r="D61" s="2224"/>
      <c r="E61" s="2224"/>
      <c r="F61" s="2224"/>
      <c r="G61" s="2224"/>
      <c r="H61" s="2224"/>
      <c r="I61" s="2224"/>
      <c r="J61" s="2225"/>
    </row>
    <row r="62" spans="1:10" s="181" customFormat="1" x14ac:dyDescent="0.2">
      <c r="A62" s="253"/>
      <c r="B62" s="2223"/>
      <c r="C62" s="2224"/>
      <c r="D62" s="2224"/>
      <c r="E62" s="2224"/>
      <c r="F62" s="2224"/>
      <c r="G62" s="2224"/>
      <c r="H62" s="2224"/>
      <c r="I62" s="2224"/>
      <c r="J62" s="2225"/>
    </row>
    <row r="63" spans="1:10" s="181" customFormat="1" x14ac:dyDescent="0.2">
      <c r="A63" s="253"/>
      <c r="B63" s="2223"/>
      <c r="C63" s="2224"/>
      <c r="D63" s="2224"/>
      <c r="E63" s="2224"/>
      <c r="F63" s="2224"/>
      <c r="G63" s="2224"/>
      <c r="H63" s="2224"/>
      <c r="I63" s="2224"/>
      <c r="J63" s="2225"/>
    </row>
    <row r="64" spans="1:10" s="181" customFormat="1" x14ac:dyDescent="0.2">
      <c r="A64" s="253"/>
      <c r="B64" s="2223"/>
      <c r="C64" s="2224"/>
      <c r="D64" s="2224"/>
      <c r="E64" s="2224"/>
      <c r="F64" s="2224"/>
      <c r="G64" s="2224"/>
      <c r="H64" s="2224"/>
      <c r="I64" s="2224"/>
      <c r="J64" s="2225"/>
    </row>
    <row r="65" spans="1:10" s="181" customFormat="1" x14ac:dyDescent="0.2">
      <c r="A65" s="253"/>
      <c r="B65" s="2223"/>
      <c r="C65" s="2224"/>
      <c r="D65" s="2224"/>
      <c r="E65" s="2224"/>
      <c r="F65" s="2224"/>
      <c r="G65" s="2224"/>
      <c r="H65" s="2224"/>
      <c r="I65" s="2224"/>
      <c r="J65" s="2225"/>
    </row>
    <row r="66" spans="1:10" s="181" customFormat="1" x14ac:dyDescent="0.2">
      <c r="A66" s="253"/>
      <c r="B66" s="2223"/>
      <c r="C66" s="2224"/>
      <c r="D66" s="2224"/>
      <c r="E66" s="2224"/>
      <c r="F66" s="2224"/>
      <c r="G66" s="2224"/>
      <c r="H66" s="2224"/>
      <c r="I66" s="2224"/>
      <c r="J66" s="2225"/>
    </row>
    <row r="67" spans="1:10" s="181" customFormat="1" ht="9" customHeight="1" x14ac:dyDescent="0.2">
      <c r="A67" s="254"/>
      <c r="B67" s="2226"/>
      <c r="C67" s="2227"/>
      <c r="D67" s="2227"/>
      <c r="E67" s="2227"/>
      <c r="F67" s="2227"/>
      <c r="G67" s="2227"/>
      <c r="H67" s="2227"/>
      <c r="I67" s="2227"/>
      <c r="J67" s="222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3" t="s">
        <v>1389</v>
      </c>
      <c r="B70" s="2216"/>
      <c r="C70" s="2216"/>
      <c r="D70" s="2216"/>
      <c r="E70" s="2217"/>
      <c r="F70" s="2217"/>
      <c r="G70" s="2217"/>
      <c r="H70" s="2217"/>
      <c r="I70" s="2217"/>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1743</v>
      </c>
      <c r="G77" s="297" t="s">
        <v>2015</v>
      </c>
      <c r="I77" s="1853"/>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18" t="s">
        <v>1386</v>
      </c>
      <c r="B83" s="2218"/>
      <c r="C83" s="2218"/>
      <c r="D83" s="2219"/>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1230</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200"/>
      <c r="C102" s="2201"/>
      <c r="D102" s="2201"/>
      <c r="E102" s="2201"/>
      <c r="F102" s="2201"/>
      <c r="G102" s="2201"/>
      <c r="H102" s="2201"/>
      <c r="I102" s="2202"/>
    </row>
    <row r="103" spans="1:9" s="181" customFormat="1" ht="11.25" customHeight="1" x14ac:dyDescent="0.2">
      <c r="A103" s="316"/>
      <c r="B103" s="2203"/>
      <c r="C103" s="2204"/>
      <c r="D103" s="2204"/>
      <c r="E103" s="2204"/>
      <c r="F103" s="2204"/>
      <c r="G103" s="2204"/>
      <c r="H103" s="2204"/>
      <c r="I103" s="2205"/>
    </row>
    <row r="104" spans="1:9" s="181" customFormat="1" ht="11.25" customHeight="1" x14ac:dyDescent="0.2">
      <c r="A104" s="316"/>
      <c r="B104" s="2203"/>
      <c r="C104" s="2204"/>
      <c r="D104" s="2204"/>
      <c r="E104" s="2204"/>
      <c r="F104" s="2204"/>
      <c r="G104" s="2204"/>
      <c r="H104" s="2204"/>
      <c r="I104" s="2205"/>
    </row>
    <row r="105" spans="1:9" s="181" customFormat="1" x14ac:dyDescent="0.2">
      <c r="A105" s="316"/>
      <c r="B105" s="2203"/>
      <c r="C105" s="2204"/>
      <c r="D105" s="2204"/>
      <c r="E105" s="2204"/>
      <c r="F105" s="2204"/>
      <c r="G105" s="2204"/>
      <c r="H105" s="2204"/>
      <c r="I105" s="2205"/>
    </row>
    <row r="106" spans="1:9" s="181" customFormat="1" ht="11.25" customHeight="1" x14ac:dyDescent="0.2">
      <c r="A106" s="316"/>
      <c r="B106" s="2203"/>
      <c r="C106" s="2204"/>
      <c r="D106" s="2204"/>
      <c r="E106" s="2204"/>
      <c r="F106" s="2204"/>
      <c r="G106" s="2204"/>
      <c r="H106" s="2204"/>
      <c r="I106" s="2205"/>
    </row>
    <row r="107" spans="1:9" s="181" customFormat="1" ht="11.25" customHeight="1" x14ac:dyDescent="0.2">
      <c r="A107" s="316"/>
      <c r="B107" s="2203"/>
      <c r="C107" s="2204"/>
      <c r="D107" s="2204"/>
      <c r="E107" s="2204"/>
      <c r="F107" s="2204"/>
      <c r="G107" s="2204"/>
      <c r="H107" s="2204"/>
      <c r="I107" s="2205"/>
    </row>
    <row r="108" spans="1:9" s="181" customFormat="1" ht="11.25" customHeight="1" x14ac:dyDescent="0.2">
      <c r="A108" s="316"/>
      <c r="B108" s="2203"/>
      <c r="C108" s="2204"/>
      <c r="D108" s="2204"/>
      <c r="E108" s="2204"/>
      <c r="F108" s="2204"/>
      <c r="G108" s="2204"/>
      <c r="H108" s="2204"/>
      <c r="I108" s="2205"/>
    </row>
    <row r="109" spans="1:9" s="181" customFormat="1" ht="11.25" customHeight="1" x14ac:dyDescent="0.2">
      <c r="A109" s="316"/>
      <c r="B109" s="2203"/>
      <c r="C109" s="2204"/>
      <c r="D109" s="2204"/>
      <c r="E109" s="2204"/>
      <c r="F109" s="2204"/>
      <c r="G109" s="2204"/>
      <c r="H109" s="2204"/>
      <c r="I109" s="2205"/>
    </row>
    <row r="110" spans="1:9" s="181" customFormat="1" ht="11.25" customHeight="1" x14ac:dyDescent="0.2">
      <c r="A110" s="316"/>
      <c r="B110" s="2203"/>
      <c r="C110" s="2204"/>
      <c r="D110" s="2204"/>
      <c r="E110" s="2204"/>
      <c r="F110" s="2204"/>
      <c r="G110" s="2204"/>
      <c r="H110" s="2204"/>
      <c r="I110" s="2205"/>
    </row>
    <row r="111" spans="1:9" s="181" customFormat="1" ht="11.25" customHeight="1" x14ac:dyDescent="0.2">
      <c r="A111" s="316"/>
      <c r="B111" s="2203"/>
      <c r="C111" s="2204"/>
      <c r="D111" s="2204"/>
      <c r="E111" s="2204"/>
      <c r="F111" s="2204"/>
      <c r="G111" s="2204"/>
      <c r="H111" s="2204"/>
      <c r="I111" s="2205"/>
    </row>
    <row r="112" spans="1:9" s="181" customFormat="1" ht="11.25" customHeight="1" x14ac:dyDescent="0.2">
      <c r="A112" s="316"/>
      <c r="B112" s="2206"/>
      <c r="C112" s="2207"/>
      <c r="D112" s="2207"/>
      <c r="E112" s="2207"/>
      <c r="F112" s="2207"/>
      <c r="G112" s="2207"/>
      <c r="H112" s="2207"/>
      <c r="I112" s="220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09" t="s">
        <v>2078</v>
      </c>
      <c r="D114" s="220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0" t="s">
        <v>1396</v>
      </c>
      <c r="D117" s="2211"/>
      <c r="E117" s="2212"/>
      <c r="F117" s="2212"/>
      <c r="G117" s="2212"/>
      <c r="H117" s="2212"/>
      <c r="I117" s="304"/>
    </row>
    <row r="118" spans="1:9" s="181" customFormat="1" ht="24" customHeight="1" x14ac:dyDescent="0.2">
      <c r="A118" s="316"/>
      <c r="B118" s="316"/>
      <c r="C118" s="316"/>
      <c r="D118" s="323" t="s">
        <v>2242</v>
      </c>
      <c r="E118" s="322"/>
      <c r="F118" s="324"/>
      <c r="G118" s="1855"/>
      <c r="H118" s="322"/>
      <c r="I118" s="304"/>
    </row>
    <row r="119" spans="1:9" s="181" customFormat="1" ht="11.25" customHeight="1" x14ac:dyDescent="0.2">
      <c r="A119" s="325"/>
      <c r="B119" s="325"/>
      <c r="C119" s="326"/>
      <c r="D119" s="327" t="s">
        <v>378</v>
      </c>
      <c r="E119" s="310"/>
      <c r="F119" s="1854" t="s">
        <v>2016</v>
      </c>
      <c r="G119" s="328"/>
      <c r="H119" s="328"/>
      <c r="I119" s="304"/>
    </row>
    <row r="120" spans="1:9" x14ac:dyDescent="0.2">
      <c r="A120" s="329"/>
      <c r="B120" s="180"/>
      <c r="C120" s="330"/>
      <c r="D120" s="256"/>
      <c r="E120" s="256"/>
      <c r="F120" s="256"/>
      <c r="G120" s="256"/>
      <c r="H120" s="256"/>
      <c r="I120" s="304"/>
    </row>
    <row r="121" spans="1:9" x14ac:dyDescent="0.2">
      <c r="A121" s="329"/>
      <c r="B121" s="1507"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S112"/>
  <sheetViews>
    <sheetView showGridLines="0" zoomScale="90" zoomScaleNormal="90" zoomScaleSheetLayoutView="55" workbookViewId="0">
      <selection sqref="A1:S1"/>
    </sheetView>
  </sheetViews>
  <sheetFormatPr defaultColWidth="16.7109375" defaultRowHeight="15.95" customHeight="1" x14ac:dyDescent="0.2"/>
  <cols>
    <col min="1" max="1" width="13.140625" style="1993" customWidth="1"/>
    <col min="2" max="2" width="48.7109375" style="1950" customWidth="1"/>
    <col min="3" max="3" width="9.140625" style="1950" customWidth="1"/>
    <col min="4" max="4" width="7.140625" style="1950" customWidth="1"/>
    <col min="5" max="5" width="13.42578125" style="1950" customWidth="1"/>
    <col min="6" max="6" width="5.28515625" style="2036" customWidth="1"/>
    <col min="7" max="7" width="12.7109375" style="1950" customWidth="1"/>
    <col min="8" max="8" width="1.85546875" style="1950" customWidth="1"/>
    <col min="9" max="9" width="12.7109375" style="1950" customWidth="1"/>
    <col min="10" max="10" width="3.85546875" style="2036" customWidth="1"/>
    <col min="11" max="11" width="12.85546875" style="1950" customWidth="1"/>
    <col min="12" max="12" width="1.85546875" style="1950" customWidth="1"/>
    <col min="13" max="13" width="13.140625" style="1950" customWidth="1"/>
    <col min="14" max="14" width="5.5703125" style="1950" customWidth="1"/>
    <col min="15" max="15" width="11.85546875" style="1950" customWidth="1"/>
    <col min="16" max="16" width="4.42578125" style="2036" bestFit="1" customWidth="1"/>
    <col min="17" max="17" width="13.28515625" style="1950" customWidth="1"/>
    <col min="18" max="18" width="4" style="1950" bestFit="1" customWidth="1"/>
    <col min="19" max="19" width="13.140625" style="1950" customWidth="1"/>
    <col min="20" max="244" width="16.7109375" style="1950"/>
    <col min="245" max="245" width="13.140625" style="1950" customWidth="1"/>
    <col min="246" max="246" width="48.7109375" style="1950" customWidth="1"/>
    <col min="247" max="247" width="9.140625" style="1950" customWidth="1"/>
    <col min="248" max="248" width="7.140625" style="1950" customWidth="1"/>
    <col min="249" max="249" width="13.42578125" style="1950" customWidth="1"/>
    <col min="250" max="250" width="5.28515625" style="1950" customWidth="1"/>
    <col min="251" max="251" width="12.7109375" style="1950" customWidth="1"/>
    <col min="252" max="252" width="1.85546875" style="1950" customWidth="1"/>
    <col min="253" max="253" width="12.7109375" style="1950" customWidth="1"/>
    <col min="254" max="254" width="3.85546875" style="1950" customWidth="1"/>
    <col min="255" max="255" width="12.85546875" style="1950" customWidth="1"/>
    <col min="256" max="256" width="1.85546875" style="1950" customWidth="1"/>
    <col min="257" max="257" width="13.140625" style="1950" customWidth="1"/>
    <col min="258" max="258" width="5.5703125" style="1950" customWidth="1"/>
    <col min="259" max="259" width="11.85546875" style="1950" customWidth="1"/>
    <col min="260" max="260" width="4.42578125" style="1950" bestFit="1" customWidth="1"/>
    <col min="261" max="261" width="13.28515625" style="1950" customWidth="1"/>
    <col min="262" max="262" width="4" style="1950" bestFit="1" customWidth="1"/>
    <col min="263" max="263" width="13.140625" style="1950" customWidth="1"/>
    <col min="264" max="269" width="12.42578125" style="1950" customWidth="1"/>
    <col min="270" max="500" width="16.7109375" style="1950"/>
    <col min="501" max="501" width="13.140625" style="1950" customWidth="1"/>
    <col min="502" max="502" width="48.7109375" style="1950" customWidth="1"/>
    <col min="503" max="503" width="9.140625" style="1950" customWidth="1"/>
    <col min="504" max="504" width="7.140625" style="1950" customWidth="1"/>
    <col min="505" max="505" width="13.42578125" style="1950" customWidth="1"/>
    <col min="506" max="506" width="5.28515625" style="1950" customWidth="1"/>
    <col min="507" max="507" width="12.7109375" style="1950" customWidth="1"/>
    <col min="508" max="508" width="1.85546875" style="1950" customWidth="1"/>
    <col min="509" max="509" width="12.7109375" style="1950" customWidth="1"/>
    <col min="510" max="510" width="3.85546875" style="1950" customWidth="1"/>
    <col min="511" max="511" width="12.85546875" style="1950" customWidth="1"/>
    <col min="512" max="512" width="1.85546875" style="1950" customWidth="1"/>
    <col min="513" max="513" width="13.140625" style="1950" customWidth="1"/>
    <col min="514" max="514" width="5.5703125" style="1950" customWidth="1"/>
    <col min="515" max="515" width="11.85546875" style="1950" customWidth="1"/>
    <col min="516" max="516" width="4.42578125" style="1950" bestFit="1" customWidth="1"/>
    <col min="517" max="517" width="13.28515625" style="1950" customWidth="1"/>
    <col min="518" max="518" width="4" style="1950" bestFit="1" customWidth="1"/>
    <col min="519" max="519" width="13.140625" style="1950" customWidth="1"/>
    <col min="520" max="525" width="12.42578125" style="1950" customWidth="1"/>
    <col min="526" max="756" width="16.7109375" style="1950"/>
    <col min="757" max="757" width="13.140625" style="1950" customWidth="1"/>
    <col min="758" max="758" width="48.7109375" style="1950" customWidth="1"/>
    <col min="759" max="759" width="9.140625" style="1950" customWidth="1"/>
    <col min="760" max="760" width="7.140625" style="1950" customWidth="1"/>
    <col min="761" max="761" width="13.42578125" style="1950" customWidth="1"/>
    <col min="762" max="762" width="5.28515625" style="1950" customWidth="1"/>
    <col min="763" max="763" width="12.7109375" style="1950" customWidth="1"/>
    <col min="764" max="764" width="1.85546875" style="1950" customWidth="1"/>
    <col min="765" max="765" width="12.7109375" style="1950" customWidth="1"/>
    <col min="766" max="766" width="3.85546875" style="1950" customWidth="1"/>
    <col min="767" max="767" width="12.85546875" style="1950" customWidth="1"/>
    <col min="768" max="768" width="1.85546875" style="1950" customWidth="1"/>
    <col min="769" max="769" width="13.140625" style="1950" customWidth="1"/>
    <col min="770" max="770" width="5.5703125" style="1950" customWidth="1"/>
    <col min="771" max="771" width="11.85546875" style="1950" customWidth="1"/>
    <col min="772" max="772" width="4.42578125" style="1950" bestFit="1" customWidth="1"/>
    <col min="773" max="773" width="13.28515625" style="1950" customWidth="1"/>
    <col min="774" max="774" width="4" style="1950" bestFit="1" customWidth="1"/>
    <col min="775" max="775" width="13.140625" style="1950" customWidth="1"/>
    <col min="776" max="781" width="12.42578125" style="1950" customWidth="1"/>
    <col min="782" max="1012" width="16.7109375" style="1950"/>
    <col min="1013" max="1013" width="13.140625" style="1950" customWidth="1"/>
    <col min="1014" max="1014" width="48.7109375" style="1950" customWidth="1"/>
    <col min="1015" max="1015" width="9.140625" style="1950" customWidth="1"/>
    <col min="1016" max="1016" width="7.140625" style="1950" customWidth="1"/>
    <col min="1017" max="1017" width="13.42578125" style="1950" customWidth="1"/>
    <col min="1018" max="1018" width="5.28515625" style="1950" customWidth="1"/>
    <col min="1019" max="1019" width="12.7109375" style="1950" customWidth="1"/>
    <col min="1020" max="1020" width="1.85546875" style="1950" customWidth="1"/>
    <col min="1021" max="1021" width="12.7109375" style="1950" customWidth="1"/>
    <col min="1022" max="1022" width="3.85546875" style="1950" customWidth="1"/>
    <col min="1023" max="1023" width="12.85546875" style="1950" customWidth="1"/>
    <col min="1024" max="1024" width="1.85546875" style="1950" customWidth="1"/>
    <col min="1025" max="1025" width="13.140625" style="1950" customWidth="1"/>
    <col min="1026" max="1026" width="5.5703125" style="1950" customWidth="1"/>
    <col min="1027" max="1027" width="11.85546875" style="1950" customWidth="1"/>
    <col min="1028" max="1028" width="4.42578125" style="1950" bestFit="1" customWidth="1"/>
    <col min="1029" max="1029" width="13.28515625" style="1950" customWidth="1"/>
    <col min="1030" max="1030" width="4" style="1950" bestFit="1" customWidth="1"/>
    <col min="1031" max="1031" width="13.140625" style="1950" customWidth="1"/>
    <col min="1032" max="1037" width="12.42578125" style="1950" customWidth="1"/>
    <col min="1038" max="1268" width="16.7109375" style="1950"/>
    <col min="1269" max="1269" width="13.140625" style="1950" customWidth="1"/>
    <col min="1270" max="1270" width="48.7109375" style="1950" customWidth="1"/>
    <col min="1271" max="1271" width="9.140625" style="1950" customWidth="1"/>
    <col min="1272" max="1272" width="7.140625" style="1950" customWidth="1"/>
    <col min="1273" max="1273" width="13.42578125" style="1950" customWidth="1"/>
    <col min="1274" max="1274" width="5.28515625" style="1950" customWidth="1"/>
    <col min="1275" max="1275" width="12.7109375" style="1950" customWidth="1"/>
    <col min="1276" max="1276" width="1.85546875" style="1950" customWidth="1"/>
    <col min="1277" max="1277" width="12.7109375" style="1950" customWidth="1"/>
    <col min="1278" max="1278" width="3.85546875" style="1950" customWidth="1"/>
    <col min="1279" max="1279" width="12.85546875" style="1950" customWidth="1"/>
    <col min="1280" max="1280" width="1.85546875" style="1950" customWidth="1"/>
    <col min="1281" max="1281" width="13.140625" style="1950" customWidth="1"/>
    <col min="1282" max="1282" width="5.5703125" style="1950" customWidth="1"/>
    <col min="1283" max="1283" width="11.85546875" style="1950" customWidth="1"/>
    <col min="1284" max="1284" width="4.42578125" style="1950" bestFit="1" customWidth="1"/>
    <col min="1285" max="1285" width="13.28515625" style="1950" customWidth="1"/>
    <col min="1286" max="1286" width="4" style="1950" bestFit="1" customWidth="1"/>
    <col min="1287" max="1287" width="13.140625" style="1950" customWidth="1"/>
    <col min="1288" max="1293" width="12.42578125" style="1950" customWidth="1"/>
    <col min="1294" max="1524" width="16.7109375" style="1950"/>
    <col min="1525" max="1525" width="13.140625" style="1950" customWidth="1"/>
    <col min="1526" max="1526" width="48.7109375" style="1950" customWidth="1"/>
    <col min="1527" max="1527" width="9.140625" style="1950" customWidth="1"/>
    <col min="1528" max="1528" width="7.140625" style="1950" customWidth="1"/>
    <col min="1529" max="1529" width="13.42578125" style="1950" customWidth="1"/>
    <col min="1530" max="1530" width="5.28515625" style="1950" customWidth="1"/>
    <col min="1531" max="1531" width="12.7109375" style="1950" customWidth="1"/>
    <col min="1532" max="1532" width="1.85546875" style="1950" customWidth="1"/>
    <col min="1533" max="1533" width="12.7109375" style="1950" customWidth="1"/>
    <col min="1534" max="1534" width="3.85546875" style="1950" customWidth="1"/>
    <col min="1535" max="1535" width="12.85546875" style="1950" customWidth="1"/>
    <col min="1536" max="1536" width="1.85546875" style="1950" customWidth="1"/>
    <col min="1537" max="1537" width="13.140625" style="1950" customWidth="1"/>
    <col min="1538" max="1538" width="5.5703125" style="1950" customWidth="1"/>
    <col min="1539" max="1539" width="11.85546875" style="1950" customWidth="1"/>
    <col min="1540" max="1540" width="4.42578125" style="1950" bestFit="1" customWidth="1"/>
    <col min="1541" max="1541" width="13.28515625" style="1950" customWidth="1"/>
    <col min="1542" max="1542" width="4" style="1950" bestFit="1" customWidth="1"/>
    <col min="1543" max="1543" width="13.140625" style="1950" customWidth="1"/>
    <col min="1544" max="1549" width="12.42578125" style="1950" customWidth="1"/>
    <col min="1550" max="1780" width="16.7109375" style="1950"/>
    <col min="1781" max="1781" width="13.140625" style="1950" customWidth="1"/>
    <col min="1782" max="1782" width="48.7109375" style="1950" customWidth="1"/>
    <col min="1783" max="1783" width="9.140625" style="1950" customWidth="1"/>
    <col min="1784" max="1784" width="7.140625" style="1950" customWidth="1"/>
    <col min="1785" max="1785" width="13.42578125" style="1950" customWidth="1"/>
    <col min="1786" max="1786" width="5.28515625" style="1950" customWidth="1"/>
    <col min="1787" max="1787" width="12.7109375" style="1950" customWidth="1"/>
    <col min="1788" max="1788" width="1.85546875" style="1950" customWidth="1"/>
    <col min="1789" max="1789" width="12.7109375" style="1950" customWidth="1"/>
    <col min="1790" max="1790" width="3.85546875" style="1950" customWidth="1"/>
    <col min="1791" max="1791" width="12.85546875" style="1950" customWidth="1"/>
    <col min="1792" max="1792" width="1.85546875" style="1950" customWidth="1"/>
    <col min="1793" max="1793" width="13.140625" style="1950" customWidth="1"/>
    <col min="1794" max="1794" width="5.5703125" style="1950" customWidth="1"/>
    <col min="1795" max="1795" width="11.85546875" style="1950" customWidth="1"/>
    <col min="1796" max="1796" width="4.42578125" style="1950" bestFit="1" customWidth="1"/>
    <col min="1797" max="1797" width="13.28515625" style="1950" customWidth="1"/>
    <col min="1798" max="1798" width="4" style="1950" bestFit="1" customWidth="1"/>
    <col min="1799" max="1799" width="13.140625" style="1950" customWidth="1"/>
    <col min="1800" max="1805" width="12.42578125" style="1950" customWidth="1"/>
    <col min="1806" max="2036" width="16.7109375" style="1950"/>
    <col min="2037" max="2037" width="13.140625" style="1950" customWidth="1"/>
    <col min="2038" max="2038" width="48.7109375" style="1950" customWidth="1"/>
    <col min="2039" max="2039" width="9.140625" style="1950" customWidth="1"/>
    <col min="2040" max="2040" width="7.140625" style="1950" customWidth="1"/>
    <col min="2041" max="2041" width="13.42578125" style="1950" customWidth="1"/>
    <col min="2042" max="2042" width="5.28515625" style="1950" customWidth="1"/>
    <col min="2043" max="2043" width="12.7109375" style="1950" customWidth="1"/>
    <col min="2044" max="2044" width="1.85546875" style="1950" customWidth="1"/>
    <col min="2045" max="2045" width="12.7109375" style="1950" customWidth="1"/>
    <col min="2046" max="2046" width="3.85546875" style="1950" customWidth="1"/>
    <col min="2047" max="2047" width="12.85546875" style="1950" customWidth="1"/>
    <col min="2048" max="2048" width="1.85546875" style="1950" customWidth="1"/>
    <col min="2049" max="2049" width="13.140625" style="1950" customWidth="1"/>
    <col min="2050" max="2050" width="5.5703125" style="1950" customWidth="1"/>
    <col min="2051" max="2051" width="11.85546875" style="1950" customWidth="1"/>
    <col min="2052" max="2052" width="4.42578125" style="1950" bestFit="1" customWidth="1"/>
    <col min="2053" max="2053" width="13.28515625" style="1950" customWidth="1"/>
    <col min="2054" max="2054" width="4" style="1950" bestFit="1" customWidth="1"/>
    <col min="2055" max="2055" width="13.140625" style="1950" customWidth="1"/>
    <col min="2056" max="2061" width="12.42578125" style="1950" customWidth="1"/>
    <col min="2062" max="2292" width="16.7109375" style="1950"/>
    <col min="2293" max="2293" width="13.140625" style="1950" customWidth="1"/>
    <col min="2294" max="2294" width="48.7109375" style="1950" customWidth="1"/>
    <col min="2295" max="2295" width="9.140625" style="1950" customWidth="1"/>
    <col min="2296" max="2296" width="7.140625" style="1950" customWidth="1"/>
    <col min="2297" max="2297" width="13.42578125" style="1950" customWidth="1"/>
    <col min="2298" max="2298" width="5.28515625" style="1950" customWidth="1"/>
    <col min="2299" max="2299" width="12.7109375" style="1950" customWidth="1"/>
    <col min="2300" max="2300" width="1.85546875" style="1950" customWidth="1"/>
    <col min="2301" max="2301" width="12.7109375" style="1950" customWidth="1"/>
    <col min="2302" max="2302" width="3.85546875" style="1950" customWidth="1"/>
    <col min="2303" max="2303" width="12.85546875" style="1950" customWidth="1"/>
    <col min="2304" max="2304" width="1.85546875" style="1950" customWidth="1"/>
    <col min="2305" max="2305" width="13.140625" style="1950" customWidth="1"/>
    <col min="2306" max="2306" width="5.5703125" style="1950" customWidth="1"/>
    <col min="2307" max="2307" width="11.85546875" style="1950" customWidth="1"/>
    <col min="2308" max="2308" width="4.42578125" style="1950" bestFit="1" customWidth="1"/>
    <col min="2309" max="2309" width="13.28515625" style="1950" customWidth="1"/>
    <col min="2310" max="2310" width="4" style="1950" bestFit="1" customWidth="1"/>
    <col min="2311" max="2311" width="13.140625" style="1950" customWidth="1"/>
    <col min="2312" max="2317" width="12.42578125" style="1950" customWidth="1"/>
    <col min="2318" max="2548" width="16.7109375" style="1950"/>
    <col min="2549" max="2549" width="13.140625" style="1950" customWidth="1"/>
    <col min="2550" max="2550" width="48.7109375" style="1950" customWidth="1"/>
    <col min="2551" max="2551" width="9.140625" style="1950" customWidth="1"/>
    <col min="2552" max="2552" width="7.140625" style="1950" customWidth="1"/>
    <col min="2553" max="2553" width="13.42578125" style="1950" customWidth="1"/>
    <col min="2554" max="2554" width="5.28515625" style="1950" customWidth="1"/>
    <col min="2555" max="2555" width="12.7109375" style="1950" customWidth="1"/>
    <col min="2556" max="2556" width="1.85546875" style="1950" customWidth="1"/>
    <col min="2557" max="2557" width="12.7109375" style="1950" customWidth="1"/>
    <col min="2558" max="2558" width="3.85546875" style="1950" customWidth="1"/>
    <col min="2559" max="2559" width="12.85546875" style="1950" customWidth="1"/>
    <col min="2560" max="2560" width="1.85546875" style="1950" customWidth="1"/>
    <col min="2561" max="2561" width="13.140625" style="1950" customWidth="1"/>
    <col min="2562" max="2562" width="5.5703125" style="1950" customWidth="1"/>
    <col min="2563" max="2563" width="11.85546875" style="1950" customWidth="1"/>
    <col min="2564" max="2564" width="4.42578125" style="1950" bestFit="1" customWidth="1"/>
    <col min="2565" max="2565" width="13.28515625" style="1950" customWidth="1"/>
    <col min="2566" max="2566" width="4" style="1950" bestFit="1" customWidth="1"/>
    <col min="2567" max="2567" width="13.140625" style="1950" customWidth="1"/>
    <col min="2568" max="2573" width="12.42578125" style="1950" customWidth="1"/>
    <col min="2574" max="2804" width="16.7109375" style="1950"/>
    <col min="2805" max="2805" width="13.140625" style="1950" customWidth="1"/>
    <col min="2806" max="2806" width="48.7109375" style="1950" customWidth="1"/>
    <col min="2807" max="2807" width="9.140625" style="1950" customWidth="1"/>
    <col min="2808" max="2808" width="7.140625" style="1950" customWidth="1"/>
    <col min="2809" max="2809" width="13.42578125" style="1950" customWidth="1"/>
    <col min="2810" max="2810" width="5.28515625" style="1950" customWidth="1"/>
    <col min="2811" max="2811" width="12.7109375" style="1950" customWidth="1"/>
    <col min="2812" max="2812" width="1.85546875" style="1950" customWidth="1"/>
    <col min="2813" max="2813" width="12.7109375" style="1950" customWidth="1"/>
    <col min="2814" max="2814" width="3.85546875" style="1950" customWidth="1"/>
    <col min="2815" max="2815" width="12.85546875" style="1950" customWidth="1"/>
    <col min="2816" max="2816" width="1.85546875" style="1950" customWidth="1"/>
    <col min="2817" max="2817" width="13.140625" style="1950" customWidth="1"/>
    <col min="2818" max="2818" width="5.5703125" style="1950" customWidth="1"/>
    <col min="2819" max="2819" width="11.85546875" style="1950" customWidth="1"/>
    <col min="2820" max="2820" width="4.42578125" style="1950" bestFit="1" customWidth="1"/>
    <col min="2821" max="2821" width="13.28515625" style="1950" customWidth="1"/>
    <col min="2822" max="2822" width="4" style="1950" bestFit="1" customWidth="1"/>
    <col min="2823" max="2823" width="13.140625" style="1950" customWidth="1"/>
    <col min="2824" max="2829" width="12.42578125" style="1950" customWidth="1"/>
    <col min="2830" max="3060" width="16.7109375" style="1950"/>
    <col min="3061" max="3061" width="13.140625" style="1950" customWidth="1"/>
    <col min="3062" max="3062" width="48.7109375" style="1950" customWidth="1"/>
    <col min="3063" max="3063" width="9.140625" style="1950" customWidth="1"/>
    <col min="3064" max="3064" width="7.140625" style="1950" customWidth="1"/>
    <col min="3065" max="3065" width="13.42578125" style="1950" customWidth="1"/>
    <col min="3066" max="3066" width="5.28515625" style="1950" customWidth="1"/>
    <col min="3067" max="3067" width="12.7109375" style="1950" customWidth="1"/>
    <col min="3068" max="3068" width="1.85546875" style="1950" customWidth="1"/>
    <col min="3069" max="3069" width="12.7109375" style="1950" customWidth="1"/>
    <col min="3070" max="3070" width="3.85546875" style="1950" customWidth="1"/>
    <col min="3071" max="3071" width="12.85546875" style="1950" customWidth="1"/>
    <col min="3072" max="3072" width="1.85546875" style="1950" customWidth="1"/>
    <col min="3073" max="3073" width="13.140625" style="1950" customWidth="1"/>
    <col min="3074" max="3074" width="5.5703125" style="1950" customWidth="1"/>
    <col min="3075" max="3075" width="11.85546875" style="1950" customWidth="1"/>
    <col min="3076" max="3076" width="4.42578125" style="1950" bestFit="1" customWidth="1"/>
    <col min="3077" max="3077" width="13.28515625" style="1950" customWidth="1"/>
    <col min="3078" max="3078" width="4" style="1950" bestFit="1" customWidth="1"/>
    <col min="3079" max="3079" width="13.140625" style="1950" customWidth="1"/>
    <col min="3080" max="3085" width="12.42578125" style="1950" customWidth="1"/>
    <col min="3086" max="3316" width="16.7109375" style="1950"/>
    <col min="3317" max="3317" width="13.140625" style="1950" customWidth="1"/>
    <col min="3318" max="3318" width="48.7109375" style="1950" customWidth="1"/>
    <col min="3319" max="3319" width="9.140625" style="1950" customWidth="1"/>
    <col min="3320" max="3320" width="7.140625" style="1950" customWidth="1"/>
    <col min="3321" max="3321" width="13.42578125" style="1950" customWidth="1"/>
    <col min="3322" max="3322" width="5.28515625" style="1950" customWidth="1"/>
    <col min="3323" max="3323" width="12.7109375" style="1950" customWidth="1"/>
    <col min="3324" max="3324" width="1.85546875" style="1950" customWidth="1"/>
    <col min="3325" max="3325" width="12.7109375" style="1950" customWidth="1"/>
    <col min="3326" max="3326" width="3.85546875" style="1950" customWidth="1"/>
    <col min="3327" max="3327" width="12.85546875" style="1950" customWidth="1"/>
    <col min="3328" max="3328" width="1.85546875" style="1950" customWidth="1"/>
    <col min="3329" max="3329" width="13.140625" style="1950" customWidth="1"/>
    <col min="3330" max="3330" width="5.5703125" style="1950" customWidth="1"/>
    <col min="3331" max="3331" width="11.85546875" style="1950" customWidth="1"/>
    <col min="3332" max="3332" width="4.42578125" style="1950" bestFit="1" customWidth="1"/>
    <col min="3333" max="3333" width="13.28515625" style="1950" customWidth="1"/>
    <col min="3334" max="3334" width="4" style="1950" bestFit="1" customWidth="1"/>
    <col min="3335" max="3335" width="13.140625" style="1950" customWidth="1"/>
    <col min="3336" max="3341" width="12.42578125" style="1950" customWidth="1"/>
    <col min="3342" max="3572" width="16.7109375" style="1950"/>
    <col min="3573" max="3573" width="13.140625" style="1950" customWidth="1"/>
    <col min="3574" max="3574" width="48.7109375" style="1950" customWidth="1"/>
    <col min="3575" max="3575" width="9.140625" style="1950" customWidth="1"/>
    <col min="3576" max="3576" width="7.140625" style="1950" customWidth="1"/>
    <col min="3577" max="3577" width="13.42578125" style="1950" customWidth="1"/>
    <col min="3578" max="3578" width="5.28515625" style="1950" customWidth="1"/>
    <col min="3579" max="3579" width="12.7109375" style="1950" customWidth="1"/>
    <col min="3580" max="3580" width="1.85546875" style="1950" customWidth="1"/>
    <col min="3581" max="3581" width="12.7109375" style="1950" customWidth="1"/>
    <col min="3582" max="3582" width="3.85546875" style="1950" customWidth="1"/>
    <col min="3583" max="3583" width="12.85546875" style="1950" customWidth="1"/>
    <col min="3584" max="3584" width="1.85546875" style="1950" customWidth="1"/>
    <col min="3585" max="3585" width="13.140625" style="1950" customWidth="1"/>
    <col min="3586" max="3586" width="5.5703125" style="1950" customWidth="1"/>
    <col min="3587" max="3587" width="11.85546875" style="1950" customWidth="1"/>
    <col min="3588" max="3588" width="4.42578125" style="1950" bestFit="1" customWidth="1"/>
    <col min="3589" max="3589" width="13.28515625" style="1950" customWidth="1"/>
    <col min="3590" max="3590" width="4" style="1950" bestFit="1" customWidth="1"/>
    <col min="3591" max="3591" width="13.140625" style="1950" customWidth="1"/>
    <col min="3592" max="3597" width="12.42578125" style="1950" customWidth="1"/>
    <col min="3598" max="3828" width="16.7109375" style="1950"/>
    <col min="3829" max="3829" width="13.140625" style="1950" customWidth="1"/>
    <col min="3830" max="3830" width="48.7109375" style="1950" customWidth="1"/>
    <col min="3831" max="3831" width="9.140625" style="1950" customWidth="1"/>
    <col min="3832" max="3832" width="7.140625" style="1950" customWidth="1"/>
    <col min="3833" max="3833" width="13.42578125" style="1950" customWidth="1"/>
    <col min="3834" max="3834" width="5.28515625" style="1950" customWidth="1"/>
    <col min="3835" max="3835" width="12.7109375" style="1950" customWidth="1"/>
    <col min="3836" max="3836" width="1.85546875" style="1950" customWidth="1"/>
    <col min="3837" max="3837" width="12.7109375" style="1950" customWidth="1"/>
    <col min="3838" max="3838" width="3.85546875" style="1950" customWidth="1"/>
    <col min="3839" max="3839" width="12.85546875" style="1950" customWidth="1"/>
    <col min="3840" max="3840" width="1.85546875" style="1950" customWidth="1"/>
    <col min="3841" max="3841" width="13.140625" style="1950" customWidth="1"/>
    <col min="3842" max="3842" width="5.5703125" style="1950" customWidth="1"/>
    <col min="3843" max="3843" width="11.85546875" style="1950" customWidth="1"/>
    <col min="3844" max="3844" width="4.42578125" style="1950" bestFit="1" customWidth="1"/>
    <col min="3845" max="3845" width="13.28515625" style="1950" customWidth="1"/>
    <col min="3846" max="3846" width="4" style="1950" bestFit="1" customWidth="1"/>
    <col min="3847" max="3847" width="13.140625" style="1950" customWidth="1"/>
    <col min="3848" max="3853" width="12.42578125" style="1950" customWidth="1"/>
    <col min="3854" max="4084" width="16.7109375" style="1950"/>
    <col min="4085" max="4085" width="13.140625" style="1950" customWidth="1"/>
    <col min="4086" max="4086" width="48.7109375" style="1950" customWidth="1"/>
    <col min="4087" max="4087" width="9.140625" style="1950" customWidth="1"/>
    <col min="4088" max="4088" width="7.140625" style="1950" customWidth="1"/>
    <col min="4089" max="4089" width="13.42578125" style="1950" customWidth="1"/>
    <col min="4090" max="4090" width="5.28515625" style="1950" customWidth="1"/>
    <col min="4091" max="4091" width="12.7109375" style="1950" customWidth="1"/>
    <col min="4092" max="4092" width="1.85546875" style="1950" customWidth="1"/>
    <col min="4093" max="4093" width="12.7109375" style="1950" customWidth="1"/>
    <col min="4094" max="4094" width="3.85546875" style="1950" customWidth="1"/>
    <col min="4095" max="4095" width="12.85546875" style="1950" customWidth="1"/>
    <col min="4096" max="4096" width="1.85546875" style="1950" customWidth="1"/>
    <col min="4097" max="4097" width="13.140625" style="1950" customWidth="1"/>
    <col min="4098" max="4098" width="5.5703125" style="1950" customWidth="1"/>
    <col min="4099" max="4099" width="11.85546875" style="1950" customWidth="1"/>
    <col min="4100" max="4100" width="4.42578125" style="1950" bestFit="1" customWidth="1"/>
    <col min="4101" max="4101" width="13.28515625" style="1950" customWidth="1"/>
    <col min="4102" max="4102" width="4" style="1950" bestFit="1" customWidth="1"/>
    <col min="4103" max="4103" width="13.140625" style="1950" customWidth="1"/>
    <col min="4104" max="4109" width="12.42578125" style="1950" customWidth="1"/>
    <col min="4110" max="4340" width="16.7109375" style="1950"/>
    <col min="4341" max="4341" width="13.140625" style="1950" customWidth="1"/>
    <col min="4342" max="4342" width="48.7109375" style="1950" customWidth="1"/>
    <col min="4343" max="4343" width="9.140625" style="1950" customWidth="1"/>
    <col min="4344" max="4344" width="7.140625" style="1950" customWidth="1"/>
    <col min="4345" max="4345" width="13.42578125" style="1950" customWidth="1"/>
    <col min="4346" max="4346" width="5.28515625" style="1950" customWidth="1"/>
    <col min="4347" max="4347" width="12.7109375" style="1950" customWidth="1"/>
    <col min="4348" max="4348" width="1.85546875" style="1950" customWidth="1"/>
    <col min="4349" max="4349" width="12.7109375" style="1950" customWidth="1"/>
    <col min="4350" max="4350" width="3.85546875" style="1950" customWidth="1"/>
    <col min="4351" max="4351" width="12.85546875" style="1950" customWidth="1"/>
    <col min="4352" max="4352" width="1.85546875" style="1950" customWidth="1"/>
    <col min="4353" max="4353" width="13.140625" style="1950" customWidth="1"/>
    <col min="4354" max="4354" width="5.5703125" style="1950" customWidth="1"/>
    <col min="4355" max="4355" width="11.85546875" style="1950" customWidth="1"/>
    <col min="4356" max="4356" width="4.42578125" style="1950" bestFit="1" customWidth="1"/>
    <col min="4357" max="4357" width="13.28515625" style="1950" customWidth="1"/>
    <col min="4358" max="4358" width="4" style="1950" bestFit="1" customWidth="1"/>
    <col min="4359" max="4359" width="13.140625" style="1950" customWidth="1"/>
    <col min="4360" max="4365" width="12.42578125" style="1950" customWidth="1"/>
    <col min="4366" max="4596" width="16.7109375" style="1950"/>
    <col min="4597" max="4597" width="13.140625" style="1950" customWidth="1"/>
    <col min="4598" max="4598" width="48.7109375" style="1950" customWidth="1"/>
    <col min="4599" max="4599" width="9.140625" style="1950" customWidth="1"/>
    <col min="4600" max="4600" width="7.140625" style="1950" customWidth="1"/>
    <col min="4601" max="4601" width="13.42578125" style="1950" customWidth="1"/>
    <col min="4602" max="4602" width="5.28515625" style="1950" customWidth="1"/>
    <col min="4603" max="4603" width="12.7109375" style="1950" customWidth="1"/>
    <col min="4604" max="4604" width="1.85546875" style="1950" customWidth="1"/>
    <col min="4605" max="4605" width="12.7109375" style="1950" customWidth="1"/>
    <col min="4606" max="4606" width="3.85546875" style="1950" customWidth="1"/>
    <col min="4607" max="4607" width="12.85546875" style="1950" customWidth="1"/>
    <col min="4608" max="4608" width="1.85546875" style="1950" customWidth="1"/>
    <col min="4609" max="4609" width="13.140625" style="1950" customWidth="1"/>
    <col min="4610" max="4610" width="5.5703125" style="1950" customWidth="1"/>
    <col min="4611" max="4611" width="11.85546875" style="1950" customWidth="1"/>
    <col min="4612" max="4612" width="4.42578125" style="1950" bestFit="1" customWidth="1"/>
    <col min="4613" max="4613" width="13.28515625" style="1950" customWidth="1"/>
    <col min="4614" max="4614" width="4" style="1950" bestFit="1" customWidth="1"/>
    <col min="4615" max="4615" width="13.140625" style="1950" customWidth="1"/>
    <col min="4616" max="4621" width="12.42578125" style="1950" customWidth="1"/>
    <col min="4622" max="4852" width="16.7109375" style="1950"/>
    <col min="4853" max="4853" width="13.140625" style="1950" customWidth="1"/>
    <col min="4854" max="4854" width="48.7109375" style="1950" customWidth="1"/>
    <col min="4855" max="4855" width="9.140625" style="1950" customWidth="1"/>
    <col min="4856" max="4856" width="7.140625" style="1950" customWidth="1"/>
    <col min="4857" max="4857" width="13.42578125" style="1950" customWidth="1"/>
    <col min="4858" max="4858" width="5.28515625" style="1950" customWidth="1"/>
    <col min="4859" max="4859" width="12.7109375" style="1950" customWidth="1"/>
    <col min="4860" max="4860" width="1.85546875" style="1950" customWidth="1"/>
    <col min="4861" max="4861" width="12.7109375" style="1950" customWidth="1"/>
    <col min="4862" max="4862" width="3.85546875" style="1950" customWidth="1"/>
    <col min="4863" max="4863" width="12.85546875" style="1950" customWidth="1"/>
    <col min="4864" max="4864" width="1.85546875" style="1950" customWidth="1"/>
    <col min="4865" max="4865" width="13.140625" style="1950" customWidth="1"/>
    <col min="4866" max="4866" width="5.5703125" style="1950" customWidth="1"/>
    <col min="4867" max="4867" width="11.85546875" style="1950" customWidth="1"/>
    <col min="4868" max="4868" width="4.42578125" style="1950" bestFit="1" customWidth="1"/>
    <col min="4869" max="4869" width="13.28515625" style="1950" customWidth="1"/>
    <col min="4870" max="4870" width="4" style="1950" bestFit="1" customWidth="1"/>
    <col min="4871" max="4871" width="13.140625" style="1950" customWidth="1"/>
    <col min="4872" max="4877" width="12.42578125" style="1950" customWidth="1"/>
    <col min="4878" max="5108" width="16.7109375" style="1950"/>
    <col min="5109" max="5109" width="13.140625" style="1950" customWidth="1"/>
    <col min="5110" max="5110" width="48.7109375" style="1950" customWidth="1"/>
    <col min="5111" max="5111" width="9.140625" style="1950" customWidth="1"/>
    <col min="5112" max="5112" width="7.140625" style="1950" customWidth="1"/>
    <col min="5113" max="5113" width="13.42578125" style="1950" customWidth="1"/>
    <col min="5114" max="5114" width="5.28515625" style="1950" customWidth="1"/>
    <col min="5115" max="5115" width="12.7109375" style="1950" customWidth="1"/>
    <col min="5116" max="5116" width="1.85546875" style="1950" customWidth="1"/>
    <col min="5117" max="5117" width="12.7109375" style="1950" customWidth="1"/>
    <col min="5118" max="5118" width="3.85546875" style="1950" customWidth="1"/>
    <col min="5119" max="5119" width="12.85546875" style="1950" customWidth="1"/>
    <col min="5120" max="5120" width="1.85546875" style="1950" customWidth="1"/>
    <col min="5121" max="5121" width="13.140625" style="1950" customWidth="1"/>
    <col min="5122" max="5122" width="5.5703125" style="1950" customWidth="1"/>
    <col min="5123" max="5123" width="11.85546875" style="1950" customWidth="1"/>
    <col min="5124" max="5124" width="4.42578125" style="1950" bestFit="1" customWidth="1"/>
    <col min="5125" max="5125" width="13.28515625" style="1950" customWidth="1"/>
    <col min="5126" max="5126" width="4" style="1950" bestFit="1" customWidth="1"/>
    <col min="5127" max="5127" width="13.140625" style="1950" customWidth="1"/>
    <col min="5128" max="5133" width="12.42578125" style="1950" customWidth="1"/>
    <col min="5134" max="5364" width="16.7109375" style="1950"/>
    <col min="5365" max="5365" width="13.140625" style="1950" customWidth="1"/>
    <col min="5366" max="5366" width="48.7109375" style="1950" customWidth="1"/>
    <col min="5367" max="5367" width="9.140625" style="1950" customWidth="1"/>
    <col min="5368" max="5368" width="7.140625" style="1950" customWidth="1"/>
    <col min="5369" max="5369" width="13.42578125" style="1950" customWidth="1"/>
    <col min="5370" max="5370" width="5.28515625" style="1950" customWidth="1"/>
    <col min="5371" max="5371" width="12.7109375" style="1950" customWidth="1"/>
    <col min="5372" max="5372" width="1.85546875" style="1950" customWidth="1"/>
    <col min="5373" max="5373" width="12.7109375" style="1950" customWidth="1"/>
    <col min="5374" max="5374" width="3.85546875" style="1950" customWidth="1"/>
    <col min="5375" max="5375" width="12.85546875" style="1950" customWidth="1"/>
    <col min="5376" max="5376" width="1.85546875" style="1950" customWidth="1"/>
    <col min="5377" max="5377" width="13.140625" style="1950" customWidth="1"/>
    <col min="5378" max="5378" width="5.5703125" style="1950" customWidth="1"/>
    <col min="5379" max="5379" width="11.85546875" style="1950" customWidth="1"/>
    <col min="5380" max="5380" width="4.42578125" style="1950" bestFit="1" customWidth="1"/>
    <col min="5381" max="5381" width="13.28515625" style="1950" customWidth="1"/>
    <col min="5382" max="5382" width="4" style="1950" bestFit="1" customWidth="1"/>
    <col min="5383" max="5383" width="13.140625" style="1950" customWidth="1"/>
    <col min="5384" max="5389" width="12.42578125" style="1950" customWidth="1"/>
    <col min="5390" max="5620" width="16.7109375" style="1950"/>
    <col min="5621" max="5621" width="13.140625" style="1950" customWidth="1"/>
    <col min="5622" max="5622" width="48.7109375" style="1950" customWidth="1"/>
    <col min="5623" max="5623" width="9.140625" style="1950" customWidth="1"/>
    <col min="5624" max="5624" width="7.140625" style="1950" customWidth="1"/>
    <col min="5625" max="5625" width="13.42578125" style="1950" customWidth="1"/>
    <col min="5626" max="5626" width="5.28515625" style="1950" customWidth="1"/>
    <col min="5627" max="5627" width="12.7109375" style="1950" customWidth="1"/>
    <col min="5628" max="5628" width="1.85546875" style="1950" customWidth="1"/>
    <col min="5629" max="5629" width="12.7109375" style="1950" customWidth="1"/>
    <col min="5630" max="5630" width="3.85546875" style="1950" customWidth="1"/>
    <col min="5631" max="5631" width="12.85546875" style="1950" customWidth="1"/>
    <col min="5632" max="5632" width="1.85546875" style="1950" customWidth="1"/>
    <col min="5633" max="5633" width="13.140625" style="1950" customWidth="1"/>
    <col min="5634" max="5634" width="5.5703125" style="1950" customWidth="1"/>
    <col min="5635" max="5635" width="11.85546875" style="1950" customWidth="1"/>
    <col min="5636" max="5636" width="4.42578125" style="1950" bestFit="1" customWidth="1"/>
    <col min="5637" max="5637" width="13.28515625" style="1950" customWidth="1"/>
    <col min="5638" max="5638" width="4" style="1950" bestFit="1" customWidth="1"/>
    <col min="5639" max="5639" width="13.140625" style="1950" customWidth="1"/>
    <col min="5640" max="5645" width="12.42578125" style="1950" customWidth="1"/>
    <col min="5646" max="5876" width="16.7109375" style="1950"/>
    <col min="5877" max="5877" width="13.140625" style="1950" customWidth="1"/>
    <col min="5878" max="5878" width="48.7109375" style="1950" customWidth="1"/>
    <col min="5879" max="5879" width="9.140625" style="1950" customWidth="1"/>
    <col min="5880" max="5880" width="7.140625" style="1950" customWidth="1"/>
    <col min="5881" max="5881" width="13.42578125" style="1950" customWidth="1"/>
    <col min="5882" max="5882" width="5.28515625" style="1950" customWidth="1"/>
    <col min="5883" max="5883" width="12.7109375" style="1950" customWidth="1"/>
    <col min="5884" max="5884" width="1.85546875" style="1950" customWidth="1"/>
    <col min="5885" max="5885" width="12.7109375" style="1950" customWidth="1"/>
    <col min="5886" max="5886" width="3.85546875" style="1950" customWidth="1"/>
    <col min="5887" max="5887" width="12.85546875" style="1950" customWidth="1"/>
    <col min="5888" max="5888" width="1.85546875" style="1950" customWidth="1"/>
    <col min="5889" max="5889" width="13.140625" style="1950" customWidth="1"/>
    <col min="5890" max="5890" width="5.5703125" style="1950" customWidth="1"/>
    <col min="5891" max="5891" width="11.85546875" style="1950" customWidth="1"/>
    <col min="5892" max="5892" width="4.42578125" style="1950" bestFit="1" customWidth="1"/>
    <col min="5893" max="5893" width="13.28515625" style="1950" customWidth="1"/>
    <col min="5894" max="5894" width="4" style="1950" bestFit="1" customWidth="1"/>
    <col min="5895" max="5895" width="13.140625" style="1950" customWidth="1"/>
    <col min="5896" max="5901" width="12.42578125" style="1950" customWidth="1"/>
    <col min="5902" max="6132" width="16.7109375" style="1950"/>
    <col min="6133" max="6133" width="13.140625" style="1950" customWidth="1"/>
    <col min="6134" max="6134" width="48.7109375" style="1950" customWidth="1"/>
    <col min="6135" max="6135" width="9.140625" style="1950" customWidth="1"/>
    <col min="6136" max="6136" width="7.140625" style="1950" customWidth="1"/>
    <col min="6137" max="6137" width="13.42578125" style="1950" customWidth="1"/>
    <col min="6138" max="6138" width="5.28515625" style="1950" customWidth="1"/>
    <col min="6139" max="6139" width="12.7109375" style="1950" customWidth="1"/>
    <col min="6140" max="6140" width="1.85546875" style="1950" customWidth="1"/>
    <col min="6141" max="6141" width="12.7109375" style="1950" customWidth="1"/>
    <col min="6142" max="6142" width="3.85546875" style="1950" customWidth="1"/>
    <col min="6143" max="6143" width="12.85546875" style="1950" customWidth="1"/>
    <col min="6144" max="6144" width="1.85546875" style="1950" customWidth="1"/>
    <col min="6145" max="6145" width="13.140625" style="1950" customWidth="1"/>
    <col min="6146" max="6146" width="5.5703125" style="1950" customWidth="1"/>
    <col min="6147" max="6147" width="11.85546875" style="1950" customWidth="1"/>
    <col min="6148" max="6148" width="4.42578125" style="1950" bestFit="1" customWidth="1"/>
    <col min="6149" max="6149" width="13.28515625" style="1950" customWidth="1"/>
    <col min="6150" max="6150" width="4" style="1950" bestFit="1" customWidth="1"/>
    <col min="6151" max="6151" width="13.140625" style="1950" customWidth="1"/>
    <col min="6152" max="6157" width="12.42578125" style="1950" customWidth="1"/>
    <col min="6158" max="6388" width="16.7109375" style="1950"/>
    <col min="6389" max="6389" width="13.140625" style="1950" customWidth="1"/>
    <col min="6390" max="6390" width="48.7109375" style="1950" customWidth="1"/>
    <col min="6391" max="6391" width="9.140625" style="1950" customWidth="1"/>
    <col min="6392" max="6392" width="7.140625" style="1950" customWidth="1"/>
    <col min="6393" max="6393" width="13.42578125" style="1950" customWidth="1"/>
    <col min="6394" max="6394" width="5.28515625" style="1950" customWidth="1"/>
    <col min="6395" max="6395" width="12.7109375" style="1950" customWidth="1"/>
    <col min="6396" max="6396" width="1.85546875" style="1950" customWidth="1"/>
    <col min="6397" max="6397" width="12.7109375" style="1950" customWidth="1"/>
    <col min="6398" max="6398" width="3.85546875" style="1950" customWidth="1"/>
    <col min="6399" max="6399" width="12.85546875" style="1950" customWidth="1"/>
    <col min="6400" max="6400" width="1.85546875" style="1950" customWidth="1"/>
    <col min="6401" max="6401" width="13.140625" style="1950" customWidth="1"/>
    <col min="6402" max="6402" width="5.5703125" style="1950" customWidth="1"/>
    <col min="6403" max="6403" width="11.85546875" style="1950" customWidth="1"/>
    <col min="6404" max="6404" width="4.42578125" style="1950" bestFit="1" customWidth="1"/>
    <col min="6405" max="6405" width="13.28515625" style="1950" customWidth="1"/>
    <col min="6406" max="6406" width="4" style="1950" bestFit="1" customWidth="1"/>
    <col min="6407" max="6407" width="13.140625" style="1950" customWidth="1"/>
    <col min="6408" max="6413" width="12.42578125" style="1950" customWidth="1"/>
    <col min="6414" max="6644" width="16.7109375" style="1950"/>
    <col min="6645" max="6645" width="13.140625" style="1950" customWidth="1"/>
    <col min="6646" max="6646" width="48.7109375" style="1950" customWidth="1"/>
    <col min="6647" max="6647" width="9.140625" style="1950" customWidth="1"/>
    <col min="6648" max="6648" width="7.140625" style="1950" customWidth="1"/>
    <col min="6649" max="6649" width="13.42578125" style="1950" customWidth="1"/>
    <col min="6650" max="6650" width="5.28515625" style="1950" customWidth="1"/>
    <col min="6651" max="6651" width="12.7109375" style="1950" customWidth="1"/>
    <col min="6652" max="6652" width="1.85546875" style="1950" customWidth="1"/>
    <col min="6653" max="6653" width="12.7109375" style="1950" customWidth="1"/>
    <col min="6654" max="6654" width="3.85546875" style="1950" customWidth="1"/>
    <col min="6655" max="6655" width="12.85546875" style="1950" customWidth="1"/>
    <col min="6656" max="6656" width="1.85546875" style="1950" customWidth="1"/>
    <col min="6657" max="6657" width="13.140625" style="1950" customWidth="1"/>
    <col min="6658" max="6658" width="5.5703125" style="1950" customWidth="1"/>
    <col min="6659" max="6659" width="11.85546875" style="1950" customWidth="1"/>
    <col min="6660" max="6660" width="4.42578125" style="1950" bestFit="1" customWidth="1"/>
    <col min="6661" max="6661" width="13.28515625" style="1950" customWidth="1"/>
    <col min="6662" max="6662" width="4" style="1950" bestFit="1" customWidth="1"/>
    <col min="6663" max="6663" width="13.140625" style="1950" customWidth="1"/>
    <col min="6664" max="6669" width="12.42578125" style="1950" customWidth="1"/>
    <col min="6670" max="6900" width="16.7109375" style="1950"/>
    <col min="6901" max="6901" width="13.140625" style="1950" customWidth="1"/>
    <col min="6902" max="6902" width="48.7109375" style="1950" customWidth="1"/>
    <col min="6903" max="6903" width="9.140625" style="1950" customWidth="1"/>
    <col min="6904" max="6904" width="7.140625" style="1950" customWidth="1"/>
    <col min="6905" max="6905" width="13.42578125" style="1950" customWidth="1"/>
    <col min="6906" max="6906" width="5.28515625" style="1950" customWidth="1"/>
    <col min="6907" max="6907" width="12.7109375" style="1950" customWidth="1"/>
    <col min="6908" max="6908" width="1.85546875" style="1950" customWidth="1"/>
    <col min="6909" max="6909" width="12.7109375" style="1950" customWidth="1"/>
    <col min="6910" max="6910" width="3.85546875" style="1950" customWidth="1"/>
    <col min="6911" max="6911" width="12.85546875" style="1950" customWidth="1"/>
    <col min="6912" max="6912" width="1.85546875" style="1950" customWidth="1"/>
    <col min="6913" max="6913" width="13.140625" style="1950" customWidth="1"/>
    <col min="6914" max="6914" width="5.5703125" style="1950" customWidth="1"/>
    <col min="6915" max="6915" width="11.85546875" style="1950" customWidth="1"/>
    <col min="6916" max="6916" width="4.42578125" style="1950" bestFit="1" customWidth="1"/>
    <col min="6917" max="6917" width="13.28515625" style="1950" customWidth="1"/>
    <col min="6918" max="6918" width="4" style="1950" bestFit="1" customWidth="1"/>
    <col min="6919" max="6919" width="13.140625" style="1950" customWidth="1"/>
    <col min="6920" max="6925" width="12.42578125" style="1950" customWidth="1"/>
    <col min="6926" max="7156" width="16.7109375" style="1950"/>
    <col min="7157" max="7157" width="13.140625" style="1950" customWidth="1"/>
    <col min="7158" max="7158" width="48.7109375" style="1950" customWidth="1"/>
    <col min="7159" max="7159" width="9.140625" style="1950" customWidth="1"/>
    <col min="7160" max="7160" width="7.140625" style="1950" customWidth="1"/>
    <col min="7161" max="7161" width="13.42578125" style="1950" customWidth="1"/>
    <col min="7162" max="7162" width="5.28515625" style="1950" customWidth="1"/>
    <col min="7163" max="7163" width="12.7109375" style="1950" customWidth="1"/>
    <col min="7164" max="7164" width="1.85546875" style="1950" customWidth="1"/>
    <col min="7165" max="7165" width="12.7109375" style="1950" customWidth="1"/>
    <col min="7166" max="7166" width="3.85546875" style="1950" customWidth="1"/>
    <col min="7167" max="7167" width="12.85546875" style="1950" customWidth="1"/>
    <col min="7168" max="7168" width="1.85546875" style="1950" customWidth="1"/>
    <col min="7169" max="7169" width="13.140625" style="1950" customWidth="1"/>
    <col min="7170" max="7170" width="5.5703125" style="1950" customWidth="1"/>
    <col min="7171" max="7171" width="11.85546875" style="1950" customWidth="1"/>
    <col min="7172" max="7172" width="4.42578125" style="1950" bestFit="1" customWidth="1"/>
    <col min="7173" max="7173" width="13.28515625" style="1950" customWidth="1"/>
    <col min="7174" max="7174" width="4" style="1950" bestFit="1" customWidth="1"/>
    <col min="7175" max="7175" width="13.140625" style="1950" customWidth="1"/>
    <col min="7176" max="7181" width="12.42578125" style="1950" customWidth="1"/>
    <col min="7182" max="7412" width="16.7109375" style="1950"/>
    <col min="7413" max="7413" width="13.140625" style="1950" customWidth="1"/>
    <col min="7414" max="7414" width="48.7109375" style="1950" customWidth="1"/>
    <col min="7415" max="7415" width="9.140625" style="1950" customWidth="1"/>
    <col min="7416" max="7416" width="7.140625" style="1950" customWidth="1"/>
    <col min="7417" max="7417" width="13.42578125" style="1950" customWidth="1"/>
    <col min="7418" max="7418" width="5.28515625" style="1950" customWidth="1"/>
    <col min="7419" max="7419" width="12.7109375" style="1950" customWidth="1"/>
    <col min="7420" max="7420" width="1.85546875" style="1950" customWidth="1"/>
    <col min="7421" max="7421" width="12.7109375" style="1950" customWidth="1"/>
    <col min="7422" max="7422" width="3.85546875" style="1950" customWidth="1"/>
    <col min="7423" max="7423" width="12.85546875" style="1950" customWidth="1"/>
    <col min="7424" max="7424" width="1.85546875" style="1950" customWidth="1"/>
    <col min="7425" max="7425" width="13.140625" style="1950" customWidth="1"/>
    <col min="7426" max="7426" width="5.5703125" style="1950" customWidth="1"/>
    <col min="7427" max="7427" width="11.85546875" style="1950" customWidth="1"/>
    <col min="7428" max="7428" width="4.42578125" style="1950" bestFit="1" customWidth="1"/>
    <col min="7429" max="7429" width="13.28515625" style="1950" customWidth="1"/>
    <col min="7430" max="7430" width="4" style="1950" bestFit="1" customWidth="1"/>
    <col min="7431" max="7431" width="13.140625" style="1950" customWidth="1"/>
    <col min="7432" max="7437" width="12.42578125" style="1950" customWidth="1"/>
    <col min="7438" max="7668" width="16.7109375" style="1950"/>
    <col min="7669" max="7669" width="13.140625" style="1950" customWidth="1"/>
    <col min="7670" max="7670" width="48.7109375" style="1950" customWidth="1"/>
    <col min="7671" max="7671" width="9.140625" style="1950" customWidth="1"/>
    <col min="7672" max="7672" width="7.140625" style="1950" customWidth="1"/>
    <col min="7673" max="7673" width="13.42578125" style="1950" customWidth="1"/>
    <col min="7674" max="7674" width="5.28515625" style="1950" customWidth="1"/>
    <col min="7675" max="7675" width="12.7109375" style="1950" customWidth="1"/>
    <col min="7676" max="7676" width="1.85546875" style="1950" customWidth="1"/>
    <col min="7677" max="7677" width="12.7109375" style="1950" customWidth="1"/>
    <col min="7678" max="7678" width="3.85546875" style="1950" customWidth="1"/>
    <col min="7679" max="7679" width="12.85546875" style="1950" customWidth="1"/>
    <col min="7680" max="7680" width="1.85546875" style="1950" customWidth="1"/>
    <col min="7681" max="7681" width="13.140625" style="1950" customWidth="1"/>
    <col min="7682" max="7682" width="5.5703125" style="1950" customWidth="1"/>
    <col min="7683" max="7683" width="11.85546875" style="1950" customWidth="1"/>
    <col min="7684" max="7684" width="4.42578125" style="1950" bestFit="1" customWidth="1"/>
    <col min="7685" max="7685" width="13.28515625" style="1950" customWidth="1"/>
    <col min="7686" max="7686" width="4" style="1950" bestFit="1" customWidth="1"/>
    <col min="7687" max="7687" width="13.140625" style="1950" customWidth="1"/>
    <col min="7688" max="7693" width="12.42578125" style="1950" customWidth="1"/>
    <col min="7694" max="7924" width="16.7109375" style="1950"/>
    <col min="7925" max="7925" width="13.140625" style="1950" customWidth="1"/>
    <col min="7926" max="7926" width="48.7109375" style="1950" customWidth="1"/>
    <col min="7927" max="7927" width="9.140625" style="1950" customWidth="1"/>
    <col min="7928" max="7928" width="7.140625" style="1950" customWidth="1"/>
    <col min="7929" max="7929" width="13.42578125" style="1950" customWidth="1"/>
    <col min="7930" max="7930" width="5.28515625" style="1950" customWidth="1"/>
    <col min="7931" max="7931" width="12.7109375" style="1950" customWidth="1"/>
    <col min="7932" max="7932" width="1.85546875" style="1950" customWidth="1"/>
    <col min="7933" max="7933" width="12.7109375" style="1950" customWidth="1"/>
    <col min="7934" max="7934" width="3.85546875" style="1950" customWidth="1"/>
    <col min="7935" max="7935" width="12.85546875" style="1950" customWidth="1"/>
    <col min="7936" max="7936" width="1.85546875" style="1950" customWidth="1"/>
    <col min="7937" max="7937" width="13.140625" style="1950" customWidth="1"/>
    <col min="7938" max="7938" width="5.5703125" style="1950" customWidth="1"/>
    <col min="7939" max="7939" width="11.85546875" style="1950" customWidth="1"/>
    <col min="7940" max="7940" width="4.42578125" style="1950" bestFit="1" customWidth="1"/>
    <col min="7941" max="7941" width="13.28515625" style="1950" customWidth="1"/>
    <col min="7942" max="7942" width="4" style="1950" bestFit="1" customWidth="1"/>
    <col min="7943" max="7943" width="13.140625" style="1950" customWidth="1"/>
    <col min="7944" max="7949" width="12.42578125" style="1950" customWidth="1"/>
    <col min="7950" max="8180" width="16.7109375" style="1950"/>
    <col min="8181" max="8181" width="13.140625" style="1950" customWidth="1"/>
    <col min="8182" max="8182" width="48.7109375" style="1950" customWidth="1"/>
    <col min="8183" max="8183" width="9.140625" style="1950" customWidth="1"/>
    <col min="8184" max="8184" width="7.140625" style="1950" customWidth="1"/>
    <col min="8185" max="8185" width="13.42578125" style="1950" customWidth="1"/>
    <col min="8186" max="8186" width="5.28515625" style="1950" customWidth="1"/>
    <col min="8187" max="8187" width="12.7109375" style="1950" customWidth="1"/>
    <col min="8188" max="8188" width="1.85546875" style="1950" customWidth="1"/>
    <col min="8189" max="8189" width="12.7109375" style="1950" customWidth="1"/>
    <col min="8190" max="8190" width="3.85546875" style="1950" customWidth="1"/>
    <col min="8191" max="8191" width="12.85546875" style="1950" customWidth="1"/>
    <col min="8192" max="8192" width="1.85546875" style="1950" customWidth="1"/>
    <col min="8193" max="8193" width="13.140625" style="1950" customWidth="1"/>
    <col min="8194" max="8194" width="5.5703125" style="1950" customWidth="1"/>
    <col min="8195" max="8195" width="11.85546875" style="1950" customWidth="1"/>
    <col min="8196" max="8196" width="4.42578125" style="1950" bestFit="1" customWidth="1"/>
    <col min="8197" max="8197" width="13.28515625" style="1950" customWidth="1"/>
    <col min="8198" max="8198" width="4" style="1950" bestFit="1" customWidth="1"/>
    <col min="8199" max="8199" width="13.140625" style="1950" customWidth="1"/>
    <col min="8200" max="8205" width="12.42578125" style="1950" customWidth="1"/>
    <col min="8206" max="8436" width="16.7109375" style="1950"/>
    <col min="8437" max="8437" width="13.140625" style="1950" customWidth="1"/>
    <col min="8438" max="8438" width="48.7109375" style="1950" customWidth="1"/>
    <col min="8439" max="8439" width="9.140625" style="1950" customWidth="1"/>
    <col min="8440" max="8440" width="7.140625" style="1950" customWidth="1"/>
    <col min="8441" max="8441" width="13.42578125" style="1950" customWidth="1"/>
    <col min="8442" max="8442" width="5.28515625" style="1950" customWidth="1"/>
    <col min="8443" max="8443" width="12.7109375" style="1950" customWidth="1"/>
    <col min="8444" max="8444" width="1.85546875" style="1950" customWidth="1"/>
    <col min="8445" max="8445" width="12.7109375" style="1950" customWidth="1"/>
    <col min="8446" max="8446" width="3.85546875" style="1950" customWidth="1"/>
    <col min="8447" max="8447" width="12.85546875" style="1950" customWidth="1"/>
    <col min="8448" max="8448" width="1.85546875" style="1950" customWidth="1"/>
    <col min="8449" max="8449" width="13.140625" style="1950" customWidth="1"/>
    <col min="8450" max="8450" width="5.5703125" style="1950" customWidth="1"/>
    <col min="8451" max="8451" width="11.85546875" style="1950" customWidth="1"/>
    <col min="8452" max="8452" width="4.42578125" style="1950" bestFit="1" customWidth="1"/>
    <col min="8453" max="8453" width="13.28515625" style="1950" customWidth="1"/>
    <col min="8454" max="8454" width="4" style="1950" bestFit="1" customWidth="1"/>
    <col min="8455" max="8455" width="13.140625" style="1950" customWidth="1"/>
    <col min="8456" max="8461" width="12.42578125" style="1950" customWidth="1"/>
    <col min="8462" max="8692" width="16.7109375" style="1950"/>
    <col min="8693" max="8693" width="13.140625" style="1950" customWidth="1"/>
    <col min="8694" max="8694" width="48.7109375" style="1950" customWidth="1"/>
    <col min="8695" max="8695" width="9.140625" style="1950" customWidth="1"/>
    <col min="8696" max="8696" width="7.140625" style="1950" customWidth="1"/>
    <col min="8697" max="8697" width="13.42578125" style="1950" customWidth="1"/>
    <col min="8698" max="8698" width="5.28515625" style="1950" customWidth="1"/>
    <col min="8699" max="8699" width="12.7109375" style="1950" customWidth="1"/>
    <col min="8700" max="8700" width="1.85546875" style="1950" customWidth="1"/>
    <col min="8701" max="8701" width="12.7109375" style="1950" customWidth="1"/>
    <col min="8702" max="8702" width="3.85546875" style="1950" customWidth="1"/>
    <col min="8703" max="8703" width="12.85546875" style="1950" customWidth="1"/>
    <col min="8704" max="8704" width="1.85546875" style="1950" customWidth="1"/>
    <col min="8705" max="8705" width="13.140625" style="1950" customWidth="1"/>
    <col min="8706" max="8706" width="5.5703125" style="1950" customWidth="1"/>
    <col min="8707" max="8707" width="11.85546875" style="1950" customWidth="1"/>
    <col min="8708" max="8708" width="4.42578125" style="1950" bestFit="1" customWidth="1"/>
    <col min="8709" max="8709" width="13.28515625" style="1950" customWidth="1"/>
    <col min="8710" max="8710" width="4" style="1950" bestFit="1" customWidth="1"/>
    <col min="8711" max="8711" width="13.140625" style="1950" customWidth="1"/>
    <col min="8712" max="8717" width="12.42578125" style="1950" customWidth="1"/>
    <col min="8718" max="8948" width="16.7109375" style="1950"/>
    <col min="8949" max="8949" width="13.140625" style="1950" customWidth="1"/>
    <col min="8950" max="8950" width="48.7109375" style="1950" customWidth="1"/>
    <col min="8951" max="8951" width="9.140625" style="1950" customWidth="1"/>
    <col min="8952" max="8952" width="7.140625" style="1950" customWidth="1"/>
    <col min="8953" max="8953" width="13.42578125" style="1950" customWidth="1"/>
    <col min="8954" max="8954" width="5.28515625" style="1950" customWidth="1"/>
    <col min="8955" max="8955" width="12.7109375" style="1950" customWidth="1"/>
    <col min="8956" max="8956" width="1.85546875" style="1950" customWidth="1"/>
    <col min="8957" max="8957" width="12.7109375" style="1950" customWidth="1"/>
    <col min="8958" max="8958" width="3.85546875" style="1950" customWidth="1"/>
    <col min="8959" max="8959" width="12.85546875" style="1950" customWidth="1"/>
    <col min="8960" max="8960" width="1.85546875" style="1950" customWidth="1"/>
    <col min="8961" max="8961" width="13.140625" style="1950" customWidth="1"/>
    <col min="8962" max="8962" width="5.5703125" style="1950" customWidth="1"/>
    <col min="8963" max="8963" width="11.85546875" style="1950" customWidth="1"/>
    <col min="8964" max="8964" width="4.42578125" style="1950" bestFit="1" customWidth="1"/>
    <col min="8965" max="8965" width="13.28515625" style="1950" customWidth="1"/>
    <col min="8966" max="8966" width="4" style="1950" bestFit="1" customWidth="1"/>
    <col min="8967" max="8967" width="13.140625" style="1950" customWidth="1"/>
    <col min="8968" max="8973" width="12.42578125" style="1950" customWidth="1"/>
    <col min="8974" max="9204" width="16.7109375" style="1950"/>
    <col min="9205" max="9205" width="13.140625" style="1950" customWidth="1"/>
    <col min="9206" max="9206" width="48.7109375" style="1950" customWidth="1"/>
    <col min="9207" max="9207" width="9.140625" style="1950" customWidth="1"/>
    <col min="9208" max="9208" width="7.140625" style="1950" customWidth="1"/>
    <col min="9209" max="9209" width="13.42578125" style="1950" customWidth="1"/>
    <col min="9210" max="9210" width="5.28515625" style="1950" customWidth="1"/>
    <col min="9211" max="9211" width="12.7109375" style="1950" customWidth="1"/>
    <col min="9212" max="9212" width="1.85546875" style="1950" customWidth="1"/>
    <col min="9213" max="9213" width="12.7109375" style="1950" customWidth="1"/>
    <col min="9214" max="9214" width="3.85546875" style="1950" customWidth="1"/>
    <col min="9215" max="9215" width="12.85546875" style="1950" customWidth="1"/>
    <col min="9216" max="9216" width="1.85546875" style="1950" customWidth="1"/>
    <col min="9217" max="9217" width="13.140625" style="1950" customWidth="1"/>
    <col min="9218" max="9218" width="5.5703125" style="1950" customWidth="1"/>
    <col min="9219" max="9219" width="11.85546875" style="1950" customWidth="1"/>
    <col min="9220" max="9220" width="4.42578125" style="1950" bestFit="1" customWidth="1"/>
    <col min="9221" max="9221" width="13.28515625" style="1950" customWidth="1"/>
    <col min="9222" max="9222" width="4" style="1950" bestFit="1" customWidth="1"/>
    <col min="9223" max="9223" width="13.140625" style="1950" customWidth="1"/>
    <col min="9224" max="9229" width="12.42578125" style="1950" customWidth="1"/>
    <col min="9230" max="9460" width="16.7109375" style="1950"/>
    <col min="9461" max="9461" width="13.140625" style="1950" customWidth="1"/>
    <col min="9462" max="9462" width="48.7109375" style="1950" customWidth="1"/>
    <col min="9463" max="9463" width="9.140625" style="1950" customWidth="1"/>
    <col min="9464" max="9464" width="7.140625" style="1950" customWidth="1"/>
    <col min="9465" max="9465" width="13.42578125" style="1950" customWidth="1"/>
    <col min="9466" max="9466" width="5.28515625" style="1950" customWidth="1"/>
    <col min="9467" max="9467" width="12.7109375" style="1950" customWidth="1"/>
    <col min="9468" max="9468" width="1.85546875" style="1950" customWidth="1"/>
    <col min="9469" max="9469" width="12.7109375" style="1950" customWidth="1"/>
    <col min="9470" max="9470" width="3.85546875" style="1950" customWidth="1"/>
    <col min="9471" max="9471" width="12.85546875" style="1950" customWidth="1"/>
    <col min="9472" max="9472" width="1.85546875" style="1950" customWidth="1"/>
    <col min="9473" max="9473" width="13.140625" style="1950" customWidth="1"/>
    <col min="9474" max="9474" width="5.5703125" style="1950" customWidth="1"/>
    <col min="9475" max="9475" width="11.85546875" style="1950" customWidth="1"/>
    <col min="9476" max="9476" width="4.42578125" style="1950" bestFit="1" customWidth="1"/>
    <col min="9477" max="9477" width="13.28515625" style="1950" customWidth="1"/>
    <col min="9478" max="9478" width="4" style="1950" bestFit="1" customWidth="1"/>
    <col min="9479" max="9479" width="13.140625" style="1950" customWidth="1"/>
    <col min="9480" max="9485" width="12.42578125" style="1950" customWidth="1"/>
    <col min="9486" max="9716" width="16.7109375" style="1950"/>
    <col min="9717" max="9717" width="13.140625" style="1950" customWidth="1"/>
    <col min="9718" max="9718" width="48.7109375" style="1950" customWidth="1"/>
    <col min="9719" max="9719" width="9.140625" style="1950" customWidth="1"/>
    <col min="9720" max="9720" width="7.140625" style="1950" customWidth="1"/>
    <col min="9721" max="9721" width="13.42578125" style="1950" customWidth="1"/>
    <col min="9722" max="9722" width="5.28515625" style="1950" customWidth="1"/>
    <col min="9723" max="9723" width="12.7109375" style="1950" customWidth="1"/>
    <col min="9724" max="9724" width="1.85546875" style="1950" customWidth="1"/>
    <col min="9725" max="9725" width="12.7109375" style="1950" customWidth="1"/>
    <col min="9726" max="9726" width="3.85546875" style="1950" customWidth="1"/>
    <col min="9727" max="9727" width="12.85546875" style="1950" customWidth="1"/>
    <col min="9728" max="9728" width="1.85546875" style="1950" customWidth="1"/>
    <col min="9729" max="9729" width="13.140625" style="1950" customWidth="1"/>
    <col min="9730" max="9730" width="5.5703125" style="1950" customWidth="1"/>
    <col min="9731" max="9731" width="11.85546875" style="1950" customWidth="1"/>
    <col min="9732" max="9732" width="4.42578125" style="1950" bestFit="1" customWidth="1"/>
    <col min="9733" max="9733" width="13.28515625" style="1950" customWidth="1"/>
    <col min="9734" max="9734" width="4" style="1950" bestFit="1" customWidth="1"/>
    <col min="9735" max="9735" width="13.140625" style="1950" customWidth="1"/>
    <col min="9736" max="9741" width="12.42578125" style="1950" customWidth="1"/>
    <col min="9742" max="9972" width="16.7109375" style="1950"/>
    <col min="9973" max="9973" width="13.140625" style="1950" customWidth="1"/>
    <col min="9974" max="9974" width="48.7109375" style="1950" customWidth="1"/>
    <col min="9975" max="9975" width="9.140625" style="1950" customWidth="1"/>
    <col min="9976" max="9976" width="7.140625" style="1950" customWidth="1"/>
    <col min="9977" max="9977" width="13.42578125" style="1950" customWidth="1"/>
    <col min="9978" max="9978" width="5.28515625" style="1950" customWidth="1"/>
    <col min="9979" max="9979" width="12.7109375" style="1950" customWidth="1"/>
    <col min="9980" max="9980" width="1.85546875" style="1950" customWidth="1"/>
    <col min="9981" max="9981" width="12.7109375" style="1950" customWidth="1"/>
    <col min="9982" max="9982" width="3.85546875" style="1950" customWidth="1"/>
    <col min="9983" max="9983" width="12.85546875" style="1950" customWidth="1"/>
    <col min="9984" max="9984" width="1.85546875" style="1950" customWidth="1"/>
    <col min="9985" max="9985" width="13.140625" style="1950" customWidth="1"/>
    <col min="9986" max="9986" width="5.5703125" style="1950" customWidth="1"/>
    <col min="9987" max="9987" width="11.85546875" style="1950" customWidth="1"/>
    <col min="9988" max="9988" width="4.42578125" style="1950" bestFit="1" customWidth="1"/>
    <col min="9989" max="9989" width="13.28515625" style="1950" customWidth="1"/>
    <col min="9990" max="9990" width="4" style="1950" bestFit="1" customWidth="1"/>
    <col min="9991" max="9991" width="13.140625" style="1950" customWidth="1"/>
    <col min="9992" max="9997" width="12.42578125" style="1950" customWidth="1"/>
    <col min="9998" max="10228" width="16.7109375" style="1950"/>
    <col min="10229" max="10229" width="13.140625" style="1950" customWidth="1"/>
    <col min="10230" max="10230" width="48.7109375" style="1950" customWidth="1"/>
    <col min="10231" max="10231" width="9.140625" style="1950" customWidth="1"/>
    <col min="10232" max="10232" width="7.140625" style="1950" customWidth="1"/>
    <col min="10233" max="10233" width="13.42578125" style="1950" customWidth="1"/>
    <col min="10234" max="10234" width="5.28515625" style="1950" customWidth="1"/>
    <col min="10235" max="10235" width="12.7109375" style="1950" customWidth="1"/>
    <col min="10236" max="10236" width="1.85546875" style="1950" customWidth="1"/>
    <col min="10237" max="10237" width="12.7109375" style="1950" customWidth="1"/>
    <col min="10238" max="10238" width="3.85546875" style="1950" customWidth="1"/>
    <col min="10239" max="10239" width="12.85546875" style="1950" customWidth="1"/>
    <col min="10240" max="10240" width="1.85546875" style="1950" customWidth="1"/>
    <col min="10241" max="10241" width="13.140625" style="1950" customWidth="1"/>
    <col min="10242" max="10242" width="5.5703125" style="1950" customWidth="1"/>
    <col min="10243" max="10243" width="11.85546875" style="1950" customWidth="1"/>
    <col min="10244" max="10244" width="4.42578125" style="1950" bestFit="1" customWidth="1"/>
    <col min="10245" max="10245" width="13.28515625" style="1950" customWidth="1"/>
    <col min="10246" max="10246" width="4" style="1950" bestFit="1" customWidth="1"/>
    <col min="10247" max="10247" width="13.140625" style="1950" customWidth="1"/>
    <col min="10248" max="10253" width="12.42578125" style="1950" customWidth="1"/>
    <col min="10254" max="10484" width="16.7109375" style="1950"/>
    <col min="10485" max="10485" width="13.140625" style="1950" customWidth="1"/>
    <col min="10486" max="10486" width="48.7109375" style="1950" customWidth="1"/>
    <col min="10487" max="10487" width="9.140625" style="1950" customWidth="1"/>
    <col min="10488" max="10488" width="7.140625" style="1950" customWidth="1"/>
    <col min="10489" max="10489" width="13.42578125" style="1950" customWidth="1"/>
    <col min="10490" max="10490" width="5.28515625" style="1950" customWidth="1"/>
    <col min="10491" max="10491" width="12.7109375" style="1950" customWidth="1"/>
    <col min="10492" max="10492" width="1.85546875" style="1950" customWidth="1"/>
    <col min="10493" max="10493" width="12.7109375" style="1950" customWidth="1"/>
    <col min="10494" max="10494" width="3.85546875" style="1950" customWidth="1"/>
    <col min="10495" max="10495" width="12.85546875" style="1950" customWidth="1"/>
    <col min="10496" max="10496" width="1.85546875" style="1950" customWidth="1"/>
    <col min="10497" max="10497" width="13.140625" style="1950" customWidth="1"/>
    <col min="10498" max="10498" width="5.5703125" style="1950" customWidth="1"/>
    <col min="10499" max="10499" width="11.85546875" style="1950" customWidth="1"/>
    <col min="10500" max="10500" width="4.42578125" style="1950" bestFit="1" customWidth="1"/>
    <col min="10501" max="10501" width="13.28515625" style="1950" customWidth="1"/>
    <col min="10502" max="10502" width="4" style="1950" bestFit="1" customWidth="1"/>
    <col min="10503" max="10503" width="13.140625" style="1950" customWidth="1"/>
    <col min="10504" max="10509" width="12.42578125" style="1950" customWidth="1"/>
    <col min="10510" max="10740" width="16.7109375" style="1950"/>
    <col min="10741" max="10741" width="13.140625" style="1950" customWidth="1"/>
    <col min="10742" max="10742" width="48.7109375" style="1950" customWidth="1"/>
    <col min="10743" max="10743" width="9.140625" style="1950" customWidth="1"/>
    <col min="10744" max="10744" width="7.140625" style="1950" customWidth="1"/>
    <col min="10745" max="10745" width="13.42578125" style="1950" customWidth="1"/>
    <col min="10746" max="10746" width="5.28515625" style="1950" customWidth="1"/>
    <col min="10747" max="10747" width="12.7109375" style="1950" customWidth="1"/>
    <col min="10748" max="10748" width="1.85546875" style="1950" customWidth="1"/>
    <col min="10749" max="10749" width="12.7109375" style="1950" customWidth="1"/>
    <col min="10750" max="10750" width="3.85546875" style="1950" customWidth="1"/>
    <col min="10751" max="10751" width="12.85546875" style="1950" customWidth="1"/>
    <col min="10752" max="10752" width="1.85546875" style="1950" customWidth="1"/>
    <col min="10753" max="10753" width="13.140625" style="1950" customWidth="1"/>
    <col min="10754" max="10754" width="5.5703125" style="1950" customWidth="1"/>
    <col min="10755" max="10755" width="11.85546875" style="1950" customWidth="1"/>
    <col min="10756" max="10756" width="4.42578125" style="1950" bestFit="1" customWidth="1"/>
    <col min="10757" max="10757" width="13.28515625" style="1950" customWidth="1"/>
    <col min="10758" max="10758" width="4" style="1950" bestFit="1" customWidth="1"/>
    <col min="10759" max="10759" width="13.140625" style="1950" customWidth="1"/>
    <col min="10760" max="10765" width="12.42578125" style="1950" customWidth="1"/>
    <col min="10766" max="10996" width="16.7109375" style="1950"/>
    <col min="10997" max="10997" width="13.140625" style="1950" customWidth="1"/>
    <col min="10998" max="10998" width="48.7109375" style="1950" customWidth="1"/>
    <col min="10999" max="10999" width="9.140625" style="1950" customWidth="1"/>
    <col min="11000" max="11000" width="7.140625" style="1950" customWidth="1"/>
    <col min="11001" max="11001" width="13.42578125" style="1950" customWidth="1"/>
    <col min="11002" max="11002" width="5.28515625" style="1950" customWidth="1"/>
    <col min="11003" max="11003" width="12.7109375" style="1950" customWidth="1"/>
    <col min="11004" max="11004" width="1.85546875" style="1950" customWidth="1"/>
    <col min="11005" max="11005" width="12.7109375" style="1950" customWidth="1"/>
    <col min="11006" max="11006" width="3.85546875" style="1950" customWidth="1"/>
    <col min="11007" max="11007" width="12.85546875" style="1950" customWidth="1"/>
    <col min="11008" max="11008" width="1.85546875" style="1950" customWidth="1"/>
    <col min="11009" max="11009" width="13.140625" style="1950" customWidth="1"/>
    <col min="11010" max="11010" width="5.5703125" style="1950" customWidth="1"/>
    <col min="11011" max="11011" width="11.85546875" style="1950" customWidth="1"/>
    <col min="11012" max="11012" width="4.42578125" style="1950" bestFit="1" customWidth="1"/>
    <col min="11013" max="11013" width="13.28515625" style="1950" customWidth="1"/>
    <col min="11014" max="11014" width="4" style="1950" bestFit="1" customWidth="1"/>
    <col min="11015" max="11015" width="13.140625" style="1950" customWidth="1"/>
    <col min="11016" max="11021" width="12.42578125" style="1950" customWidth="1"/>
    <col min="11022" max="11252" width="16.7109375" style="1950"/>
    <col min="11253" max="11253" width="13.140625" style="1950" customWidth="1"/>
    <col min="11254" max="11254" width="48.7109375" style="1950" customWidth="1"/>
    <col min="11255" max="11255" width="9.140625" style="1950" customWidth="1"/>
    <col min="11256" max="11256" width="7.140625" style="1950" customWidth="1"/>
    <col min="11257" max="11257" width="13.42578125" style="1950" customWidth="1"/>
    <col min="11258" max="11258" width="5.28515625" style="1950" customWidth="1"/>
    <col min="11259" max="11259" width="12.7109375" style="1950" customWidth="1"/>
    <col min="11260" max="11260" width="1.85546875" style="1950" customWidth="1"/>
    <col min="11261" max="11261" width="12.7109375" style="1950" customWidth="1"/>
    <col min="11262" max="11262" width="3.85546875" style="1950" customWidth="1"/>
    <col min="11263" max="11263" width="12.85546875" style="1950" customWidth="1"/>
    <col min="11264" max="11264" width="1.85546875" style="1950" customWidth="1"/>
    <col min="11265" max="11265" width="13.140625" style="1950" customWidth="1"/>
    <col min="11266" max="11266" width="5.5703125" style="1950" customWidth="1"/>
    <col min="11267" max="11267" width="11.85546875" style="1950" customWidth="1"/>
    <col min="11268" max="11268" width="4.42578125" style="1950" bestFit="1" customWidth="1"/>
    <col min="11269" max="11269" width="13.28515625" style="1950" customWidth="1"/>
    <col min="11270" max="11270" width="4" style="1950" bestFit="1" customWidth="1"/>
    <col min="11271" max="11271" width="13.140625" style="1950" customWidth="1"/>
    <col min="11272" max="11277" width="12.42578125" style="1950" customWidth="1"/>
    <col min="11278" max="11508" width="16.7109375" style="1950"/>
    <col min="11509" max="11509" width="13.140625" style="1950" customWidth="1"/>
    <col min="11510" max="11510" width="48.7109375" style="1950" customWidth="1"/>
    <col min="11511" max="11511" width="9.140625" style="1950" customWidth="1"/>
    <col min="11512" max="11512" width="7.140625" style="1950" customWidth="1"/>
    <col min="11513" max="11513" width="13.42578125" style="1950" customWidth="1"/>
    <col min="11514" max="11514" width="5.28515625" style="1950" customWidth="1"/>
    <col min="11515" max="11515" width="12.7109375" style="1950" customWidth="1"/>
    <col min="11516" max="11516" width="1.85546875" style="1950" customWidth="1"/>
    <col min="11517" max="11517" width="12.7109375" style="1950" customWidth="1"/>
    <col min="11518" max="11518" width="3.85546875" style="1950" customWidth="1"/>
    <col min="11519" max="11519" width="12.85546875" style="1950" customWidth="1"/>
    <col min="11520" max="11520" width="1.85546875" style="1950" customWidth="1"/>
    <col min="11521" max="11521" width="13.140625" style="1950" customWidth="1"/>
    <col min="11522" max="11522" width="5.5703125" style="1950" customWidth="1"/>
    <col min="11523" max="11523" width="11.85546875" style="1950" customWidth="1"/>
    <col min="11524" max="11524" width="4.42578125" style="1950" bestFit="1" customWidth="1"/>
    <col min="11525" max="11525" width="13.28515625" style="1950" customWidth="1"/>
    <col min="11526" max="11526" width="4" style="1950" bestFit="1" customWidth="1"/>
    <col min="11527" max="11527" width="13.140625" style="1950" customWidth="1"/>
    <col min="11528" max="11533" width="12.42578125" style="1950" customWidth="1"/>
    <col min="11534" max="11764" width="16.7109375" style="1950"/>
    <col min="11765" max="11765" width="13.140625" style="1950" customWidth="1"/>
    <col min="11766" max="11766" width="48.7109375" style="1950" customWidth="1"/>
    <col min="11767" max="11767" width="9.140625" style="1950" customWidth="1"/>
    <col min="11768" max="11768" width="7.140625" style="1950" customWidth="1"/>
    <col min="11769" max="11769" width="13.42578125" style="1950" customWidth="1"/>
    <col min="11770" max="11770" width="5.28515625" style="1950" customWidth="1"/>
    <col min="11771" max="11771" width="12.7109375" style="1950" customWidth="1"/>
    <col min="11772" max="11772" width="1.85546875" style="1950" customWidth="1"/>
    <col min="11773" max="11773" width="12.7109375" style="1950" customWidth="1"/>
    <col min="11774" max="11774" width="3.85546875" style="1950" customWidth="1"/>
    <col min="11775" max="11775" width="12.85546875" style="1950" customWidth="1"/>
    <col min="11776" max="11776" width="1.85546875" style="1950" customWidth="1"/>
    <col min="11777" max="11777" width="13.140625" style="1950" customWidth="1"/>
    <col min="11778" max="11778" width="5.5703125" style="1950" customWidth="1"/>
    <col min="11779" max="11779" width="11.85546875" style="1950" customWidth="1"/>
    <col min="11780" max="11780" width="4.42578125" style="1950" bestFit="1" customWidth="1"/>
    <col min="11781" max="11781" width="13.28515625" style="1950" customWidth="1"/>
    <col min="11782" max="11782" width="4" style="1950" bestFit="1" customWidth="1"/>
    <col min="11783" max="11783" width="13.140625" style="1950" customWidth="1"/>
    <col min="11784" max="11789" width="12.42578125" style="1950" customWidth="1"/>
    <col min="11790" max="12020" width="16.7109375" style="1950"/>
    <col min="12021" max="12021" width="13.140625" style="1950" customWidth="1"/>
    <col min="12022" max="12022" width="48.7109375" style="1950" customWidth="1"/>
    <col min="12023" max="12023" width="9.140625" style="1950" customWidth="1"/>
    <col min="12024" max="12024" width="7.140625" style="1950" customWidth="1"/>
    <col min="12025" max="12025" width="13.42578125" style="1950" customWidth="1"/>
    <col min="12026" max="12026" width="5.28515625" style="1950" customWidth="1"/>
    <col min="12027" max="12027" width="12.7109375" style="1950" customWidth="1"/>
    <col min="12028" max="12028" width="1.85546875" style="1950" customWidth="1"/>
    <col min="12029" max="12029" width="12.7109375" style="1950" customWidth="1"/>
    <col min="12030" max="12030" width="3.85546875" style="1950" customWidth="1"/>
    <col min="12031" max="12031" width="12.85546875" style="1950" customWidth="1"/>
    <col min="12032" max="12032" width="1.85546875" style="1950" customWidth="1"/>
    <col min="12033" max="12033" width="13.140625" style="1950" customWidth="1"/>
    <col min="12034" max="12034" width="5.5703125" style="1950" customWidth="1"/>
    <col min="12035" max="12035" width="11.85546875" style="1950" customWidth="1"/>
    <col min="12036" max="12036" width="4.42578125" style="1950" bestFit="1" customWidth="1"/>
    <col min="12037" max="12037" width="13.28515625" style="1950" customWidth="1"/>
    <col min="12038" max="12038" width="4" style="1950" bestFit="1" customWidth="1"/>
    <col min="12039" max="12039" width="13.140625" style="1950" customWidth="1"/>
    <col min="12040" max="12045" width="12.42578125" style="1950" customWidth="1"/>
    <col min="12046" max="12276" width="16.7109375" style="1950"/>
    <col min="12277" max="12277" width="13.140625" style="1950" customWidth="1"/>
    <col min="12278" max="12278" width="48.7109375" style="1950" customWidth="1"/>
    <col min="12279" max="12279" width="9.140625" style="1950" customWidth="1"/>
    <col min="12280" max="12280" width="7.140625" style="1950" customWidth="1"/>
    <col min="12281" max="12281" width="13.42578125" style="1950" customWidth="1"/>
    <col min="12282" max="12282" width="5.28515625" style="1950" customWidth="1"/>
    <col min="12283" max="12283" width="12.7109375" style="1950" customWidth="1"/>
    <col min="12284" max="12284" width="1.85546875" style="1950" customWidth="1"/>
    <col min="12285" max="12285" width="12.7109375" style="1950" customWidth="1"/>
    <col min="12286" max="12286" width="3.85546875" style="1950" customWidth="1"/>
    <col min="12287" max="12287" width="12.85546875" style="1950" customWidth="1"/>
    <col min="12288" max="12288" width="1.85546875" style="1950" customWidth="1"/>
    <col min="12289" max="12289" width="13.140625" style="1950" customWidth="1"/>
    <col min="12290" max="12290" width="5.5703125" style="1950" customWidth="1"/>
    <col min="12291" max="12291" width="11.85546875" style="1950" customWidth="1"/>
    <col min="12292" max="12292" width="4.42578125" style="1950" bestFit="1" customWidth="1"/>
    <col min="12293" max="12293" width="13.28515625" style="1950" customWidth="1"/>
    <col min="12294" max="12294" width="4" style="1950" bestFit="1" customWidth="1"/>
    <col min="12295" max="12295" width="13.140625" style="1950" customWidth="1"/>
    <col min="12296" max="12301" width="12.42578125" style="1950" customWidth="1"/>
    <col min="12302" max="12532" width="16.7109375" style="1950"/>
    <col min="12533" max="12533" width="13.140625" style="1950" customWidth="1"/>
    <col min="12534" max="12534" width="48.7109375" style="1950" customWidth="1"/>
    <col min="12535" max="12535" width="9.140625" style="1950" customWidth="1"/>
    <col min="12536" max="12536" width="7.140625" style="1950" customWidth="1"/>
    <col min="12537" max="12537" width="13.42578125" style="1950" customWidth="1"/>
    <col min="12538" max="12538" width="5.28515625" style="1950" customWidth="1"/>
    <col min="12539" max="12539" width="12.7109375" style="1950" customWidth="1"/>
    <col min="12540" max="12540" width="1.85546875" style="1950" customWidth="1"/>
    <col min="12541" max="12541" width="12.7109375" style="1950" customWidth="1"/>
    <col min="12542" max="12542" width="3.85546875" style="1950" customWidth="1"/>
    <col min="12543" max="12543" width="12.85546875" style="1950" customWidth="1"/>
    <col min="12544" max="12544" width="1.85546875" style="1950" customWidth="1"/>
    <col min="12545" max="12545" width="13.140625" style="1950" customWidth="1"/>
    <col min="12546" max="12546" width="5.5703125" style="1950" customWidth="1"/>
    <col min="12547" max="12547" width="11.85546875" style="1950" customWidth="1"/>
    <col min="12548" max="12548" width="4.42578125" style="1950" bestFit="1" customWidth="1"/>
    <col min="12549" max="12549" width="13.28515625" style="1950" customWidth="1"/>
    <col min="12550" max="12550" width="4" style="1950" bestFit="1" customWidth="1"/>
    <col min="12551" max="12551" width="13.140625" style="1950" customWidth="1"/>
    <col min="12552" max="12557" width="12.42578125" style="1950" customWidth="1"/>
    <col min="12558" max="12788" width="16.7109375" style="1950"/>
    <col min="12789" max="12789" width="13.140625" style="1950" customWidth="1"/>
    <col min="12790" max="12790" width="48.7109375" style="1950" customWidth="1"/>
    <col min="12791" max="12791" width="9.140625" style="1950" customWidth="1"/>
    <col min="12792" max="12792" width="7.140625" style="1950" customWidth="1"/>
    <col min="12793" max="12793" width="13.42578125" style="1950" customWidth="1"/>
    <col min="12794" max="12794" width="5.28515625" style="1950" customWidth="1"/>
    <col min="12795" max="12795" width="12.7109375" style="1950" customWidth="1"/>
    <col min="12796" max="12796" width="1.85546875" style="1950" customWidth="1"/>
    <col min="12797" max="12797" width="12.7109375" style="1950" customWidth="1"/>
    <col min="12798" max="12798" width="3.85546875" style="1950" customWidth="1"/>
    <col min="12799" max="12799" width="12.85546875" style="1950" customWidth="1"/>
    <col min="12800" max="12800" width="1.85546875" style="1950" customWidth="1"/>
    <col min="12801" max="12801" width="13.140625" style="1950" customWidth="1"/>
    <col min="12802" max="12802" width="5.5703125" style="1950" customWidth="1"/>
    <col min="12803" max="12803" width="11.85546875" style="1950" customWidth="1"/>
    <col min="12804" max="12804" width="4.42578125" style="1950" bestFit="1" customWidth="1"/>
    <col min="12805" max="12805" width="13.28515625" style="1950" customWidth="1"/>
    <col min="12806" max="12806" width="4" style="1950" bestFit="1" customWidth="1"/>
    <col min="12807" max="12807" width="13.140625" style="1950" customWidth="1"/>
    <col min="12808" max="12813" width="12.42578125" style="1950" customWidth="1"/>
    <col min="12814" max="13044" width="16.7109375" style="1950"/>
    <col min="13045" max="13045" width="13.140625" style="1950" customWidth="1"/>
    <col min="13046" max="13046" width="48.7109375" style="1950" customWidth="1"/>
    <col min="13047" max="13047" width="9.140625" style="1950" customWidth="1"/>
    <col min="13048" max="13048" width="7.140625" style="1950" customWidth="1"/>
    <col min="13049" max="13049" width="13.42578125" style="1950" customWidth="1"/>
    <col min="13050" max="13050" width="5.28515625" style="1950" customWidth="1"/>
    <col min="13051" max="13051" width="12.7109375" style="1950" customWidth="1"/>
    <col min="13052" max="13052" width="1.85546875" style="1950" customWidth="1"/>
    <col min="13053" max="13053" width="12.7109375" style="1950" customWidth="1"/>
    <col min="13054" max="13054" width="3.85546875" style="1950" customWidth="1"/>
    <col min="13055" max="13055" width="12.85546875" style="1950" customWidth="1"/>
    <col min="13056" max="13056" width="1.85546875" style="1950" customWidth="1"/>
    <col min="13057" max="13057" width="13.140625" style="1950" customWidth="1"/>
    <col min="13058" max="13058" width="5.5703125" style="1950" customWidth="1"/>
    <col min="13059" max="13059" width="11.85546875" style="1950" customWidth="1"/>
    <col min="13060" max="13060" width="4.42578125" style="1950" bestFit="1" customWidth="1"/>
    <col min="13061" max="13061" width="13.28515625" style="1950" customWidth="1"/>
    <col min="13062" max="13062" width="4" style="1950" bestFit="1" customWidth="1"/>
    <col min="13063" max="13063" width="13.140625" style="1950" customWidth="1"/>
    <col min="13064" max="13069" width="12.42578125" style="1950" customWidth="1"/>
    <col min="13070" max="13300" width="16.7109375" style="1950"/>
    <col min="13301" max="13301" width="13.140625" style="1950" customWidth="1"/>
    <col min="13302" max="13302" width="48.7109375" style="1950" customWidth="1"/>
    <col min="13303" max="13303" width="9.140625" style="1950" customWidth="1"/>
    <col min="13304" max="13304" width="7.140625" style="1950" customWidth="1"/>
    <col min="13305" max="13305" width="13.42578125" style="1950" customWidth="1"/>
    <col min="13306" max="13306" width="5.28515625" style="1950" customWidth="1"/>
    <col min="13307" max="13307" width="12.7109375" style="1950" customWidth="1"/>
    <col min="13308" max="13308" width="1.85546875" style="1950" customWidth="1"/>
    <col min="13309" max="13309" width="12.7109375" style="1950" customWidth="1"/>
    <col min="13310" max="13310" width="3.85546875" style="1950" customWidth="1"/>
    <col min="13311" max="13311" width="12.85546875" style="1950" customWidth="1"/>
    <col min="13312" max="13312" width="1.85546875" style="1950" customWidth="1"/>
    <col min="13313" max="13313" width="13.140625" style="1950" customWidth="1"/>
    <col min="13314" max="13314" width="5.5703125" style="1950" customWidth="1"/>
    <col min="13315" max="13315" width="11.85546875" style="1950" customWidth="1"/>
    <col min="13316" max="13316" width="4.42578125" style="1950" bestFit="1" customWidth="1"/>
    <col min="13317" max="13317" width="13.28515625" style="1950" customWidth="1"/>
    <col min="13318" max="13318" width="4" style="1950" bestFit="1" customWidth="1"/>
    <col min="13319" max="13319" width="13.140625" style="1950" customWidth="1"/>
    <col min="13320" max="13325" width="12.42578125" style="1950" customWidth="1"/>
    <col min="13326" max="13556" width="16.7109375" style="1950"/>
    <col min="13557" max="13557" width="13.140625" style="1950" customWidth="1"/>
    <col min="13558" max="13558" width="48.7109375" style="1950" customWidth="1"/>
    <col min="13559" max="13559" width="9.140625" style="1950" customWidth="1"/>
    <col min="13560" max="13560" width="7.140625" style="1950" customWidth="1"/>
    <col min="13561" max="13561" width="13.42578125" style="1950" customWidth="1"/>
    <col min="13562" max="13562" width="5.28515625" style="1950" customWidth="1"/>
    <col min="13563" max="13563" width="12.7109375" style="1950" customWidth="1"/>
    <col min="13564" max="13564" width="1.85546875" style="1950" customWidth="1"/>
    <col min="13565" max="13565" width="12.7109375" style="1950" customWidth="1"/>
    <col min="13566" max="13566" width="3.85546875" style="1950" customWidth="1"/>
    <col min="13567" max="13567" width="12.85546875" style="1950" customWidth="1"/>
    <col min="13568" max="13568" width="1.85546875" style="1950" customWidth="1"/>
    <col min="13569" max="13569" width="13.140625" style="1950" customWidth="1"/>
    <col min="13570" max="13570" width="5.5703125" style="1950" customWidth="1"/>
    <col min="13571" max="13571" width="11.85546875" style="1950" customWidth="1"/>
    <col min="13572" max="13572" width="4.42578125" style="1950" bestFit="1" customWidth="1"/>
    <col min="13573" max="13573" width="13.28515625" style="1950" customWidth="1"/>
    <col min="13574" max="13574" width="4" style="1950" bestFit="1" customWidth="1"/>
    <col min="13575" max="13575" width="13.140625" style="1950" customWidth="1"/>
    <col min="13576" max="13581" width="12.42578125" style="1950" customWidth="1"/>
    <col min="13582" max="13812" width="16.7109375" style="1950"/>
    <col min="13813" max="13813" width="13.140625" style="1950" customWidth="1"/>
    <col min="13814" max="13814" width="48.7109375" style="1950" customWidth="1"/>
    <col min="13815" max="13815" width="9.140625" style="1950" customWidth="1"/>
    <col min="13816" max="13816" width="7.140625" style="1950" customWidth="1"/>
    <col min="13817" max="13817" width="13.42578125" style="1950" customWidth="1"/>
    <col min="13818" max="13818" width="5.28515625" style="1950" customWidth="1"/>
    <col min="13819" max="13819" width="12.7109375" style="1950" customWidth="1"/>
    <col min="13820" max="13820" width="1.85546875" style="1950" customWidth="1"/>
    <col min="13821" max="13821" width="12.7109375" style="1950" customWidth="1"/>
    <col min="13822" max="13822" width="3.85546875" style="1950" customWidth="1"/>
    <col min="13823" max="13823" width="12.85546875" style="1950" customWidth="1"/>
    <col min="13824" max="13824" width="1.85546875" style="1950" customWidth="1"/>
    <col min="13825" max="13825" width="13.140625" style="1950" customWidth="1"/>
    <col min="13826" max="13826" width="5.5703125" style="1950" customWidth="1"/>
    <col min="13827" max="13827" width="11.85546875" style="1950" customWidth="1"/>
    <col min="13828" max="13828" width="4.42578125" style="1950" bestFit="1" customWidth="1"/>
    <col min="13829" max="13829" width="13.28515625" style="1950" customWidth="1"/>
    <col min="13830" max="13830" width="4" style="1950" bestFit="1" customWidth="1"/>
    <col min="13831" max="13831" width="13.140625" style="1950" customWidth="1"/>
    <col min="13832" max="13837" width="12.42578125" style="1950" customWidth="1"/>
    <col min="13838" max="14068" width="16.7109375" style="1950"/>
    <col min="14069" max="14069" width="13.140625" style="1950" customWidth="1"/>
    <col min="14070" max="14070" width="48.7109375" style="1950" customWidth="1"/>
    <col min="14071" max="14071" width="9.140625" style="1950" customWidth="1"/>
    <col min="14072" max="14072" width="7.140625" style="1950" customWidth="1"/>
    <col min="14073" max="14073" width="13.42578125" style="1950" customWidth="1"/>
    <col min="14074" max="14074" width="5.28515625" style="1950" customWidth="1"/>
    <col min="14075" max="14075" width="12.7109375" style="1950" customWidth="1"/>
    <col min="14076" max="14076" width="1.85546875" style="1950" customWidth="1"/>
    <col min="14077" max="14077" width="12.7109375" style="1950" customWidth="1"/>
    <col min="14078" max="14078" width="3.85546875" style="1950" customWidth="1"/>
    <col min="14079" max="14079" width="12.85546875" style="1950" customWidth="1"/>
    <col min="14080" max="14080" width="1.85546875" style="1950" customWidth="1"/>
    <col min="14081" max="14081" width="13.140625" style="1950" customWidth="1"/>
    <col min="14082" max="14082" width="5.5703125" style="1950" customWidth="1"/>
    <col min="14083" max="14083" width="11.85546875" style="1950" customWidth="1"/>
    <col min="14084" max="14084" width="4.42578125" style="1950" bestFit="1" customWidth="1"/>
    <col min="14085" max="14085" width="13.28515625" style="1950" customWidth="1"/>
    <col min="14086" max="14086" width="4" style="1950" bestFit="1" customWidth="1"/>
    <col min="14087" max="14087" width="13.140625" style="1950" customWidth="1"/>
    <col min="14088" max="14093" width="12.42578125" style="1950" customWidth="1"/>
    <col min="14094" max="14324" width="16.7109375" style="1950"/>
    <col min="14325" max="14325" width="13.140625" style="1950" customWidth="1"/>
    <col min="14326" max="14326" width="48.7109375" style="1950" customWidth="1"/>
    <col min="14327" max="14327" width="9.140625" style="1950" customWidth="1"/>
    <col min="14328" max="14328" width="7.140625" style="1950" customWidth="1"/>
    <col min="14329" max="14329" width="13.42578125" style="1950" customWidth="1"/>
    <col min="14330" max="14330" width="5.28515625" style="1950" customWidth="1"/>
    <col min="14331" max="14331" width="12.7109375" style="1950" customWidth="1"/>
    <col min="14332" max="14332" width="1.85546875" style="1950" customWidth="1"/>
    <col min="14333" max="14333" width="12.7109375" style="1950" customWidth="1"/>
    <col min="14334" max="14334" width="3.85546875" style="1950" customWidth="1"/>
    <col min="14335" max="14335" width="12.85546875" style="1950" customWidth="1"/>
    <col min="14336" max="14336" width="1.85546875" style="1950" customWidth="1"/>
    <col min="14337" max="14337" width="13.140625" style="1950" customWidth="1"/>
    <col min="14338" max="14338" width="5.5703125" style="1950" customWidth="1"/>
    <col min="14339" max="14339" width="11.85546875" style="1950" customWidth="1"/>
    <col min="14340" max="14340" width="4.42578125" style="1950" bestFit="1" customWidth="1"/>
    <col min="14341" max="14341" width="13.28515625" style="1950" customWidth="1"/>
    <col min="14342" max="14342" width="4" style="1950" bestFit="1" customWidth="1"/>
    <col min="14343" max="14343" width="13.140625" style="1950" customWidth="1"/>
    <col min="14344" max="14349" width="12.42578125" style="1950" customWidth="1"/>
    <col min="14350" max="14580" width="16.7109375" style="1950"/>
    <col min="14581" max="14581" width="13.140625" style="1950" customWidth="1"/>
    <col min="14582" max="14582" width="48.7109375" style="1950" customWidth="1"/>
    <col min="14583" max="14583" width="9.140625" style="1950" customWidth="1"/>
    <col min="14584" max="14584" width="7.140625" style="1950" customWidth="1"/>
    <col min="14585" max="14585" width="13.42578125" style="1950" customWidth="1"/>
    <col min="14586" max="14586" width="5.28515625" style="1950" customWidth="1"/>
    <col min="14587" max="14587" width="12.7109375" style="1950" customWidth="1"/>
    <col min="14588" max="14588" width="1.85546875" style="1950" customWidth="1"/>
    <col min="14589" max="14589" width="12.7109375" style="1950" customWidth="1"/>
    <col min="14590" max="14590" width="3.85546875" style="1950" customWidth="1"/>
    <col min="14591" max="14591" width="12.85546875" style="1950" customWidth="1"/>
    <col min="14592" max="14592" width="1.85546875" style="1950" customWidth="1"/>
    <col min="14593" max="14593" width="13.140625" style="1950" customWidth="1"/>
    <col min="14594" max="14594" width="5.5703125" style="1950" customWidth="1"/>
    <col min="14595" max="14595" width="11.85546875" style="1950" customWidth="1"/>
    <col min="14596" max="14596" width="4.42578125" style="1950" bestFit="1" customWidth="1"/>
    <col min="14597" max="14597" width="13.28515625" style="1950" customWidth="1"/>
    <col min="14598" max="14598" width="4" style="1950" bestFit="1" customWidth="1"/>
    <col min="14599" max="14599" width="13.140625" style="1950" customWidth="1"/>
    <col min="14600" max="14605" width="12.42578125" style="1950" customWidth="1"/>
    <col min="14606" max="14836" width="16.7109375" style="1950"/>
    <col min="14837" max="14837" width="13.140625" style="1950" customWidth="1"/>
    <col min="14838" max="14838" width="48.7109375" style="1950" customWidth="1"/>
    <col min="14839" max="14839" width="9.140625" style="1950" customWidth="1"/>
    <col min="14840" max="14840" width="7.140625" style="1950" customWidth="1"/>
    <col min="14841" max="14841" width="13.42578125" style="1950" customWidth="1"/>
    <col min="14842" max="14842" width="5.28515625" style="1950" customWidth="1"/>
    <col min="14843" max="14843" width="12.7109375" style="1950" customWidth="1"/>
    <col min="14844" max="14844" width="1.85546875" style="1950" customWidth="1"/>
    <col min="14845" max="14845" width="12.7109375" style="1950" customWidth="1"/>
    <col min="14846" max="14846" width="3.85546875" style="1950" customWidth="1"/>
    <col min="14847" max="14847" width="12.85546875" style="1950" customWidth="1"/>
    <col min="14848" max="14848" width="1.85546875" style="1950" customWidth="1"/>
    <col min="14849" max="14849" width="13.140625" style="1950" customWidth="1"/>
    <col min="14850" max="14850" width="5.5703125" style="1950" customWidth="1"/>
    <col min="14851" max="14851" width="11.85546875" style="1950" customWidth="1"/>
    <col min="14852" max="14852" width="4.42578125" style="1950" bestFit="1" customWidth="1"/>
    <col min="14853" max="14853" width="13.28515625" style="1950" customWidth="1"/>
    <col min="14854" max="14854" width="4" style="1950" bestFit="1" customWidth="1"/>
    <col min="14855" max="14855" width="13.140625" style="1950" customWidth="1"/>
    <col min="14856" max="14861" width="12.42578125" style="1950" customWidth="1"/>
    <col min="14862" max="15092" width="16.7109375" style="1950"/>
    <col min="15093" max="15093" width="13.140625" style="1950" customWidth="1"/>
    <col min="15094" max="15094" width="48.7109375" style="1950" customWidth="1"/>
    <col min="15095" max="15095" width="9.140625" style="1950" customWidth="1"/>
    <col min="15096" max="15096" width="7.140625" style="1950" customWidth="1"/>
    <col min="15097" max="15097" width="13.42578125" style="1950" customWidth="1"/>
    <col min="15098" max="15098" width="5.28515625" style="1950" customWidth="1"/>
    <col min="15099" max="15099" width="12.7109375" style="1950" customWidth="1"/>
    <col min="15100" max="15100" width="1.85546875" style="1950" customWidth="1"/>
    <col min="15101" max="15101" width="12.7109375" style="1950" customWidth="1"/>
    <col min="15102" max="15102" width="3.85546875" style="1950" customWidth="1"/>
    <col min="15103" max="15103" width="12.85546875" style="1950" customWidth="1"/>
    <col min="15104" max="15104" width="1.85546875" style="1950" customWidth="1"/>
    <col min="15105" max="15105" width="13.140625" style="1950" customWidth="1"/>
    <col min="15106" max="15106" width="5.5703125" style="1950" customWidth="1"/>
    <col min="15107" max="15107" width="11.85546875" style="1950" customWidth="1"/>
    <col min="15108" max="15108" width="4.42578125" style="1950" bestFit="1" customWidth="1"/>
    <col min="15109" max="15109" width="13.28515625" style="1950" customWidth="1"/>
    <col min="15110" max="15110" width="4" style="1950" bestFit="1" customWidth="1"/>
    <col min="15111" max="15111" width="13.140625" style="1950" customWidth="1"/>
    <col min="15112" max="15117" width="12.42578125" style="1950" customWidth="1"/>
    <col min="15118" max="15348" width="16.7109375" style="1950"/>
    <col min="15349" max="15349" width="13.140625" style="1950" customWidth="1"/>
    <col min="15350" max="15350" width="48.7109375" style="1950" customWidth="1"/>
    <col min="15351" max="15351" width="9.140625" style="1950" customWidth="1"/>
    <col min="15352" max="15352" width="7.140625" style="1950" customWidth="1"/>
    <col min="15353" max="15353" width="13.42578125" style="1950" customWidth="1"/>
    <col min="15354" max="15354" width="5.28515625" style="1950" customWidth="1"/>
    <col min="15355" max="15355" width="12.7109375" style="1950" customWidth="1"/>
    <col min="15356" max="15356" width="1.85546875" style="1950" customWidth="1"/>
    <col min="15357" max="15357" width="12.7109375" style="1950" customWidth="1"/>
    <col min="15358" max="15358" width="3.85546875" style="1950" customWidth="1"/>
    <col min="15359" max="15359" width="12.85546875" style="1950" customWidth="1"/>
    <col min="15360" max="15360" width="1.85546875" style="1950" customWidth="1"/>
    <col min="15361" max="15361" width="13.140625" style="1950" customWidth="1"/>
    <col min="15362" max="15362" width="5.5703125" style="1950" customWidth="1"/>
    <col min="15363" max="15363" width="11.85546875" style="1950" customWidth="1"/>
    <col min="15364" max="15364" width="4.42578125" style="1950" bestFit="1" customWidth="1"/>
    <col min="15365" max="15365" width="13.28515625" style="1950" customWidth="1"/>
    <col min="15366" max="15366" width="4" style="1950" bestFit="1" customWidth="1"/>
    <col min="15367" max="15367" width="13.140625" style="1950" customWidth="1"/>
    <col min="15368" max="15373" width="12.42578125" style="1950" customWidth="1"/>
    <col min="15374" max="15604" width="16.7109375" style="1950"/>
    <col min="15605" max="15605" width="13.140625" style="1950" customWidth="1"/>
    <col min="15606" max="15606" width="48.7109375" style="1950" customWidth="1"/>
    <col min="15607" max="15607" width="9.140625" style="1950" customWidth="1"/>
    <col min="15608" max="15608" width="7.140625" style="1950" customWidth="1"/>
    <col min="15609" max="15609" width="13.42578125" style="1950" customWidth="1"/>
    <col min="15610" max="15610" width="5.28515625" style="1950" customWidth="1"/>
    <col min="15611" max="15611" width="12.7109375" style="1950" customWidth="1"/>
    <col min="15612" max="15612" width="1.85546875" style="1950" customWidth="1"/>
    <col min="15613" max="15613" width="12.7109375" style="1950" customWidth="1"/>
    <col min="15614" max="15614" width="3.85546875" style="1950" customWidth="1"/>
    <col min="15615" max="15615" width="12.85546875" style="1950" customWidth="1"/>
    <col min="15616" max="15616" width="1.85546875" style="1950" customWidth="1"/>
    <col min="15617" max="15617" width="13.140625" style="1950" customWidth="1"/>
    <col min="15618" max="15618" width="5.5703125" style="1950" customWidth="1"/>
    <col min="15619" max="15619" width="11.85546875" style="1950" customWidth="1"/>
    <col min="15620" max="15620" width="4.42578125" style="1950" bestFit="1" customWidth="1"/>
    <col min="15621" max="15621" width="13.28515625" style="1950" customWidth="1"/>
    <col min="15622" max="15622" width="4" style="1950" bestFit="1" customWidth="1"/>
    <col min="15623" max="15623" width="13.140625" style="1950" customWidth="1"/>
    <col min="15624" max="15629" width="12.42578125" style="1950" customWidth="1"/>
    <col min="15630" max="15860" width="16.7109375" style="1950"/>
    <col min="15861" max="15861" width="13.140625" style="1950" customWidth="1"/>
    <col min="15862" max="15862" width="48.7109375" style="1950" customWidth="1"/>
    <col min="15863" max="15863" width="9.140625" style="1950" customWidth="1"/>
    <col min="15864" max="15864" width="7.140625" style="1950" customWidth="1"/>
    <col min="15865" max="15865" width="13.42578125" style="1950" customWidth="1"/>
    <col min="15866" max="15866" width="5.28515625" style="1950" customWidth="1"/>
    <col min="15867" max="15867" width="12.7109375" style="1950" customWidth="1"/>
    <col min="15868" max="15868" width="1.85546875" style="1950" customWidth="1"/>
    <col min="15869" max="15869" width="12.7109375" style="1950" customWidth="1"/>
    <col min="15870" max="15870" width="3.85546875" style="1950" customWidth="1"/>
    <col min="15871" max="15871" width="12.85546875" style="1950" customWidth="1"/>
    <col min="15872" max="15872" width="1.85546875" style="1950" customWidth="1"/>
    <col min="15873" max="15873" width="13.140625" style="1950" customWidth="1"/>
    <col min="15874" max="15874" width="5.5703125" style="1950" customWidth="1"/>
    <col min="15875" max="15875" width="11.85546875" style="1950" customWidth="1"/>
    <col min="15876" max="15876" width="4.42578125" style="1950" bestFit="1" customWidth="1"/>
    <col min="15877" max="15877" width="13.28515625" style="1950" customWidth="1"/>
    <col min="15878" max="15878" width="4" style="1950" bestFit="1" customWidth="1"/>
    <col min="15879" max="15879" width="13.140625" style="1950" customWidth="1"/>
    <col min="15880" max="15885" width="12.42578125" style="1950" customWidth="1"/>
    <col min="15886" max="16116" width="16.7109375" style="1950"/>
    <col min="16117" max="16117" width="13.140625" style="1950" customWidth="1"/>
    <col min="16118" max="16118" width="48.7109375" style="1950" customWidth="1"/>
    <col min="16119" max="16119" width="9.140625" style="1950" customWidth="1"/>
    <col min="16120" max="16120" width="7.140625" style="1950" customWidth="1"/>
    <col min="16121" max="16121" width="13.42578125" style="1950" customWidth="1"/>
    <col min="16122" max="16122" width="5.28515625" style="1950" customWidth="1"/>
    <col min="16123" max="16123" width="12.7109375" style="1950" customWidth="1"/>
    <col min="16124" max="16124" width="1.85546875" style="1950" customWidth="1"/>
    <col min="16125" max="16125" width="12.7109375" style="1950" customWidth="1"/>
    <col min="16126" max="16126" width="3.85546875" style="1950" customWidth="1"/>
    <col min="16127" max="16127" width="12.85546875" style="1950" customWidth="1"/>
    <col min="16128" max="16128" width="1.85546875" style="1950" customWidth="1"/>
    <col min="16129" max="16129" width="13.140625" style="1950" customWidth="1"/>
    <col min="16130" max="16130" width="5.5703125" style="1950" customWidth="1"/>
    <col min="16131" max="16131" width="11.85546875" style="1950" customWidth="1"/>
    <col min="16132" max="16132" width="4.42578125" style="1950" bestFit="1" customWidth="1"/>
    <col min="16133" max="16133" width="13.28515625" style="1950" customWidth="1"/>
    <col min="16134" max="16134" width="4" style="1950" bestFit="1" customWidth="1"/>
    <col min="16135" max="16135" width="13.140625" style="1950" customWidth="1"/>
    <col min="16136" max="16141" width="12.42578125" style="1950" customWidth="1"/>
    <col min="16142" max="16384" width="16.7109375" style="1950"/>
  </cols>
  <sheetData>
    <row r="1" spans="1:19" ht="15.95" customHeight="1" x14ac:dyDescent="0.25">
      <c r="A1" s="2598" t="s">
        <v>2109</v>
      </c>
      <c r="B1" s="2598"/>
      <c r="C1" s="2598"/>
      <c r="D1" s="2598"/>
      <c r="E1" s="2598"/>
      <c r="F1" s="2598"/>
      <c r="G1" s="2598"/>
      <c r="H1" s="2598"/>
      <c r="I1" s="2598"/>
      <c r="J1" s="2598"/>
      <c r="K1" s="2598"/>
      <c r="L1" s="2598"/>
      <c r="M1" s="2598"/>
      <c r="N1" s="2598"/>
      <c r="O1" s="2598"/>
      <c r="P1" s="2598"/>
      <c r="Q1" s="2598"/>
      <c r="R1" s="2598"/>
      <c r="S1" s="2598"/>
    </row>
    <row r="2" spans="1:19" ht="15.95" customHeight="1" x14ac:dyDescent="0.25">
      <c r="A2" s="2598" t="s">
        <v>2080</v>
      </c>
      <c r="B2" s="2598"/>
      <c r="C2" s="2598"/>
      <c r="D2" s="2598"/>
      <c r="E2" s="2598"/>
      <c r="F2" s="2598"/>
      <c r="G2" s="2598"/>
      <c r="H2" s="2598"/>
      <c r="I2" s="2598"/>
      <c r="J2" s="2598"/>
      <c r="K2" s="2598"/>
      <c r="L2" s="2598"/>
      <c r="M2" s="2598"/>
      <c r="N2" s="2598"/>
      <c r="O2" s="2598"/>
      <c r="P2" s="2598"/>
      <c r="Q2" s="2598"/>
      <c r="R2" s="2598"/>
      <c r="S2" s="2598"/>
    </row>
    <row r="3" spans="1:19" ht="15.95" customHeight="1" x14ac:dyDescent="0.25">
      <c r="A3" s="2598" t="s">
        <v>1280</v>
      </c>
      <c r="B3" s="2598"/>
      <c r="C3" s="2598"/>
      <c r="D3" s="2598"/>
      <c r="E3" s="2598"/>
      <c r="F3" s="2598"/>
      <c r="G3" s="2598"/>
      <c r="H3" s="2598"/>
      <c r="I3" s="2598"/>
      <c r="J3" s="2598"/>
      <c r="K3" s="2598"/>
      <c r="L3" s="2598"/>
      <c r="M3" s="2598"/>
      <c r="N3" s="2598"/>
      <c r="O3" s="2598"/>
      <c r="P3" s="2598"/>
      <c r="Q3" s="2598"/>
      <c r="R3" s="2598"/>
      <c r="S3" s="2598"/>
    </row>
    <row r="4" spans="1:19" ht="15.95" customHeight="1" x14ac:dyDescent="0.25">
      <c r="A4" s="2599" t="s">
        <v>2110</v>
      </c>
      <c r="B4" s="2599"/>
      <c r="C4" s="2599"/>
      <c r="D4" s="2599"/>
      <c r="E4" s="2599"/>
      <c r="F4" s="2599"/>
      <c r="G4" s="2599"/>
      <c r="H4" s="2599"/>
      <c r="I4" s="2599"/>
      <c r="J4" s="2599"/>
      <c r="K4" s="2599"/>
      <c r="L4" s="2599"/>
      <c r="M4" s="2599"/>
      <c r="N4" s="2599"/>
      <c r="O4" s="2599"/>
      <c r="P4" s="2599"/>
      <c r="Q4" s="2599"/>
      <c r="R4" s="2599"/>
      <c r="S4" s="2599"/>
    </row>
    <row r="5" spans="1:19" ht="15.95" customHeight="1" x14ac:dyDescent="0.25">
      <c r="A5" s="1951"/>
      <c r="B5" s="1951"/>
      <c r="C5" s="1951"/>
      <c r="D5" s="1951"/>
      <c r="E5" s="1951"/>
      <c r="F5" s="1951"/>
      <c r="G5" s="1952"/>
      <c r="H5" s="1953"/>
      <c r="I5" s="1952"/>
      <c r="J5" s="1954"/>
      <c r="K5" s="1952"/>
      <c r="L5" s="1953"/>
      <c r="M5" s="1953"/>
      <c r="N5" s="1953"/>
      <c r="O5" s="1953"/>
      <c r="P5" s="1953"/>
      <c r="Q5" s="1953"/>
      <c r="R5" s="1953"/>
      <c r="S5" s="1953"/>
    </row>
    <row r="6" spans="1:19" ht="15.95" customHeight="1" x14ac:dyDescent="0.25">
      <c r="A6" s="1951"/>
      <c r="B6" s="1951"/>
      <c r="C6" s="1951"/>
      <c r="D6" s="1951"/>
      <c r="E6" s="1951"/>
      <c r="F6" s="1951"/>
      <c r="G6" s="1952"/>
      <c r="H6" s="1953"/>
      <c r="I6" s="1952"/>
      <c r="J6" s="1954"/>
      <c r="K6" s="1952"/>
      <c r="L6" s="1953"/>
      <c r="M6" s="1953"/>
      <c r="N6" s="1953"/>
      <c r="O6" s="1953"/>
      <c r="P6" s="1953"/>
      <c r="Q6" s="1953"/>
      <c r="R6" s="1953"/>
      <c r="S6" s="1953"/>
    </row>
    <row r="7" spans="1:19" ht="20.45" customHeight="1" x14ac:dyDescent="0.25">
      <c r="A7" s="1954"/>
      <c r="B7" s="1952"/>
      <c r="C7" s="1953"/>
      <c r="D7" s="1953"/>
      <c r="E7" s="1954" t="s">
        <v>2111</v>
      </c>
      <c r="F7" s="1954"/>
      <c r="G7" s="1955" t="s">
        <v>2112</v>
      </c>
      <c r="H7" s="1955"/>
      <c r="I7" s="1955"/>
      <c r="J7" s="1954"/>
      <c r="K7" s="1955" t="s">
        <v>2113</v>
      </c>
      <c r="L7" s="1955"/>
      <c r="M7" s="1955"/>
      <c r="N7" s="1953"/>
      <c r="O7" s="1953"/>
      <c r="P7" s="1953"/>
      <c r="Q7" s="1953"/>
      <c r="R7" s="1953"/>
      <c r="S7" s="1953"/>
    </row>
    <row r="8" spans="1:19" ht="15.95" customHeight="1" x14ac:dyDescent="0.25">
      <c r="A8" s="1956"/>
      <c r="B8" s="1957"/>
      <c r="C8" s="1956" t="s">
        <v>1325</v>
      </c>
      <c r="D8" s="1949"/>
      <c r="E8" s="1956" t="s">
        <v>2114</v>
      </c>
      <c r="F8" s="1956"/>
      <c r="G8" s="1956" t="s">
        <v>2115</v>
      </c>
      <c r="H8" s="1949"/>
      <c r="I8" s="1958" t="s">
        <v>2116</v>
      </c>
      <c r="J8" s="1956"/>
      <c r="K8" s="1958" t="str">
        <f>+G8</f>
        <v xml:space="preserve">Prior to </v>
      </c>
      <c r="L8" s="1949"/>
      <c r="M8" s="1958" t="str">
        <f>+I8</f>
        <v>7/01/17 -</v>
      </c>
      <c r="N8" s="1949"/>
      <c r="O8" s="1956" t="s">
        <v>1322</v>
      </c>
      <c r="P8" s="1949"/>
      <c r="Q8" s="1956" t="s">
        <v>2117</v>
      </c>
      <c r="R8" s="1949"/>
      <c r="S8" s="1957" t="s">
        <v>1230</v>
      </c>
    </row>
    <row r="9" spans="1:19" ht="15.95" customHeight="1" x14ac:dyDescent="0.25">
      <c r="A9" s="1957" t="s">
        <v>2118</v>
      </c>
      <c r="B9" s="1957"/>
      <c r="C9" s="1956" t="s">
        <v>2119</v>
      </c>
      <c r="D9" s="1949"/>
      <c r="E9" s="1956" t="s">
        <v>2119</v>
      </c>
      <c r="F9" s="1956"/>
      <c r="G9" s="1959" t="s">
        <v>2120</v>
      </c>
      <c r="H9" s="1949"/>
      <c r="I9" s="1959" t="s">
        <v>2121</v>
      </c>
      <c r="J9" s="1956"/>
      <c r="K9" s="1960" t="str">
        <f>+G9</f>
        <v>6/30/17</v>
      </c>
      <c r="L9" s="1949"/>
      <c r="M9" s="1960" t="str">
        <f>+I9</f>
        <v>6/30/18</v>
      </c>
      <c r="N9" s="1949"/>
      <c r="O9" s="1956" t="s">
        <v>2122</v>
      </c>
      <c r="P9" s="1949"/>
      <c r="Q9" s="1956" t="s">
        <v>1318</v>
      </c>
      <c r="R9" s="1949"/>
      <c r="S9" s="1956" t="s">
        <v>30</v>
      </c>
    </row>
    <row r="10" spans="1:19" ht="18" customHeight="1" x14ac:dyDescent="0.25">
      <c r="A10" s="1961" t="s">
        <v>2123</v>
      </c>
      <c r="B10" s="1949"/>
      <c r="C10" s="1962" t="s">
        <v>2124</v>
      </c>
      <c r="D10" s="1949"/>
      <c r="E10" s="1962" t="s">
        <v>2125</v>
      </c>
      <c r="F10" s="1956"/>
      <c r="G10" s="1963" t="s">
        <v>2126</v>
      </c>
      <c r="H10" s="1964"/>
      <c r="I10" s="1963" t="s">
        <v>2127</v>
      </c>
      <c r="J10" s="1965"/>
      <c r="K10" s="1963" t="s">
        <v>2128</v>
      </c>
      <c r="L10" s="1964"/>
      <c r="M10" s="1963" t="s">
        <v>2129</v>
      </c>
      <c r="N10" s="1964" t="s">
        <v>2130</v>
      </c>
      <c r="O10" s="1963" t="s">
        <v>2131</v>
      </c>
      <c r="P10" s="1964"/>
      <c r="Q10" s="1963" t="s">
        <v>2132</v>
      </c>
      <c r="R10" s="1964"/>
      <c r="S10" s="1963" t="s">
        <v>2133</v>
      </c>
    </row>
    <row r="11" spans="1:19" ht="15.95" customHeight="1" x14ac:dyDescent="0.25">
      <c r="A11" s="1961"/>
      <c r="B11" s="1949"/>
      <c r="C11" s="1962"/>
      <c r="D11" s="1949"/>
      <c r="E11" s="1962"/>
      <c r="F11" s="1956"/>
      <c r="G11" s="1963"/>
      <c r="H11" s="1964"/>
      <c r="I11" s="1963"/>
      <c r="J11" s="1965"/>
      <c r="K11" s="1963"/>
      <c r="L11" s="1964"/>
      <c r="M11" s="1963"/>
      <c r="N11" s="1964"/>
      <c r="O11" s="1963"/>
      <c r="P11" s="1964"/>
      <c r="Q11" s="1963"/>
      <c r="R11" s="1964"/>
      <c r="S11" s="1963"/>
    </row>
    <row r="12" spans="1:19" ht="17.25" customHeight="1" x14ac:dyDescent="0.25">
      <c r="A12" s="1966" t="s">
        <v>2134</v>
      </c>
      <c r="B12" s="1949"/>
      <c r="C12" s="1962"/>
      <c r="D12" s="1949"/>
      <c r="E12" s="1962"/>
      <c r="F12" s="1956"/>
      <c r="G12" s="1963"/>
      <c r="H12" s="1964"/>
      <c r="I12" s="1963"/>
      <c r="J12" s="1965"/>
      <c r="K12" s="1963"/>
      <c r="L12" s="1964"/>
      <c r="M12" s="1963"/>
      <c r="N12" s="1964"/>
      <c r="O12" s="1963"/>
      <c r="P12" s="1964"/>
      <c r="Q12" s="1963"/>
      <c r="R12" s="1964"/>
      <c r="S12" s="1963"/>
    </row>
    <row r="13" spans="1:19" ht="17.25" customHeight="1" x14ac:dyDescent="0.25">
      <c r="A13" s="1966" t="s">
        <v>2135</v>
      </c>
      <c r="B13" s="1968"/>
      <c r="C13" s="1962"/>
      <c r="D13" s="1949"/>
      <c r="E13" s="1962"/>
      <c r="F13" s="1956"/>
      <c r="G13" s="1963"/>
      <c r="H13" s="1964"/>
      <c r="I13" s="1963"/>
      <c r="J13" s="1965"/>
      <c r="K13" s="1963"/>
      <c r="L13" s="1964"/>
      <c r="M13" s="1963"/>
      <c r="N13" s="1964"/>
      <c r="O13" s="1963"/>
      <c r="P13" s="1964"/>
      <c r="Q13" s="1963"/>
      <c r="R13" s="1964"/>
      <c r="S13" s="1963"/>
    </row>
    <row r="14" spans="1:19" ht="17.25" customHeight="1" x14ac:dyDescent="0.25">
      <c r="A14" s="1969" t="s">
        <v>2136</v>
      </c>
      <c r="B14" s="1949"/>
      <c r="C14" s="1949"/>
      <c r="D14" s="1949"/>
      <c r="E14" s="1949"/>
      <c r="F14" s="1956"/>
      <c r="G14" s="1964"/>
      <c r="H14" s="1964"/>
      <c r="I14" s="1964"/>
      <c r="J14" s="1965"/>
      <c r="K14" s="1964"/>
      <c r="L14" s="1964"/>
      <c r="M14" s="1964"/>
      <c r="N14" s="1964"/>
      <c r="O14" s="1964"/>
      <c r="P14" s="1964"/>
      <c r="Q14" s="1964"/>
      <c r="R14" s="1964"/>
      <c r="S14" s="1964"/>
    </row>
    <row r="15" spans="1:19" ht="17.25" customHeight="1" x14ac:dyDescent="0.25">
      <c r="A15" s="1970"/>
      <c r="B15" s="1949"/>
      <c r="C15" s="1949"/>
      <c r="D15" s="1949"/>
      <c r="E15" s="1958"/>
      <c r="F15" s="1956"/>
      <c r="G15" s="1949"/>
      <c r="H15" s="1949"/>
      <c r="I15" s="1949"/>
      <c r="J15" s="1956"/>
      <c r="K15" s="1949"/>
      <c r="L15" s="1949"/>
      <c r="M15" s="1949"/>
      <c r="N15" s="1949"/>
      <c r="O15" s="1949"/>
      <c r="P15" s="1949"/>
      <c r="Q15" s="1949"/>
      <c r="R15" s="1949"/>
      <c r="S15" s="1949"/>
    </row>
    <row r="16" spans="1:19" ht="17.25" customHeight="1" x14ac:dyDescent="0.25">
      <c r="A16" s="1970" t="s">
        <v>2137</v>
      </c>
      <c r="B16" s="1957" t="s">
        <v>1117</v>
      </c>
      <c r="C16" s="1971">
        <v>10.555</v>
      </c>
      <c r="D16" s="1949"/>
      <c r="E16" s="1958" t="s">
        <v>2138</v>
      </c>
      <c r="F16" s="1956"/>
      <c r="G16" s="1972">
        <v>252028</v>
      </c>
      <c r="H16" s="1973"/>
      <c r="I16" s="1972">
        <v>49814</v>
      </c>
      <c r="J16" s="1972"/>
      <c r="K16" s="1972">
        <v>252028</v>
      </c>
      <c r="L16" s="1972"/>
      <c r="M16" s="1972">
        <v>49814</v>
      </c>
      <c r="N16" s="1949"/>
      <c r="O16" s="1949"/>
      <c r="P16" s="1949"/>
      <c r="Q16" s="1974">
        <f>K16+M16+O16</f>
        <v>301842</v>
      </c>
      <c r="R16" s="1949"/>
      <c r="S16" s="1975" t="s">
        <v>2139</v>
      </c>
    </row>
    <row r="17" spans="1:19" ht="17.25" customHeight="1" x14ac:dyDescent="0.25">
      <c r="A17" s="1970" t="s">
        <v>2137</v>
      </c>
      <c r="B17" s="1957" t="s">
        <v>1117</v>
      </c>
      <c r="C17" s="1971" t="s">
        <v>2140</v>
      </c>
      <c r="D17" s="1949"/>
      <c r="E17" s="1958" t="s">
        <v>2141</v>
      </c>
      <c r="F17" s="1976"/>
      <c r="G17" s="1972"/>
      <c r="H17" s="1972"/>
      <c r="I17" s="1972">
        <v>263720</v>
      </c>
      <c r="J17" s="1973"/>
      <c r="K17" s="1972"/>
      <c r="L17" s="1972"/>
      <c r="M17" s="1972">
        <v>263720</v>
      </c>
      <c r="N17" s="1972"/>
      <c r="O17" s="1972" t="s">
        <v>1230</v>
      </c>
      <c r="P17" s="1972">
        <v>-2</v>
      </c>
      <c r="Q17" s="1977">
        <f>K17+M17+O17</f>
        <v>263720</v>
      </c>
      <c r="R17" s="1978"/>
      <c r="S17" s="1975" t="s">
        <v>2139</v>
      </c>
    </row>
    <row r="18" spans="1:19" ht="12.6" customHeight="1" x14ac:dyDescent="0.25">
      <c r="A18" s="1970"/>
      <c r="B18" s="1957"/>
      <c r="C18" s="1971"/>
      <c r="D18" s="1949"/>
      <c r="E18" s="1956"/>
      <c r="F18" s="1956"/>
      <c r="G18" s="1978"/>
      <c r="H18" s="1978"/>
      <c r="I18" s="1972"/>
      <c r="J18" s="1973"/>
      <c r="K18" s="1972"/>
      <c r="L18" s="1972"/>
      <c r="M18" s="1972"/>
      <c r="N18" s="1978"/>
      <c r="O18" s="1978"/>
      <c r="P18" s="1978"/>
      <c r="Q18" s="1974"/>
      <c r="R18" s="1978"/>
      <c r="S18" s="1975"/>
    </row>
    <row r="19" spans="1:19" ht="17.25" customHeight="1" x14ac:dyDescent="0.4">
      <c r="A19" s="1970" t="s">
        <v>2137</v>
      </c>
      <c r="B19" s="1957" t="s">
        <v>1118</v>
      </c>
      <c r="C19" s="1971">
        <v>10.553000000000001</v>
      </c>
      <c r="D19" s="1949"/>
      <c r="E19" s="1958" t="s">
        <v>2142</v>
      </c>
      <c r="F19" s="1956"/>
      <c r="G19" s="1979">
        <v>61600</v>
      </c>
      <c r="H19" s="1980"/>
      <c r="I19" s="1979">
        <v>11701</v>
      </c>
      <c r="J19" s="1980"/>
      <c r="K19" s="1979">
        <v>61600</v>
      </c>
      <c r="L19" s="1980"/>
      <c r="M19" s="1979">
        <v>11701</v>
      </c>
      <c r="N19" s="1978"/>
      <c r="O19" s="1978"/>
      <c r="P19" s="1978"/>
      <c r="Q19" s="1974">
        <f>K19+M19+O19</f>
        <v>73301</v>
      </c>
      <c r="R19" s="1978"/>
      <c r="S19" s="1975" t="s">
        <v>2139</v>
      </c>
    </row>
    <row r="20" spans="1:19" ht="17.25" customHeight="1" x14ac:dyDescent="0.4">
      <c r="A20" s="1970" t="s">
        <v>2137</v>
      </c>
      <c r="B20" s="1957" t="s">
        <v>1118</v>
      </c>
      <c r="C20" s="1971">
        <v>10.553000000000001</v>
      </c>
      <c r="D20" s="1949"/>
      <c r="E20" s="1958" t="s">
        <v>2143</v>
      </c>
      <c r="F20" s="1976"/>
      <c r="G20" s="1979"/>
      <c r="H20" s="1972"/>
      <c r="I20" s="1979">
        <v>68136</v>
      </c>
      <c r="J20" s="1980"/>
      <c r="K20" s="1979"/>
      <c r="L20" s="1980"/>
      <c r="M20" s="1979">
        <v>68136</v>
      </c>
      <c r="N20" s="1980"/>
      <c r="O20" s="1979" t="s">
        <v>1230</v>
      </c>
      <c r="P20" s="1979">
        <v>-2</v>
      </c>
      <c r="Q20" s="1977">
        <f>K20+M20+O20</f>
        <v>68136</v>
      </c>
      <c r="R20" s="1978"/>
      <c r="S20" s="1975" t="s">
        <v>2139</v>
      </c>
    </row>
    <row r="21" spans="1:19" ht="10.15" customHeight="1" x14ac:dyDescent="0.4">
      <c r="A21" s="1970"/>
      <c r="B21" s="1957"/>
      <c r="C21" s="1971"/>
      <c r="D21" s="1949"/>
      <c r="E21" s="1958"/>
      <c r="F21" s="1956"/>
      <c r="G21" s="1981"/>
      <c r="H21" s="1978"/>
      <c r="I21" s="1981"/>
      <c r="J21" s="1982"/>
      <c r="K21" s="1981"/>
      <c r="L21" s="1982"/>
      <c r="M21" s="1981"/>
      <c r="N21" s="1982"/>
      <c r="O21" s="1981"/>
      <c r="P21" s="1982"/>
      <c r="Q21" s="1974"/>
      <c r="R21" s="1978"/>
      <c r="S21" s="1975"/>
    </row>
    <row r="22" spans="1:19" ht="17.25" customHeight="1" x14ac:dyDescent="0.4">
      <c r="A22" s="1970"/>
      <c r="B22" s="1957" t="s">
        <v>2144</v>
      </c>
      <c r="C22" s="1971">
        <v>10.555</v>
      </c>
      <c r="D22" s="1949"/>
      <c r="E22" s="1956" t="s">
        <v>2145</v>
      </c>
      <c r="F22" s="1956"/>
      <c r="G22" s="1981"/>
      <c r="H22" s="1978"/>
      <c r="I22" s="1981"/>
      <c r="J22" s="1982"/>
      <c r="K22" s="1979">
        <v>64886</v>
      </c>
      <c r="L22" s="1982"/>
      <c r="M22" s="1979"/>
      <c r="N22" s="1980"/>
      <c r="O22" s="1981"/>
      <c r="P22" s="1982"/>
      <c r="Q22" s="1974">
        <f>K22+M22+O22</f>
        <v>64886</v>
      </c>
      <c r="R22" s="1978"/>
      <c r="S22" s="1975" t="s">
        <v>2139</v>
      </c>
    </row>
    <row r="23" spans="1:19" ht="17.25" customHeight="1" x14ac:dyDescent="0.4">
      <c r="A23" s="1970" t="s">
        <v>2137</v>
      </c>
      <c r="B23" s="1957" t="s">
        <v>2144</v>
      </c>
      <c r="C23" s="1971">
        <v>10.555</v>
      </c>
      <c r="D23" s="1949"/>
      <c r="E23" s="1983" t="s">
        <v>2146</v>
      </c>
      <c r="F23" s="1984"/>
      <c r="G23" s="1985"/>
      <c r="H23" s="1986"/>
      <c r="I23" s="1985"/>
      <c r="J23" s="1987"/>
      <c r="K23" s="1979"/>
      <c r="L23" s="1980"/>
      <c r="M23" s="1979">
        <v>59573</v>
      </c>
      <c r="N23" s="1980"/>
      <c r="O23" s="1979"/>
      <c r="P23" s="1980"/>
      <c r="Q23" s="1977">
        <f>K23+M23+O23</f>
        <v>59573</v>
      </c>
      <c r="R23" s="1978"/>
      <c r="S23" s="1975" t="s">
        <v>2139</v>
      </c>
    </row>
    <row r="24" spans="1:19" ht="17.25" customHeight="1" x14ac:dyDescent="0.4">
      <c r="A24" s="1970"/>
      <c r="B24" s="1957"/>
      <c r="C24" s="1971"/>
      <c r="D24" s="1949"/>
      <c r="E24" s="1983"/>
      <c r="F24" s="1984"/>
      <c r="G24" s="1985"/>
      <c r="H24" s="1986"/>
      <c r="I24" s="1985"/>
      <c r="J24" s="1987"/>
      <c r="K24" s="1979"/>
      <c r="L24" s="1980"/>
      <c r="M24" s="1979"/>
      <c r="N24" s="1980"/>
      <c r="O24" s="1979"/>
      <c r="P24" s="1980"/>
      <c r="Q24" s="1977"/>
      <c r="R24" s="1978"/>
      <c r="S24" s="1975"/>
    </row>
    <row r="25" spans="1:19" ht="17.25" customHeight="1" x14ac:dyDescent="0.4">
      <c r="A25" s="1970"/>
      <c r="B25" s="1988" t="s">
        <v>2147</v>
      </c>
      <c r="C25" s="1989">
        <v>10.555</v>
      </c>
      <c r="D25" s="1990"/>
      <c r="E25" s="1956" t="s">
        <v>2145</v>
      </c>
      <c r="F25" s="1956"/>
      <c r="G25" s="1981"/>
      <c r="H25" s="1978"/>
      <c r="I25" s="1981"/>
      <c r="J25" s="1982"/>
      <c r="K25" s="1979">
        <v>29819</v>
      </c>
      <c r="L25" s="1982"/>
      <c r="M25" s="1979"/>
      <c r="N25" s="1980"/>
      <c r="O25" s="1979"/>
      <c r="P25" s="1980"/>
      <c r="Q25" s="1977">
        <f>K25+M25+O25</f>
        <v>29819</v>
      </c>
      <c r="R25" s="1978"/>
      <c r="S25" s="1975" t="s">
        <v>2139</v>
      </c>
    </row>
    <row r="26" spans="1:19" ht="17.25" customHeight="1" x14ac:dyDescent="0.4">
      <c r="A26" s="1970" t="s">
        <v>2137</v>
      </c>
      <c r="B26" s="1988" t="s">
        <v>2147</v>
      </c>
      <c r="C26" s="1989">
        <v>10.555</v>
      </c>
      <c r="D26" s="1990"/>
      <c r="E26" s="1983" t="s">
        <v>2146</v>
      </c>
      <c r="F26" s="1956"/>
      <c r="G26" s="1981"/>
      <c r="H26" s="1978"/>
      <c r="I26" s="1981"/>
      <c r="J26" s="1982"/>
      <c r="K26" s="1981"/>
      <c r="L26" s="1980"/>
      <c r="M26" s="1979">
        <v>29025</v>
      </c>
      <c r="N26" s="1980"/>
      <c r="O26" s="1979"/>
      <c r="P26" s="1980"/>
      <c r="Q26" s="1977">
        <f>K26+M26+O26</f>
        <v>29025</v>
      </c>
      <c r="R26" s="1978"/>
      <c r="S26" s="1975" t="s">
        <v>2139</v>
      </c>
    </row>
    <row r="27" spans="1:19" ht="6" customHeight="1" x14ac:dyDescent="0.4">
      <c r="A27" s="1970"/>
      <c r="B27" s="1957"/>
      <c r="C27" s="1971"/>
      <c r="D27" s="1949"/>
      <c r="E27" s="1958"/>
      <c r="F27" s="1956"/>
      <c r="G27" s="1982"/>
      <c r="H27" s="1978"/>
      <c r="I27" s="1982"/>
      <c r="J27" s="1982"/>
      <c r="K27" s="1978"/>
      <c r="L27" s="1982"/>
      <c r="M27" s="1979"/>
      <c r="N27" s="1980"/>
      <c r="O27" s="1982"/>
      <c r="P27" s="1982"/>
      <c r="Q27" s="1974"/>
      <c r="R27" s="1978"/>
      <c r="S27" s="1975"/>
    </row>
    <row r="28" spans="1:19" ht="17.25" customHeight="1" x14ac:dyDescent="0.25">
      <c r="A28" s="1966" t="s">
        <v>2135</v>
      </c>
      <c r="B28" s="1957"/>
      <c r="C28" s="1971"/>
      <c r="D28" s="1949"/>
      <c r="E28" s="1956"/>
      <c r="F28" s="1956"/>
      <c r="G28" s="1978"/>
      <c r="H28" s="1978"/>
      <c r="I28" s="1978"/>
      <c r="J28" s="1991"/>
      <c r="K28" s="1978" t="s">
        <v>1230</v>
      </c>
      <c r="L28" s="1978"/>
      <c r="M28" s="1972"/>
      <c r="N28" s="1972"/>
      <c r="O28" s="1978" t="s">
        <v>1230</v>
      </c>
      <c r="P28" s="1978"/>
      <c r="Q28" s="1974"/>
      <c r="R28" s="1978"/>
      <c r="S28" s="1992"/>
    </row>
    <row r="29" spans="1:19" ht="17.25" customHeight="1" x14ac:dyDescent="0.25">
      <c r="A29" s="1966" t="s">
        <v>2148</v>
      </c>
      <c r="B29" s="1949"/>
      <c r="C29" s="1971"/>
      <c r="D29" s="1949"/>
      <c r="E29" s="1956"/>
      <c r="F29" s="1956"/>
      <c r="G29" s="1978"/>
      <c r="H29" s="1978"/>
      <c r="I29" s="1978" t="s">
        <v>1230</v>
      </c>
      <c r="J29" s="1991"/>
      <c r="K29" s="1978" t="s">
        <v>1230</v>
      </c>
      <c r="L29" s="1978"/>
      <c r="M29" s="1978"/>
      <c r="N29" s="1978"/>
      <c r="O29" s="1978"/>
      <c r="P29" s="1978"/>
      <c r="Q29" s="1974"/>
      <c r="R29" s="1978"/>
      <c r="S29" s="1992"/>
    </row>
    <row r="30" spans="1:19" ht="12" customHeight="1" x14ac:dyDescent="0.25">
      <c r="A30" s="1966"/>
      <c r="B30" s="1949"/>
      <c r="C30" s="1971"/>
      <c r="D30" s="1949"/>
      <c r="E30" s="1956"/>
      <c r="F30" s="1956"/>
      <c r="G30" s="1978"/>
      <c r="H30" s="1978"/>
      <c r="I30" s="1978"/>
      <c r="J30" s="1991"/>
      <c r="K30" s="1978"/>
      <c r="L30" s="1978"/>
      <c r="M30" s="1978"/>
      <c r="N30" s="1978"/>
      <c r="O30" s="1978"/>
      <c r="P30" s="1978"/>
      <c r="Q30" s="1974"/>
      <c r="R30" s="1978"/>
      <c r="S30" s="1992"/>
    </row>
    <row r="31" spans="1:19" ht="17.25" hidden="1" customHeight="1" x14ac:dyDescent="0.25">
      <c r="A31" s="1970"/>
      <c r="B31" s="1957" t="s">
        <v>1230</v>
      </c>
      <c r="C31" s="1971"/>
      <c r="D31" s="1949"/>
      <c r="E31" s="1956"/>
      <c r="F31" s="1956"/>
      <c r="G31" s="1978"/>
      <c r="H31" s="1978"/>
      <c r="I31" s="1978" t="s">
        <v>1230</v>
      </c>
      <c r="J31" s="1991"/>
      <c r="K31" s="1978"/>
      <c r="L31" s="1978"/>
      <c r="M31" s="1978"/>
      <c r="N31" s="1978"/>
      <c r="O31" s="1978"/>
      <c r="P31" s="1978"/>
      <c r="Q31" s="1974"/>
      <c r="R31" s="1978"/>
      <c r="S31" s="1992"/>
    </row>
    <row r="32" spans="1:19" ht="17.25" customHeight="1" x14ac:dyDescent="0.25">
      <c r="A32" s="1970" t="s">
        <v>2137</v>
      </c>
      <c r="B32" s="1957" t="s">
        <v>1117</v>
      </c>
      <c r="C32" s="1971">
        <v>10.555</v>
      </c>
      <c r="D32" s="1949"/>
      <c r="E32" s="1958" t="s">
        <v>2149</v>
      </c>
      <c r="F32" s="1956"/>
      <c r="G32" s="1978">
        <v>4172</v>
      </c>
      <c r="H32" s="1978"/>
      <c r="I32" s="1972">
        <v>660</v>
      </c>
      <c r="J32" s="1973"/>
      <c r="K32" s="1972">
        <v>4172</v>
      </c>
      <c r="L32" s="1972"/>
      <c r="M32" s="1972">
        <v>660</v>
      </c>
      <c r="N32" s="1978"/>
      <c r="O32" s="1978" t="s">
        <v>1230</v>
      </c>
      <c r="P32" s="1978"/>
      <c r="Q32" s="1974">
        <f>O32+M32+K32</f>
        <v>4832</v>
      </c>
      <c r="R32" s="1978"/>
      <c r="S32" s="1992" t="s">
        <v>2139</v>
      </c>
    </row>
    <row r="33" spans="1:19" ht="17.25" hidden="1" customHeight="1" x14ac:dyDescent="0.25">
      <c r="B33" s="1957"/>
      <c r="C33" s="1971"/>
      <c r="D33" s="1949"/>
      <c r="E33" s="1956"/>
      <c r="F33" s="1956"/>
      <c r="G33" s="1978"/>
      <c r="H33" s="1978"/>
      <c r="I33" s="1972"/>
      <c r="J33" s="1973"/>
      <c r="K33" s="1972"/>
      <c r="L33" s="1972"/>
      <c r="M33" s="1972"/>
      <c r="N33" s="1978"/>
      <c r="O33" s="1978"/>
      <c r="P33" s="1978"/>
      <c r="Q33" s="1974"/>
      <c r="R33" s="1978"/>
      <c r="S33" s="1992"/>
    </row>
    <row r="34" spans="1:19" ht="17.25" customHeight="1" x14ac:dyDescent="0.4">
      <c r="A34" s="1970" t="s">
        <v>2137</v>
      </c>
      <c r="B34" s="1957" t="s">
        <v>1117</v>
      </c>
      <c r="C34" s="1971">
        <v>10.555</v>
      </c>
      <c r="D34" s="1949"/>
      <c r="E34" s="1958" t="s">
        <v>2150</v>
      </c>
      <c r="F34" s="1956"/>
      <c r="G34" s="1994">
        <v>0</v>
      </c>
      <c r="H34" s="1972"/>
      <c r="I34" s="1994">
        <v>3593</v>
      </c>
      <c r="J34" s="1973"/>
      <c r="K34" s="1994">
        <v>0</v>
      </c>
      <c r="L34" s="1972"/>
      <c r="M34" s="1994">
        <v>4243</v>
      </c>
      <c r="N34" s="1972"/>
      <c r="O34" s="1994" t="s">
        <v>1230</v>
      </c>
      <c r="P34" s="1978">
        <v>-2</v>
      </c>
      <c r="Q34" s="1995">
        <f>O34+M34+K34</f>
        <v>4243</v>
      </c>
      <c r="R34" s="1978"/>
      <c r="S34" s="1992" t="s">
        <v>2139</v>
      </c>
    </row>
    <row r="35" spans="1:19" ht="7.15" customHeight="1" x14ac:dyDescent="0.4">
      <c r="A35" s="1970"/>
      <c r="B35" s="1957"/>
      <c r="C35" s="1971"/>
      <c r="D35" s="1949"/>
      <c r="E35" s="1958"/>
      <c r="F35" s="1956"/>
      <c r="G35" s="1982"/>
      <c r="H35" s="1978"/>
      <c r="I35" s="1982"/>
      <c r="J35" s="1982"/>
      <c r="K35" s="1982"/>
      <c r="L35" s="1982"/>
      <c r="M35" s="1982"/>
      <c r="N35" s="1982"/>
      <c r="O35" s="1982"/>
      <c r="P35" s="1982"/>
      <c r="Q35" s="1982"/>
      <c r="R35" s="1978"/>
      <c r="S35" s="1975"/>
    </row>
    <row r="36" spans="1:19" ht="17.25" customHeight="1" x14ac:dyDescent="0.4">
      <c r="A36" s="1966" t="s">
        <v>2151</v>
      </c>
      <c r="B36" s="1957"/>
      <c r="C36" s="1971"/>
      <c r="D36" s="1949"/>
      <c r="E36" s="1958"/>
      <c r="F36" s="1956"/>
      <c r="G36" s="1995">
        <f>SUM(G15:G35)</f>
        <v>317800</v>
      </c>
      <c r="H36" s="1995"/>
      <c r="I36" s="1995">
        <f>SUM(I15:I35)</f>
        <v>397624</v>
      </c>
      <c r="J36" s="1995"/>
      <c r="K36" s="1995">
        <f>SUM(K15:K35)</f>
        <v>412505</v>
      </c>
      <c r="L36" s="1995"/>
      <c r="M36" s="1995">
        <f>SUM(M15:M35)</f>
        <v>486872</v>
      </c>
      <c r="N36" s="1995"/>
      <c r="O36" s="1995">
        <f>SUM(O15:O35)</f>
        <v>0</v>
      </c>
      <c r="P36" s="1995"/>
      <c r="Q36" s="1995">
        <f>SUM(Q15:Q35)</f>
        <v>899377</v>
      </c>
      <c r="R36" s="1978"/>
      <c r="S36" s="1975"/>
    </row>
    <row r="37" spans="1:19" ht="17.25" customHeight="1" x14ac:dyDescent="0.25">
      <c r="A37" s="1956"/>
      <c r="B37" s="1957"/>
      <c r="C37" s="1971"/>
      <c r="D37" s="1949"/>
      <c r="E37" s="1958"/>
      <c r="F37" s="1956"/>
      <c r="G37" s="1978"/>
      <c r="H37" s="1978"/>
      <c r="I37" s="1978"/>
      <c r="J37" s="1991"/>
      <c r="K37" s="1978"/>
      <c r="L37" s="1978"/>
      <c r="M37" s="1978"/>
      <c r="N37" s="1978"/>
      <c r="O37" s="1978"/>
      <c r="P37" s="1978"/>
      <c r="Q37" s="1981"/>
      <c r="R37" s="1978"/>
      <c r="S37" s="1975"/>
    </row>
    <row r="38" spans="1:19" ht="17.25" customHeight="1" x14ac:dyDescent="0.25">
      <c r="A38" s="1966" t="s">
        <v>2152</v>
      </c>
      <c r="B38" s="1957"/>
      <c r="C38" s="1971"/>
      <c r="D38" s="1949"/>
      <c r="E38" s="1958"/>
      <c r="F38" s="1956"/>
      <c r="G38" s="1978"/>
      <c r="H38" s="1978"/>
      <c r="I38" s="1978" t="s">
        <v>1230</v>
      </c>
      <c r="J38" s="1991"/>
      <c r="K38" s="1978"/>
      <c r="L38" s="1978"/>
      <c r="M38" s="1978"/>
      <c r="N38" s="1978"/>
      <c r="O38" s="1978"/>
      <c r="P38" s="1978"/>
      <c r="Q38" s="1981"/>
      <c r="R38" s="1978"/>
      <c r="S38" s="1975"/>
    </row>
    <row r="39" spans="1:19" ht="17.25" customHeight="1" x14ac:dyDescent="0.25">
      <c r="A39" s="1966" t="s">
        <v>2135</v>
      </c>
      <c r="B39" s="1957"/>
      <c r="C39" s="1971"/>
      <c r="D39" s="1949"/>
      <c r="E39" s="1958"/>
      <c r="F39" s="1956"/>
      <c r="G39" s="1978"/>
      <c r="H39" s="1978"/>
      <c r="I39" s="1978" t="s">
        <v>1230</v>
      </c>
      <c r="J39" s="1991"/>
      <c r="K39" s="1978"/>
      <c r="L39" s="1978"/>
      <c r="M39" s="1978"/>
      <c r="N39" s="1978"/>
      <c r="O39" s="1978"/>
      <c r="P39" s="1978"/>
      <c r="Q39" s="1981"/>
      <c r="R39" s="1978"/>
      <c r="S39" s="1975"/>
    </row>
    <row r="40" spans="1:19" ht="17.25" customHeight="1" x14ac:dyDescent="0.25">
      <c r="A40" s="1966" t="s">
        <v>2136</v>
      </c>
      <c r="B40" s="1957"/>
      <c r="C40" s="1971"/>
      <c r="D40" s="1949"/>
      <c r="E40" s="1958" t="s">
        <v>2153</v>
      </c>
      <c r="F40" s="1956"/>
      <c r="G40" s="1978"/>
      <c r="H40" s="1978"/>
      <c r="I40" s="1978" t="s">
        <v>1230</v>
      </c>
      <c r="J40" s="1991"/>
      <c r="K40" s="1978"/>
      <c r="L40" s="1978"/>
      <c r="M40" s="1978"/>
      <c r="N40" s="1978"/>
      <c r="O40" s="1978"/>
      <c r="P40" s="1978"/>
      <c r="Q40" s="1981"/>
      <c r="R40" s="1978"/>
      <c r="S40" s="1975"/>
    </row>
    <row r="41" spans="1:19" ht="13.15" customHeight="1" x14ac:dyDescent="0.25">
      <c r="A41" s="1956"/>
      <c r="B41" s="1949"/>
      <c r="C41" s="1949"/>
      <c r="D41" s="1949"/>
      <c r="E41" s="1949"/>
      <c r="F41" s="1956"/>
      <c r="G41" s="1978" t="s">
        <v>1230</v>
      </c>
      <c r="H41" s="1978"/>
      <c r="I41" s="1978"/>
      <c r="J41" s="1991"/>
      <c r="K41" s="1978"/>
      <c r="L41" s="1978"/>
      <c r="M41" s="1978" t="s">
        <v>1230</v>
      </c>
      <c r="N41" s="1978"/>
      <c r="O41" s="1978"/>
      <c r="P41" s="1978"/>
      <c r="Q41" s="1978" t="s">
        <v>1230</v>
      </c>
      <c r="R41" s="1978"/>
      <c r="S41" s="1978"/>
    </row>
    <row r="42" spans="1:19" ht="17.25" customHeight="1" x14ac:dyDescent="0.25">
      <c r="A42" s="1970"/>
      <c r="B42" s="1957" t="s">
        <v>973</v>
      </c>
      <c r="C42" s="1971">
        <v>84.01</v>
      </c>
      <c r="D42" s="1949"/>
      <c r="E42" s="1956" t="s">
        <v>2154</v>
      </c>
      <c r="F42" s="1956"/>
      <c r="G42" s="1979">
        <v>122335</v>
      </c>
      <c r="H42" s="1979"/>
      <c r="I42" s="1979">
        <v>57879</v>
      </c>
      <c r="J42" s="1979"/>
      <c r="K42" s="1979">
        <v>180214</v>
      </c>
      <c r="L42" s="1979"/>
      <c r="M42" s="1979"/>
      <c r="N42" s="1979"/>
      <c r="O42" s="1979"/>
      <c r="P42" s="1979"/>
      <c r="Q42" s="1974">
        <f>O42+M42+K42</f>
        <v>180214</v>
      </c>
      <c r="R42" s="1978"/>
      <c r="S42" s="1972">
        <v>180214</v>
      </c>
    </row>
    <row r="43" spans="1:19" ht="17.25" customHeight="1" x14ac:dyDescent="0.25">
      <c r="A43" s="1970"/>
      <c r="B43" s="1957" t="s">
        <v>973</v>
      </c>
      <c r="C43" s="1971">
        <v>84.01</v>
      </c>
      <c r="D43" s="1949"/>
      <c r="E43" s="1956" t="s">
        <v>2155</v>
      </c>
      <c r="F43" s="1956"/>
      <c r="G43" s="1979"/>
      <c r="H43" s="1972"/>
      <c r="I43" s="1979">
        <v>145280</v>
      </c>
      <c r="J43" s="1979"/>
      <c r="K43" s="1979"/>
      <c r="L43" s="1979"/>
      <c r="M43" s="1979">
        <v>148074</v>
      </c>
      <c r="N43" s="1979"/>
      <c r="O43" s="1979"/>
      <c r="P43" s="1979">
        <v>-2</v>
      </c>
      <c r="Q43" s="1977">
        <f>O43+M43+K43</f>
        <v>148074</v>
      </c>
      <c r="R43" s="1978"/>
      <c r="S43" s="1972">
        <v>149607</v>
      </c>
    </row>
    <row r="44" spans="1:19" ht="17.25" customHeight="1" x14ac:dyDescent="0.25">
      <c r="A44" s="1970"/>
      <c r="B44" s="1957"/>
      <c r="C44" s="1971"/>
      <c r="D44" s="1949"/>
      <c r="E44" s="1956"/>
      <c r="F44" s="1956"/>
      <c r="G44" s="1979"/>
      <c r="H44" s="1972"/>
      <c r="I44" s="1979"/>
      <c r="J44" s="1979"/>
      <c r="K44" s="1979"/>
      <c r="L44" s="1979"/>
      <c r="M44" s="1979"/>
      <c r="N44" s="1979"/>
      <c r="O44" s="1985"/>
      <c r="P44" s="1979"/>
      <c r="Q44" s="1977"/>
      <c r="R44" s="1978"/>
      <c r="S44" s="1972"/>
    </row>
    <row r="45" spans="1:19" ht="17.25" customHeight="1" x14ac:dyDescent="0.25">
      <c r="A45" s="1970"/>
      <c r="B45" s="1957" t="s">
        <v>2156</v>
      </c>
      <c r="C45" s="1996" t="s">
        <v>2157</v>
      </c>
      <c r="D45" s="1949"/>
      <c r="E45" s="1956" t="s">
        <v>2158</v>
      </c>
      <c r="F45" s="1956"/>
      <c r="G45" s="1979"/>
      <c r="H45" s="1972"/>
      <c r="I45" s="1979">
        <v>3833</v>
      </c>
      <c r="J45" s="1979"/>
      <c r="K45" s="1979"/>
      <c r="L45" s="1979"/>
      <c r="M45" s="1997">
        <v>9754</v>
      </c>
      <c r="N45" s="1979"/>
      <c r="O45" s="1985"/>
      <c r="P45" s="1979"/>
      <c r="Q45" s="1977">
        <f>O45+M45+K45</f>
        <v>9754</v>
      </c>
      <c r="R45" s="1978"/>
      <c r="S45" s="1972">
        <v>10000</v>
      </c>
    </row>
    <row r="46" spans="1:19" ht="17.25" customHeight="1" x14ac:dyDescent="0.25">
      <c r="A46" s="1970"/>
      <c r="B46" s="1957"/>
      <c r="C46" s="1971"/>
      <c r="D46" s="1949"/>
      <c r="E46" s="1956"/>
      <c r="F46" s="1956"/>
      <c r="G46" s="1979"/>
      <c r="H46" s="1972"/>
      <c r="I46" s="1979"/>
      <c r="J46" s="1979"/>
      <c r="K46" s="1979"/>
      <c r="L46" s="1979"/>
      <c r="M46" s="1979"/>
      <c r="N46" s="1979"/>
      <c r="O46" s="1985"/>
      <c r="P46" s="1979"/>
      <c r="Q46" s="1977"/>
      <c r="R46" s="1978"/>
      <c r="S46" s="1972"/>
    </row>
    <row r="47" spans="1:19" ht="17.25" hidden="1" customHeight="1" x14ac:dyDescent="0.25">
      <c r="A47" s="1970"/>
      <c r="B47" s="1957" t="s">
        <v>2159</v>
      </c>
      <c r="C47" s="1971">
        <v>84.027000000000001</v>
      </c>
      <c r="D47" s="1949"/>
      <c r="E47" s="1956" t="s">
        <v>2160</v>
      </c>
      <c r="F47" s="1976"/>
      <c r="G47" s="1979"/>
      <c r="H47" s="1979"/>
      <c r="I47" s="1979"/>
      <c r="J47" s="1979"/>
      <c r="K47" s="1979"/>
      <c r="L47" s="1979"/>
      <c r="M47" s="1979"/>
      <c r="N47" s="1979"/>
      <c r="O47" s="1985"/>
      <c r="P47" s="1979"/>
      <c r="Q47" s="1977">
        <f>O47+M47+K47</f>
        <v>0</v>
      </c>
      <c r="R47" s="1978"/>
      <c r="S47" s="1998" t="s">
        <v>2139</v>
      </c>
    </row>
    <row r="48" spans="1:19" ht="17.25" hidden="1" customHeight="1" x14ac:dyDescent="0.25">
      <c r="A48" s="1970"/>
      <c r="B48" s="1957" t="s">
        <v>2159</v>
      </c>
      <c r="C48" s="1971">
        <v>84.027000000000001</v>
      </c>
      <c r="D48" s="1949"/>
      <c r="E48" s="1956" t="s">
        <v>2161</v>
      </c>
      <c r="F48" s="1976"/>
      <c r="G48" s="1979"/>
      <c r="H48" s="1972"/>
      <c r="I48" s="1999"/>
      <c r="J48" s="1979"/>
      <c r="K48" s="1979"/>
      <c r="L48" s="1979"/>
      <c r="M48" s="1999"/>
      <c r="N48" s="1979"/>
      <c r="O48" s="1979"/>
      <c r="P48" s="1979"/>
      <c r="Q48" s="1977">
        <f>O48+M48+K48</f>
        <v>0</v>
      </c>
      <c r="R48" s="1978"/>
      <c r="S48" s="1998" t="s">
        <v>2139</v>
      </c>
    </row>
    <row r="49" spans="1:19" ht="12" hidden="1" customHeight="1" x14ac:dyDescent="0.25">
      <c r="A49" s="1970"/>
      <c r="B49" s="1957"/>
      <c r="C49" s="1971"/>
      <c r="D49" s="1949"/>
      <c r="E49" s="1956"/>
      <c r="F49" s="1956"/>
      <c r="G49" s="1979"/>
      <c r="H49" s="1972"/>
      <c r="I49" s="1979"/>
      <c r="J49" s="1979"/>
      <c r="K49" s="1979"/>
      <c r="L49" s="1979"/>
      <c r="M49" s="1979"/>
      <c r="N49" s="1979"/>
      <c r="O49" s="1979"/>
      <c r="P49" s="1979"/>
      <c r="Q49" s="1974"/>
      <c r="R49" s="1978"/>
      <c r="S49" s="1972"/>
    </row>
    <row r="50" spans="1:19" ht="17.25" customHeight="1" x14ac:dyDescent="0.25">
      <c r="A50" s="1970"/>
      <c r="B50" s="2000" t="s">
        <v>781</v>
      </c>
      <c r="C50" s="1971">
        <v>84.367000000000004</v>
      </c>
      <c r="D50" s="1949"/>
      <c r="E50" s="1956" t="s">
        <v>2162</v>
      </c>
      <c r="F50" s="1956"/>
      <c r="G50" s="1972">
        <v>40100</v>
      </c>
      <c r="H50" s="1973"/>
      <c r="I50" s="1986">
        <v>11241</v>
      </c>
      <c r="J50" s="1972"/>
      <c r="K50" s="1972">
        <v>51341</v>
      </c>
      <c r="L50" s="1972"/>
      <c r="M50" s="1972" t="s">
        <v>1230</v>
      </c>
      <c r="N50" s="1978"/>
      <c r="O50" s="1978" t="s">
        <v>1230</v>
      </c>
      <c r="P50" s="1972"/>
      <c r="Q50" s="1974">
        <f>O50+M50+K50</f>
        <v>51341</v>
      </c>
      <c r="R50" s="1978"/>
      <c r="S50" s="1972">
        <v>52113</v>
      </c>
    </row>
    <row r="51" spans="1:19" ht="17.25" customHeight="1" x14ac:dyDescent="0.4">
      <c r="A51" s="1970"/>
      <c r="B51" s="2000" t="s">
        <v>781</v>
      </c>
      <c r="C51" s="1971">
        <v>84.367000000000004</v>
      </c>
      <c r="D51" s="1949"/>
      <c r="E51" s="1956" t="s">
        <v>2163</v>
      </c>
      <c r="F51" s="1956"/>
      <c r="G51" s="1980">
        <v>0</v>
      </c>
      <c r="H51" s="1972"/>
      <c r="I51" s="1980">
        <v>50273</v>
      </c>
      <c r="J51" s="1979"/>
      <c r="K51" s="1980" t="s">
        <v>1230</v>
      </c>
      <c r="L51" s="1979"/>
      <c r="M51" s="1980">
        <v>50273</v>
      </c>
      <c r="N51" s="2001"/>
      <c r="O51" s="1980" t="s">
        <v>1230</v>
      </c>
      <c r="P51" s="1979"/>
      <c r="Q51" s="2002">
        <f>O51+M51+K51</f>
        <v>50273</v>
      </c>
      <c r="R51" s="1978"/>
      <c r="S51" s="1972">
        <v>50273</v>
      </c>
    </row>
    <row r="52" spans="1:19" ht="17.25" customHeight="1" x14ac:dyDescent="0.25">
      <c r="A52" s="1970"/>
      <c r="B52" s="2000"/>
      <c r="C52" s="1971"/>
      <c r="D52" s="1949"/>
      <c r="E52" s="1956"/>
      <c r="F52" s="1956"/>
      <c r="G52" s="1981"/>
      <c r="H52" s="1978"/>
      <c r="I52" s="1979"/>
      <c r="J52" s="1981"/>
      <c r="K52" s="1981"/>
      <c r="L52" s="1981"/>
      <c r="M52" s="1979"/>
      <c r="N52" s="2003"/>
      <c r="O52" s="1981"/>
      <c r="P52" s="1979"/>
      <c r="Q52" s="1977"/>
      <c r="R52" s="1978"/>
      <c r="S52" s="1972"/>
    </row>
    <row r="53" spans="1:19" ht="17.25" customHeight="1" x14ac:dyDescent="0.4">
      <c r="A53" s="1966" t="s">
        <v>2164</v>
      </c>
      <c r="B53" s="1957"/>
      <c r="C53" s="1971"/>
      <c r="D53" s="1949"/>
      <c r="E53" s="1958"/>
      <c r="F53" s="1956"/>
      <c r="G53" s="2004">
        <f>SUM(G41:H51)</f>
        <v>162435</v>
      </c>
      <c r="H53" s="1978"/>
      <c r="I53" s="2004">
        <f>SUM(I41:J51)</f>
        <v>268506</v>
      </c>
      <c r="J53" s="1991"/>
      <c r="K53" s="2004">
        <f>SUM(K41:L51)</f>
        <v>231555</v>
      </c>
      <c r="L53" s="1978"/>
      <c r="M53" s="2004">
        <f>SUM(M41:N51)</f>
        <v>208101</v>
      </c>
      <c r="N53" s="1978"/>
      <c r="O53" s="2004">
        <f>SUM(O41:O51)</f>
        <v>0</v>
      </c>
      <c r="P53" s="2005"/>
      <c r="Q53" s="2004">
        <f>SUM(Q41:R51)</f>
        <v>439656</v>
      </c>
      <c r="R53" s="1978"/>
      <c r="S53" s="1992"/>
    </row>
    <row r="54" spans="1:19" ht="17.25" customHeight="1" x14ac:dyDescent="0.4">
      <c r="A54" s="1966"/>
      <c r="B54" s="1957"/>
      <c r="C54" s="1971"/>
      <c r="D54" s="1949"/>
      <c r="E54" s="1958"/>
      <c r="F54" s="1956"/>
      <c r="G54" s="2004"/>
      <c r="H54" s="1978"/>
      <c r="I54" s="2004"/>
      <c r="J54" s="1991"/>
      <c r="K54" s="2004"/>
      <c r="L54" s="1978"/>
      <c r="M54" s="2004"/>
      <c r="N54" s="1978"/>
      <c r="O54" s="2004"/>
      <c r="P54" s="2005"/>
      <c r="Q54" s="2004"/>
      <c r="R54" s="1978"/>
      <c r="S54" s="1992"/>
    </row>
    <row r="55" spans="1:19" ht="17.25" hidden="1" customHeight="1" x14ac:dyDescent="0.2">
      <c r="A55" s="2006" t="s">
        <v>2165</v>
      </c>
      <c r="B55" s="1948"/>
      <c r="C55" s="1948"/>
      <c r="D55" s="1948"/>
      <c r="E55" s="1948"/>
      <c r="F55" s="1967"/>
      <c r="G55" s="2007"/>
      <c r="H55" s="2007"/>
      <c r="I55" s="2007"/>
      <c r="J55" s="2008"/>
      <c r="K55" s="2007"/>
      <c r="L55" s="2007"/>
      <c r="M55" s="2007"/>
      <c r="N55" s="2007"/>
      <c r="O55" s="2007"/>
      <c r="P55" s="2008"/>
      <c r="Q55" s="2007"/>
      <c r="R55" s="2007"/>
      <c r="S55" s="2007"/>
    </row>
    <row r="56" spans="1:19" ht="5.25" hidden="1" customHeight="1" x14ac:dyDescent="0.2">
      <c r="A56" s="2006"/>
      <c r="B56" s="1948"/>
      <c r="C56" s="1948"/>
      <c r="D56" s="1948"/>
      <c r="E56" s="1948"/>
      <c r="F56" s="1967"/>
      <c r="G56" s="2007"/>
      <c r="H56" s="2007"/>
      <c r="I56" s="2007"/>
      <c r="J56" s="2008"/>
      <c r="K56" s="2007"/>
      <c r="L56" s="2007"/>
      <c r="M56" s="2009"/>
      <c r="N56" s="2007"/>
      <c r="O56" s="2007"/>
      <c r="P56" s="2008"/>
      <c r="Q56" s="2010"/>
      <c r="R56" s="2007"/>
      <c r="S56" s="2007"/>
    </row>
    <row r="57" spans="1:19" ht="17.25" hidden="1" customHeight="1" x14ac:dyDescent="0.2">
      <c r="A57" s="2011"/>
      <c r="B57" s="1948" t="s">
        <v>2166</v>
      </c>
      <c r="C57" s="2012">
        <v>84.027000000000001</v>
      </c>
      <c r="D57" s="1948"/>
      <c r="E57" s="1948" t="s">
        <v>2167</v>
      </c>
      <c r="F57" s="1967"/>
      <c r="G57" s="2007"/>
      <c r="H57" s="2007"/>
      <c r="I57" s="2013"/>
      <c r="J57" s="2014"/>
      <c r="K57" s="2015"/>
      <c r="L57" s="2013"/>
      <c r="M57" s="2015">
        <v>0</v>
      </c>
      <c r="N57" s="2013"/>
      <c r="O57" s="2013" t="s">
        <v>1230</v>
      </c>
      <c r="P57" s="2014"/>
      <c r="Q57" s="2016">
        <f>O57+M57+K57</f>
        <v>0</v>
      </c>
      <c r="R57" s="2013"/>
      <c r="S57" s="2013">
        <v>11909</v>
      </c>
    </row>
    <row r="58" spans="1:19" ht="17.25" hidden="1" customHeight="1" x14ac:dyDescent="0.2">
      <c r="A58" s="2011"/>
      <c r="B58" s="1948" t="s">
        <v>2166</v>
      </c>
      <c r="C58" s="2012">
        <v>84.027000000000001</v>
      </c>
      <c r="D58" s="1948"/>
      <c r="E58" s="1948" t="s">
        <v>2168</v>
      </c>
      <c r="F58" s="1967"/>
      <c r="G58" s="2017">
        <v>0</v>
      </c>
      <c r="H58" s="2007"/>
      <c r="I58" s="2018">
        <v>0</v>
      </c>
      <c r="J58" s="2014"/>
      <c r="K58" s="2019">
        <v>0</v>
      </c>
      <c r="L58" s="2013"/>
      <c r="M58" s="2019">
        <v>0</v>
      </c>
      <c r="N58" s="2013"/>
      <c r="O58" s="2018">
        <v>0</v>
      </c>
      <c r="P58" s="2014"/>
      <c r="Q58" s="2020">
        <f>O58+M58+K58</f>
        <v>0</v>
      </c>
      <c r="R58" s="2013"/>
      <c r="S58" s="2021">
        <v>11909</v>
      </c>
    </row>
    <row r="59" spans="1:19" ht="17.25" hidden="1" customHeight="1" x14ac:dyDescent="0.2">
      <c r="A59" s="2022" t="s">
        <v>2169</v>
      </c>
      <c r="B59" s="2023"/>
      <c r="C59" s="2012"/>
      <c r="D59" s="1948"/>
      <c r="E59" s="1967"/>
      <c r="F59" s="1967"/>
      <c r="G59" s="2009">
        <f>SUM(G56:G58)</f>
        <v>0</v>
      </c>
      <c r="H59" s="2007"/>
      <c r="I59" s="2009">
        <f>SUM(I56:I58)</f>
        <v>0</v>
      </c>
      <c r="J59" s="2008"/>
      <c r="K59" s="2009">
        <f>SUM(K56:K58)</f>
        <v>0</v>
      </c>
      <c r="L59" s="2007"/>
      <c r="M59" s="2009">
        <f>SUM(M56:M58)</f>
        <v>0</v>
      </c>
      <c r="N59" s="2007"/>
      <c r="O59" s="2009">
        <f>SUM(O56:O58)</f>
        <v>0</v>
      </c>
      <c r="P59" s="2024"/>
      <c r="Q59" s="2009">
        <f>SUM(Q56:Q58)</f>
        <v>0</v>
      </c>
      <c r="R59" s="2007"/>
      <c r="S59" s="2025"/>
    </row>
    <row r="60" spans="1:19" ht="17.25" customHeight="1" x14ac:dyDescent="0.4">
      <c r="A60" s="1966"/>
      <c r="B60" s="1957"/>
      <c r="C60" s="1971"/>
      <c r="D60" s="1949"/>
      <c r="E60" s="1958"/>
      <c r="F60" s="1956"/>
      <c r="G60" s="2004"/>
      <c r="H60" s="1978"/>
      <c r="I60" s="2004"/>
      <c r="J60" s="1991"/>
      <c r="K60" s="2004"/>
      <c r="L60" s="1978"/>
      <c r="M60" s="2004"/>
      <c r="N60" s="1978"/>
      <c r="O60" s="2004"/>
      <c r="P60" s="2005"/>
      <c r="Q60" s="2004"/>
      <c r="R60" s="1978"/>
      <c r="S60" s="1992"/>
    </row>
    <row r="61" spans="1:19" ht="17.25" hidden="1" customHeight="1" x14ac:dyDescent="0.25">
      <c r="A61" s="1966" t="s">
        <v>2135</v>
      </c>
      <c r="B61" s="1957"/>
      <c r="C61" s="1971"/>
      <c r="D61" s="1949"/>
      <c r="E61" s="1956"/>
      <c r="F61" s="1956"/>
      <c r="G61" s="1979"/>
      <c r="H61" s="1972"/>
      <c r="I61" s="1979"/>
      <c r="J61" s="1981"/>
      <c r="K61" s="1981"/>
      <c r="L61" s="1981"/>
      <c r="M61" s="1979"/>
      <c r="N61" s="1981"/>
      <c r="O61" s="1981"/>
      <c r="P61" s="1979"/>
      <c r="Q61" s="1974"/>
      <c r="R61" s="1978"/>
      <c r="S61" s="1992"/>
    </row>
    <row r="62" spans="1:19" ht="17.25" hidden="1" customHeight="1" x14ac:dyDescent="0.25">
      <c r="A62" s="1966" t="s">
        <v>2170</v>
      </c>
      <c r="B62" s="1957"/>
      <c r="C62" s="1971" t="s">
        <v>1230</v>
      </c>
      <c r="D62" s="1949"/>
      <c r="E62" s="1956" t="s">
        <v>1230</v>
      </c>
      <c r="F62" s="1956"/>
      <c r="G62" s="1979"/>
      <c r="H62" s="1972"/>
      <c r="I62" s="1979"/>
      <c r="J62" s="1981"/>
      <c r="K62" s="1981"/>
      <c r="L62" s="1981"/>
      <c r="M62" s="1979"/>
      <c r="N62" s="1981"/>
      <c r="O62" s="1981"/>
      <c r="P62" s="1979"/>
      <c r="Q62" s="1974"/>
      <c r="R62" s="1978"/>
      <c r="S62" s="1992"/>
    </row>
    <row r="63" spans="1:19" ht="17.25" hidden="1" customHeight="1" x14ac:dyDescent="0.25">
      <c r="A63" s="1966"/>
      <c r="B63" s="1957" t="s">
        <v>2171</v>
      </c>
      <c r="C63" s="1971">
        <v>84.02</v>
      </c>
      <c r="D63" s="1949"/>
      <c r="E63" s="1956" t="s">
        <v>2172</v>
      </c>
      <c r="F63" s="1956"/>
      <c r="G63" s="1979"/>
      <c r="H63" s="1972"/>
      <c r="I63" s="1979"/>
      <c r="J63" s="1981"/>
      <c r="K63" s="1981"/>
      <c r="L63" s="1981"/>
      <c r="M63" s="1979"/>
      <c r="N63" s="1981"/>
      <c r="O63" s="1981"/>
      <c r="P63" s="1979"/>
      <c r="Q63" s="1974">
        <f>O63+M63+K63</f>
        <v>0</v>
      </c>
      <c r="R63" s="1978"/>
      <c r="S63" s="1978"/>
    </row>
    <row r="64" spans="1:19" ht="17.25" hidden="1" customHeight="1" x14ac:dyDescent="0.4">
      <c r="A64" s="1970"/>
      <c r="B64" s="1957" t="s">
        <v>2171</v>
      </c>
      <c r="C64" s="1971">
        <v>84.02</v>
      </c>
      <c r="D64" s="1949"/>
      <c r="E64" s="1956" t="s">
        <v>2173</v>
      </c>
      <c r="F64" s="1956"/>
      <c r="G64" s="1980">
        <v>0</v>
      </c>
      <c r="H64" s="1972"/>
      <c r="I64" s="1980">
        <v>0</v>
      </c>
      <c r="J64" s="1979"/>
      <c r="K64" s="1980" t="s">
        <v>1230</v>
      </c>
      <c r="L64" s="1979"/>
      <c r="M64" s="1980">
        <v>0</v>
      </c>
      <c r="N64" s="2001"/>
      <c r="O64" s="1980" t="s">
        <v>1230</v>
      </c>
      <c r="P64" s="1979"/>
      <c r="Q64" s="2002">
        <f>O64+M64+K64</f>
        <v>0</v>
      </c>
      <c r="R64" s="1978"/>
      <c r="S64" s="1978"/>
    </row>
    <row r="65" spans="1:19" ht="17.25" hidden="1" customHeight="1" x14ac:dyDescent="0.4">
      <c r="A65" s="1970"/>
      <c r="B65" s="2026"/>
      <c r="C65" s="1971"/>
      <c r="D65" s="1949"/>
      <c r="E65" s="2027"/>
      <c r="F65" s="1956"/>
      <c r="G65" s="1982"/>
      <c r="H65" s="1978"/>
      <c r="I65" s="1980"/>
      <c r="J65" s="1981"/>
      <c r="K65" s="1982"/>
      <c r="L65" s="1981"/>
      <c r="M65" s="1980"/>
      <c r="N65" s="2003"/>
      <c r="O65" s="1982"/>
      <c r="P65" s="1979"/>
      <c r="Q65" s="1995"/>
      <c r="R65" s="1978"/>
      <c r="S65" s="1992"/>
    </row>
    <row r="66" spans="1:19" ht="17.25" customHeight="1" x14ac:dyDescent="0.4">
      <c r="A66" s="1966" t="s">
        <v>2135</v>
      </c>
      <c r="B66" s="1949"/>
      <c r="C66" s="2028"/>
      <c r="D66" s="1949"/>
      <c r="E66" s="1958"/>
      <c r="F66" s="1956"/>
      <c r="G66" s="2004"/>
      <c r="H66" s="1978"/>
      <c r="I66" s="2004"/>
      <c r="J66" s="1991"/>
      <c r="K66" s="2004"/>
      <c r="L66" s="1978"/>
      <c r="M66" s="2004"/>
      <c r="N66" s="2004"/>
      <c r="O66" s="2004"/>
      <c r="P66" s="1978"/>
      <c r="Q66" s="1995"/>
      <c r="R66" s="1978"/>
      <c r="S66" s="1992"/>
    </row>
    <row r="67" spans="1:19" ht="17.25" customHeight="1" x14ac:dyDescent="0.4">
      <c r="A67" s="1969" t="s">
        <v>2174</v>
      </c>
      <c r="B67" s="1949"/>
      <c r="C67" s="2028"/>
      <c r="D67" s="1949"/>
      <c r="E67" s="1949"/>
      <c r="F67" s="1956"/>
      <c r="G67" s="1995"/>
      <c r="H67" s="1995"/>
      <c r="I67" s="1995"/>
      <c r="J67" s="1995"/>
      <c r="K67" s="1995"/>
      <c r="L67" s="1995"/>
      <c r="M67" s="1995"/>
      <c r="N67" s="1995"/>
      <c r="O67" s="1995"/>
      <c r="P67" s="1995"/>
      <c r="Q67" s="1995"/>
      <c r="R67" s="2029"/>
      <c r="S67" s="2029"/>
    </row>
    <row r="68" spans="1:19" ht="17.25" customHeight="1" x14ac:dyDescent="0.4">
      <c r="A68" s="1969"/>
      <c r="B68" s="1949" t="s">
        <v>2175</v>
      </c>
      <c r="C68" s="2028">
        <v>84.126000000000005</v>
      </c>
      <c r="D68" s="1949"/>
      <c r="E68" s="2030" t="s">
        <v>2176</v>
      </c>
      <c r="F68" s="1956"/>
      <c r="G68" s="2031">
        <v>59727</v>
      </c>
      <c r="H68" s="2002"/>
      <c r="I68" s="2031">
        <v>0</v>
      </c>
      <c r="J68" s="2002"/>
      <c r="K68" s="1977">
        <v>59727</v>
      </c>
      <c r="L68" s="2002"/>
      <c r="M68" s="1977">
        <v>0</v>
      </c>
      <c r="N68" s="2002"/>
      <c r="O68" s="2002"/>
      <c r="P68" s="2002"/>
      <c r="Q68" s="1977">
        <f>O68+M68+K68</f>
        <v>59727</v>
      </c>
      <c r="R68" s="2029"/>
      <c r="S68" s="2032">
        <v>59727</v>
      </c>
    </row>
    <row r="69" spans="1:19" ht="17.25" customHeight="1" x14ac:dyDescent="0.4">
      <c r="A69" s="1969"/>
      <c r="B69" s="1949" t="s">
        <v>2175</v>
      </c>
      <c r="C69" s="2028">
        <v>84.126000000000005</v>
      </c>
      <c r="D69" s="1949"/>
      <c r="E69" s="2033" t="s">
        <v>2177</v>
      </c>
      <c r="F69" s="1956"/>
      <c r="G69" s="2002" t="s">
        <v>1230</v>
      </c>
      <c r="H69" s="2002"/>
      <c r="I69" s="2034">
        <v>74743</v>
      </c>
      <c r="J69" s="2002"/>
      <c r="K69" s="2002">
        <v>0</v>
      </c>
      <c r="L69" s="2002"/>
      <c r="M69" s="2034">
        <v>78751</v>
      </c>
      <c r="N69" s="2002"/>
      <c r="O69" s="2002">
        <v>0</v>
      </c>
      <c r="P69" s="2002"/>
      <c r="Q69" s="2002">
        <f>O69+M69+K69</f>
        <v>78751</v>
      </c>
      <c r="R69" s="2029"/>
      <c r="S69" s="2032">
        <v>78751</v>
      </c>
    </row>
    <row r="70" spans="1:19" ht="17.25" customHeight="1" x14ac:dyDescent="0.4">
      <c r="A70" s="1966" t="s">
        <v>2178</v>
      </c>
      <c r="B70" s="1949"/>
      <c r="C70" s="2028"/>
      <c r="D70" s="1949"/>
      <c r="E70" s="2030" t="s">
        <v>1230</v>
      </c>
      <c r="F70" s="1956"/>
      <c r="G70" s="2002">
        <f>SUM(G68:G69)</f>
        <v>59727</v>
      </c>
      <c r="H70" s="2002" t="s">
        <v>1230</v>
      </c>
      <c r="I70" s="2002">
        <f>SUM(I68:I69)</f>
        <v>74743</v>
      </c>
      <c r="J70" s="2002"/>
      <c r="K70" s="2002">
        <f>SUM(K68:K69)</f>
        <v>59727</v>
      </c>
      <c r="L70" s="2002" t="s">
        <v>1230</v>
      </c>
      <c r="M70" s="2002">
        <f>SUM(M68:M69)</f>
        <v>78751</v>
      </c>
      <c r="N70" s="2002"/>
      <c r="O70" s="2002" t="s">
        <v>2179</v>
      </c>
      <c r="P70" s="2002"/>
      <c r="Q70" s="2002">
        <f>SUM(Q68:Q69)</f>
        <v>138478</v>
      </c>
      <c r="R70" s="2029"/>
      <c r="S70" s="2029" t="s">
        <v>1230</v>
      </c>
    </row>
    <row r="71" spans="1:19" ht="17.25" customHeight="1" x14ac:dyDescent="0.4">
      <c r="A71" s="1956"/>
      <c r="B71" s="1957"/>
      <c r="C71" s="1971"/>
      <c r="D71" s="1949"/>
      <c r="E71" s="1956"/>
      <c r="F71" s="1956"/>
      <c r="G71" s="2004"/>
      <c r="H71" s="1978"/>
      <c r="I71" s="2004"/>
      <c r="J71" s="1991"/>
      <c r="K71" s="2004"/>
      <c r="L71" s="1978"/>
      <c r="M71" s="2004"/>
      <c r="N71" s="1978"/>
      <c r="O71" s="2004"/>
      <c r="P71" s="1978"/>
      <c r="Q71" s="1995"/>
      <c r="R71" s="1978"/>
      <c r="S71" s="1992"/>
    </row>
    <row r="72" spans="1:19" ht="17.25" customHeight="1" x14ac:dyDescent="0.4">
      <c r="A72" s="1969" t="s">
        <v>2180</v>
      </c>
      <c r="B72" s="1949"/>
      <c r="C72" s="2028"/>
      <c r="D72" s="1949"/>
      <c r="E72" s="1949"/>
      <c r="F72" s="1956"/>
      <c r="G72" s="1995">
        <f>SUM(G53,G63,G70)</f>
        <v>222162</v>
      </c>
      <c r="H72" s="1995"/>
      <c r="I72" s="1995">
        <f>SUM(I53,I70,I64,I58)</f>
        <v>343249</v>
      </c>
      <c r="J72" s="1974" t="s">
        <v>1230</v>
      </c>
      <c r="K72" s="1995">
        <f>SUM(K53,K63,K70)</f>
        <v>291282</v>
      </c>
      <c r="L72" s="1974" t="s">
        <v>1230</v>
      </c>
      <c r="M72" s="1995">
        <f>SUM(M53,M70,M64,M58)</f>
        <v>286852</v>
      </c>
      <c r="N72" s="1974" t="s">
        <v>1230</v>
      </c>
      <c r="O72" s="1995">
        <f>SUM(O53,O70)</f>
        <v>0</v>
      </c>
      <c r="P72" s="1974" t="s">
        <v>1230</v>
      </c>
      <c r="Q72" s="1995">
        <f>SUM(Q53,Q70,Q64,Q58)</f>
        <v>578134</v>
      </c>
      <c r="R72" s="1995"/>
      <c r="S72" s="2029" t="s">
        <v>1230</v>
      </c>
    </row>
    <row r="73" spans="1:19" ht="17.25" customHeight="1" x14ac:dyDescent="0.4">
      <c r="A73" s="1969"/>
      <c r="B73" s="1949"/>
      <c r="C73" s="2028"/>
      <c r="D73" s="1949"/>
      <c r="E73" s="1949"/>
      <c r="F73" s="1956"/>
      <c r="G73" s="1995"/>
      <c r="H73" s="1995"/>
      <c r="I73" s="1995"/>
      <c r="J73" s="1995"/>
      <c r="K73" s="1995"/>
      <c r="L73" s="1995"/>
      <c r="M73" s="1995"/>
      <c r="N73" s="1995"/>
      <c r="O73" s="1995"/>
      <c r="P73" s="1995"/>
      <c r="Q73" s="1995"/>
      <c r="R73" s="2029"/>
      <c r="S73" s="2032"/>
    </row>
    <row r="74" spans="1:19" ht="17.25" customHeight="1" x14ac:dyDescent="0.4">
      <c r="A74" s="1969" t="s">
        <v>2181</v>
      </c>
      <c r="B74" s="1949"/>
      <c r="P74" s="1995"/>
      <c r="Q74" s="1995"/>
      <c r="R74" s="2029"/>
      <c r="S74" s="2037"/>
    </row>
    <row r="75" spans="1:19" ht="10.15" hidden="1" customHeight="1" x14ac:dyDescent="0.4">
      <c r="A75" s="1969"/>
      <c r="B75" s="1949"/>
      <c r="C75" s="2028"/>
      <c r="D75" s="1949"/>
      <c r="E75" s="1949"/>
      <c r="F75" s="1956"/>
      <c r="G75" s="1995"/>
      <c r="H75" s="1995"/>
      <c r="I75" s="1995"/>
      <c r="J75" s="1995"/>
      <c r="K75" s="1995"/>
      <c r="L75" s="1995"/>
      <c r="M75" s="1995"/>
      <c r="N75" s="1995"/>
      <c r="O75" s="1995"/>
      <c r="P75" s="1995"/>
      <c r="Q75" s="1995"/>
      <c r="R75" s="2029"/>
      <c r="S75" s="2029"/>
    </row>
    <row r="76" spans="1:19" ht="17.25" hidden="1" customHeight="1" x14ac:dyDescent="0.4">
      <c r="A76" s="1969" t="s">
        <v>2174</v>
      </c>
      <c r="B76" s="1949"/>
      <c r="C76" s="2028"/>
      <c r="D76" s="1949"/>
      <c r="E76" s="1949"/>
      <c r="F76" s="1956"/>
      <c r="G76" s="1995"/>
      <c r="H76" s="1995"/>
      <c r="I76" s="1995"/>
      <c r="J76" s="1995"/>
      <c r="K76" s="1995"/>
      <c r="L76" s="1995"/>
      <c r="M76" s="1995"/>
      <c r="N76" s="1995"/>
      <c r="O76" s="1995"/>
      <c r="P76" s="1995"/>
      <c r="Q76" s="1995"/>
      <c r="R76" s="2029"/>
      <c r="S76" s="2029"/>
    </row>
    <row r="77" spans="1:19" ht="17.25" hidden="1" customHeight="1" x14ac:dyDescent="0.4">
      <c r="A77" s="1969"/>
      <c r="B77" s="1949"/>
      <c r="C77" s="2028"/>
      <c r="D77" s="1949"/>
      <c r="E77" s="2030"/>
      <c r="F77" s="1956"/>
      <c r="G77" s="2031"/>
      <c r="H77" s="2002"/>
      <c r="I77" s="2031"/>
      <c r="J77" s="2002"/>
      <c r="K77" s="1977"/>
      <c r="L77" s="2002"/>
      <c r="M77" s="1977"/>
      <c r="N77" s="2002"/>
      <c r="O77" s="2002"/>
      <c r="P77" s="2002"/>
      <c r="Q77" s="1977">
        <f>O77+M77+K77</f>
        <v>0</v>
      </c>
      <c r="R77" s="2029"/>
      <c r="S77" s="2032"/>
    </row>
    <row r="78" spans="1:19" ht="17.25" hidden="1" customHeight="1" x14ac:dyDescent="0.4">
      <c r="A78" s="1969"/>
      <c r="B78" s="1949"/>
      <c r="C78" s="2028"/>
      <c r="D78" s="1949"/>
      <c r="E78" s="2030"/>
      <c r="F78" s="1956"/>
      <c r="G78" s="2002"/>
      <c r="H78" s="2002"/>
      <c r="I78" s="2002"/>
      <c r="J78" s="2002"/>
      <c r="K78" s="2002"/>
      <c r="L78" s="2002"/>
      <c r="M78" s="2002"/>
      <c r="N78" s="2002"/>
      <c r="O78" s="2002">
        <v>0</v>
      </c>
      <c r="P78" s="2002"/>
      <c r="Q78" s="2002">
        <f>O78+M78+K78</f>
        <v>0</v>
      </c>
      <c r="R78" s="2029"/>
      <c r="S78" s="2032"/>
    </row>
    <row r="79" spans="1:19" ht="17.25" hidden="1" customHeight="1" x14ac:dyDescent="0.4">
      <c r="A79" s="1966" t="s">
        <v>2178</v>
      </c>
      <c r="B79" s="1949"/>
      <c r="C79" s="2028"/>
      <c r="D79" s="1949"/>
      <c r="E79" s="2030" t="s">
        <v>1230</v>
      </c>
      <c r="F79" s="1956"/>
      <c r="G79" s="2002">
        <f>SUM(G77:G78)</f>
        <v>0</v>
      </c>
      <c r="H79" s="2002" t="s">
        <v>1230</v>
      </c>
      <c r="I79" s="2002">
        <f>SUM(I77:I78)</f>
        <v>0</v>
      </c>
      <c r="J79" s="2002"/>
      <c r="K79" s="2002">
        <f>SUM(K77:K78)</f>
        <v>0</v>
      </c>
      <c r="L79" s="2002" t="s">
        <v>1230</v>
      </c>
      <c r="M79" s="2002">
        <f>SUM(M77:M78)</f>
        <v>0</v>
      </c>
      <c r="N79" s="2002"/>
      <c r="O79" s="2002" t="s">
        <v>2179</v>
      </c>
      <c r="P79" s="2002"/>
      <c r="Q79" s="2002">
        <f>SUM(Q77:Q78)</f>
        <v>0</v>
      </c>
      <c r="R79" s="2029"/>
      <c r="S79" s="2029" t="s">
        <v>1230</v>
      </c>
    </row>
    <row r="80" spans="1:19" ht="12" hidden="1" customHeight="1" x14ac:dyDescent="0.4">
      <c r="A80" s="1969"/>
      <c r="B80" s="1949"/>
      <c r="C80" s="2028"/>
      <c r="D80" s="1949"/>
      <c r="E80" s="1949"/>
      <c r="F80" s="1956"/>
      <c r="G80" s="1995"/>
      <c r="H80" s="1995"/>
      <c r="I80" s="1995"/>
      <c r="J80" s="1995"/>
      <c r="K80" s="1995"/>
      <c r="L80" s="1995"/>
      <c r="M80" s="1995"/>
      <c r="N80" s="1995"/>
      <c r="O80" s="1995"/>
      <c r="P80" s="1995"/>
      <c r="Q80" s="1995"/>
      <c r="R80" s="2029"/>
      <c r="S80" s="2029"/>
    </row>
    <row r="81" spans="1:19" ht="17.25" customHeight="1" x14ac:dyDescent="0.4">
      <c r="A81" s="1966" t="s">
        <v>2135</v>
      </c>
      <c r="B81" s="1957"/>
      <c r="C81" s="2035"/>
      <c r="D81" s="2033"/>
      <c r="E81" s="2033"/>
      <c r="F81" s="1956"/>
      <c r="G81" s="1995"/>
      <c r="H81" s="1995"/>
      <c r="I81" s="1995"/>
      <c r="J81" s="1995"/>
      <c r="K81" s="1995"/>
      <c r="L81" s="1995"/>
      <c r="M81" s="1995"/>
      <c r="N81" s="1995"/>
      <c r="O81" s="1995"/>
      <c r="P81" s="1995"/>
      <c r="Q81" s="1995"/>
      <c r="R81" s="2029"/>
      <c r="S81" s="2029"/>
    </row>
    <row r="82" spans="1:19" s="2038" customFormat="1" ht="17.25" customHeight="1" x14ac:dyDescent="0.4">
      <c r="A82" s="1966" t="s">
        <v>2182</v>
      </c>
      <c r="B82" s="1957"/>
      <c r="C82" s="2035"/>
      <c r="D82" s="2033"/>
      <c r="E82" s="2033"/>
      <c r="F82" s="1956"/>
      <c r="G82" s="1974"/>
      <c r="H82" s="1974"/>
      <c r="I82" s="1974"/>
      <c r="J82" s="1974"/>
      <c r="K82" s="1974"/>
      <c r="L82" s="1974"/>
      <c r="M82" s="1974"/>
      <c r="N82" s="1995"/>
      <c r="O82" s="1995"/>
      <c r="P82" s="1995"/>
      <c r="Q82" s="1995"/>
      <c r="R82" s="2029"/>
      <c r="S82" s="2029"/>
    </row>
    <row r="83" spans="1:19" s="2038" customFormat="1" ht="17.25" customHeight="1" x14ac:dyDescent="0.4">
      <c r="A83" s="1966"/>
      <c r="B83" s="1957" t="s">
        <v>2183</v>
      </c>
      <c r="C83" s="1971">
        <v>93.778000000000006</v>
      </c>
      <c r="D83" s="1949"/>
      <c r="E83" s="2030" t="s">
        <v>2184</v>
      </c>
      <c r="F83" s="1956"/>
      <c r="G83" s="1974">
        <v>11913</v>
      </c>
      <c r="H83" s="1974"/>
      <c r="I83" s="1977">
        <v>2201</v>
      </c>
      <c r="J83" s="1977"/>
      <c r="K83" s="1977">
        <v>14702</v>
      </c>
      <c r="L83" s="1977"/>
      <c r="M83" s="1977"/>
      <c r="N83" s="1995"/>
      <c r="O83" s="1995"/>
      <c r="P83" s="1995"/>
      <c r="Q83" s="1974">
        <f>O83+M83+K83</f>
        <v>14702</v>
      </c>
      <c r="R83" s="2029"/>
      <c r="S83" s="1992" t="s">
        <v>2139</v>
      </c>
    </row>
    <row r="84" spans="1:19" s="2038" customFormat="1" ht="17.25" customHeight="1" x14ac:dyDescent="0.4">
      <c r="A84" s="1966"/>
      <c r="B84" s="1957" t="s">
        <v>2183</v>
      </c>
      <c r="C84" s="1971">
        <v>93.778000000000006</v>
      </c>
      <c r="D84" s="1949"/>
      <c r="E84" s="2030" t="s">
        <v>2185</v>
      </c>
      <c r="F84" s="1976"/>
      <c r="G84" s="2039">
        <v>0</v>
      </c>
      <c r="H84" s="2002"/>
      <c r="I84" s="1977">
        <v>8125</v>
      </c>
      <c r="J84" s="2002"/>
      <c r="K84" s="2039">
        <v>0</v>
      </c>
      <c r="L84" s="2002"/>
      <c r="M84" s="2039">
        <v>12142</v>
      </c>
      <c r="N84" s="2002"/>
      <c r="O84" s="1995"/>
      <c r="P84" s="1995"/>
      <c r="Q84" s="2040">
        <f>O84+M84+K84</f>
        <v>12142</v>
      </c>
      <c r="R84" s="2029"/>
      <c r="S84" s="1992" t="s">
        <v>2139</v>
      </c>
    </row>
    <row r="85" spans="1:19" s="2038" customFormat="1" ht="16.899999999999999" customHeight="1" x14ac:dyDescent="0.4">
      <c r="A85" s="1966"/>
      <c r="B85" s="1957"/>
      <c r="C85" s="2028"/>
      <c r="D85" s="1949"/>
      <c r="E85" s="1949"/>
      <c r="F85" s="1956"/>
      <c r="G85" s="2041">
        <f>SUM(G83:G84)</f>
        <v>11913</v>
      </c>
      <c r="H85" s="1995"/>
      <c r="I85" s="2041">
        <f>SUM(I83:I84)</f>
        <v>10326</v>
      </c>
      <c r="J85" s="2002"/>
      <c r="K85" s="2041">
        <f>SUM(K83:K84)</f>
        <v>14702</v>
      </c>
      <c r="L85" s="2002"/>
      <c r="M85" s="2041">
        <f>SUM(M83:M84)</f>
        <v>12142</v>
      </c>
      <c r="N85" s="1995"/>
      <c r="O85" s="2041">
        <f>SUM(O83:O84)</f>
        <v>0</v>
      </c>
      <c r="P85" s="1995"/>
      <c r="Q85" s="2041">
        <f>SUM(Q83:Q84)</f>
        <v>26844</v>
      </c>
      <c r="R85" s="2029"/>
      <c r="S85" s="2029"/>
    </row>
    <row r="86" spans="1:19" s="2038" customFormat="1" ht="8.4499999999999993" customHeight="1" x14ac:dyDescent="0.25">
      <c r="A86" s="1956"/>
      <c r="B86" s="1957"/>
      <c r="C86" s="1971"/>
      <c r="D86" s="1949"/>
      <c r="E86" s="1958"/>
      <c r="F86" s="1956"/>
      <c r="G86" s="1978"/>
      <c r="H86" s="1978"/>
      <c r="I86" s="1978"/>
      <c r="J86" s="1991"/>
      <c r="K86" s="1978"/>
      <c r="L86" s="1978"/>
      <c r="M86" s="1978"/>
      <c r="N86" s="1978"/>
      <c r="O86" s="1978"/>
      <c r="P86" s="1978"/>
      <c r="Q86" s="1974"/>
      <c r="R86" s="1978"/>
      <c r="S86" s="1992"/>
    </row>
    <row r="87" spans="1:19" s="2038" customFormat="1" ht="17.25" customHeight="1" x14ac:dyDescent="0.4">
      <c r="A87" s="2042" t="s">
        <v>2186</v>
      </c>
      <c r="B87" s="1957"/>
      <c r="C87" s="1971"/>
      <c r="D87" s="1949"/>
      <c r="E87" s="1958"/>
      <c r="F87" s="1956"/>
      <c r="G87" s="1995">
        <f>+G79+G85</f>
        <v>11913</v>
      </c>
      <c r="H87" s="1978"/>
      <c r="I87" s="1995">
        <f>+I79+I85</f>
        <v>10326</v>
      </c>
      <c r="J87" s="1991"/>
      <c r="K87" s="1995">
        <f>+K79+K85</f>
        <v>14702</v>
      </c>
      <c r="L87" s="1978"/>
      <c r="M87" s="1995">
        <f>+M79+M85</f>
        <v>12142</v>
      </c>
      <c r="N87" s="1978"/>
      <c r="O87" s="1995">
        <f>SUM(O83:O85)</f>
        <v>0</v>
      </c>
      <c r="P87" s="1978"/>
      <c r="Q87" s="1995">
        <f>+Q79+Q85</f>
        <v>26844</v>
      </c>
      <c r="R87" s="1978"/>
      <c r="S87" s="1992"/>
    </row>
    <row r="88" spans="1:19" ht="12.6" customHeight="1" x14ac:dyDescent="0.4">
      <c r="A88" s="1956"/>
      <c r="B88" s="1949"/>
      <c r="C88" s="1949"/>
      <c r="D88" s="1949"/>
      <c r="E88" s="1949"/>
      <c r="F88" s="1956"/>
      <c r="G88" s="2004"/>
      <c r="H88" s="1949"/>
      <c r="I88" s="1949"/>
      <c r="J88" s="1956"/>
      <c r="K88" s="1949"/>
      <c r="L88" s="1949"/>
      <c r="M88" s="1949"/>
      <c r="N88" s="1949"/>
      <c r="O88" s="1949"/>
      <c r="P88" s="1949"/>
      <c r="Q88" s="1949"/>
      <c r="R88" s="1949"/>
      <c r="S88" s="1949"/>
    </row>
    <row r="89" spans="1:19" ht="17.25" customHeight="1" x14ac:dyDescent="0.4">
      <c r="A89" s="1966" t="s">
        <v>2187</v>
      </c>
      <c r="B89" s="1949"/>
      <c r="C89" s="1949"/>
      <c r="D89" s="1949"/>
      <c r="E89" s="2043"/>
      <c r="F89" s="1956"/>
      <c r="G89" s="2044">
        <f>G36+G72+G87</f>
        <v>551875</v>
      </c>
      <c r="H89" s="2044"/>
      <c r="I89" s="2044">
        <f>I36+I72+I87</f>
        <v>751199</v>
      </c>
      <c r="J89" s="2044"/>
      <c r="K89" s="2044">
        <f>K36+K72+K87</f>
        <v>718489</v>
      </c>
      <c r="L89" s="2044"/>
      <c r="M89" s="2044">
        <f>M36+M72+M87</f>
        <v>785866</v>
      </c>
      <c r="N89" s="2044"/>
      <c r="O89" s="2044">
        <f>O36+O72+O87</f>
        <v>0</v>
      </c>
      <c r="P89" s="2044"/>
      <c r="Q89" s="2044">
        <f>Q36+Q72+Q87</f>
        <v>1504355</v>
      </c>
      <c r="R89" s="1949"/>
      <c r="S89" s="1949"/>
    </row>
    <row r="90" spans="1:19" ht="17.25" customHeight="1" x14ac:dyDescent="0.25">
      <c r="A90" s="1956"/>
      <c r="B90" s="1949"/>
      <c r="C90" s="1949"/>
      <c r="D90" s="1949"/>
      <c r="E90" s="1949"/>
      <c r="F90" s="1956"/>
      <c r="G90" s="1949"/>
      <c r="H90" s="1949"/>
      <c r="I90" s="1949"/>
      <c r="J90" s="1956"/>
      <c r="K90" s="1949"/>
      <c r="L90" s="1949"/>
      <c r="M90" s="1949"/>
      <c r="N90" s="1949"/>
      <c r="O90" s="1949"/>
      <c r="P90" s="1949"/>
      <c r="Q90" s="1949"/>
      <c r="R90" s="1949"/>
      <c r="S90" s="1949"/>
    </row>
    <row r="91" spans="1:19" ht="17.25" hidden="1" customHeight="1" thickBot="1" x14ac:dyDescent="0.3">
      <c r="A91" s="1956"/>
      <c r="B91" s="1949"/>
      <c r="C91" s="1949"/>
      <c r="D91" s="1949"/>
      <c r="E91" s="1949"/>
      <c r="F91" s="1956"/>
      <c r="G91" s="1949"/>
      <c r="H91" s="1949"/>
      <c r="I91" s="1949"/>
      <c r="J91" s="1956"/>
      <c r="K91" s="1949"/>
      <c r="L91" s="1949"/>
      <c r="M91" s="1949"/>
      <c r="N91" s="1949"/>
      <c r="O91" s="1949"/>
      <c r="P91" s="1949"/>
      <c r="Q91" s="1949"/>
      <c r="R91" s="1949"/>
      <c r="S91" s="1949"/>
    </row>
    <row r="92" spans="1:19" ht="17.25" customHeight="1" x14ac:dyDescent="0.25">
      <c r="A92" s="1956"/>
      <c r="B92" s="1949"/>
      <c r="C92" s="1949"/>
      <c r="D92" s="1949"/>
      <c r="E92" s="1949"/>
      <c r="F92" s="1956"/>
      <c r="G92" s="1949"/>
      <c r="H92" s="1949"/>
      <c r="I92" s="1949"/>
      <c r="J92" s="1956"/>
      <c r="K92" s="1949"/>
      <c r="L92" s="1949"/>
      <c r="M92" s="1949"/>
      <c r="N92" s="1949"/>
      <c r="O92" s="1949"/>
      <c r="P92" s="1949"/>
      <c r="Q92" s="1949"/>
      <c r="R92" s="1949"/>
      <c r="S92" s="1949"/>
    </row>
    <row r="93" spans="1:19" ht="17.25" customHeight="1" x14ac:dyDescent="0.25">
      <c r="A93" s="1969" t="s">
        <v>2188</v>
      </c>
      <c r="B93" s="1949"/>
      <c r="C93" s="1949"/>
      <c r="D93" s="1949"/>
      <c r="E93" s="1949"/>
      <c r="F93" s="1956"/>
      <c r="G93" s="1974">
        <f>+G36+G53</f>
        <v>480235</v>
      </c>
      <c r="H93" s="1974"/>
      <c r="I93" s="1974">
        <f>+I36+I53</f>
        <v>666130</v>
      </c>
      <c r="J93" s="1974"/>
      <c r="K93" s="1974">
        <f>+K36+K53</f>
        <v>644060</v>
      </c>
      <c r="L93" s="1974"/>
      <c r="M93" s="1974">
        <f>+M36+M53</f>
        <v>694973</v>
      </c>
      <c r="N93" s="1974"/>
      <c r="O93" s="1974">
        <f>+O36+O53</f>
        <v>0</v>
      </c>
      <c r="P93" s="1974"/>
      <c r="Q93" s="1974">
        <f>+Q36+Q53</f>
        <v>1339033</v>
      </c>
      <c r="R93" s="1978"/>
      <c r="S93" s="1978"/>
    </row>
    <row r="94" spans="1:19" ht="17.25" customHeight="1" x14ac:dyDescent="0.25">
      <c r="A94" s="1956"/>
      <c r="B94" s="1957"/>
      <c r="C94" s="1949"/>
      <c r="D94" s="1949"/>
      <c r="E94" s="1949"/>
      <c r="F94" s="1956"/>
      <c r="G94" s="1978"/>
      <c r="H94" s="1978"/>
      <c r="I94" s="1978"/>
      <c r="J94" s="1991"/>
      <c r="K94" s="1978"/>
      <c r="L94" s="1978"/>
      <c r="M94" s="1978"/>
      <c r="N94" s="1978"/>
      <c r="O94" s="1978"/>
      <c r="P94" s="1978"/>
      <c r="Q94" s="1978"/>
      <c r="R94" s="1978"/>
      <c r="S94" s="1978"/>
    </row>
    <row r="95" spans="1:19" ht="17.25" customHeight="1" x14ac:dyDescent="0.4">
      <c r="A95" s="2045" t="s">
        <v>2189</v>
      </c>
      <c r="B95" s="1949"/>
      <c r="C95" s="2028"/>
      <c r="D95" s="1949"/>
      <c r="E95" s="1949"/>
      <c r="F95" s="1956"/>
      <c r="G95" s="1982">
        <f>SUM(G63,G70,G87)</f>
        <v>71640</v>
      </c>
      <c r="H95" s="1982"/>
      <c r="I95" s="1982">
        <f>SUM(I63,I70,I87,I59)</f>
        <v>85069</v>
      </c>
      <c r="J95" s="1982"/>
      <c r="K95" s="1982">
        <f>SUM(K63,K70,K87)</f>
        <v>74429</v>
      </c>
      <c r="L95" s="1982"/>
      <c r="M95" s="1982">
        <f>SUM(M63,M70,M87,M59)</f>
        <v>90893</v>
      </c>
      <c r="N95" s="1982"/>
      <c r="O95" s="1982">
        <f>SUM(O70,O87)</f>
        <v>0</v>
      </c>
      <c r="P95" s="1982"/>
      <c r="Q95" s="1982">
        <f>SUM(Q63,Q70,Q87,Q59)</f>
        <v>165322</v>
      </c>
      <c r="R95" s="2029"/>
      <c r="S95" s="2029"/>
    </row>
    <row r="96" spans="1:19" ht="17.25" customHeight="1" x14ac:dyDescent="0.4">
      <c r="A96" s="1969"/>
      <c r="B96" s="1949"/>
      <c r="C96" s="2028"/>
      <c r="D96" s="1949"/>
      <c r="E96" s="1949"/>
      <c r="F96" s="1956"/>
      <c r="G96" s="1982"/>
      <c r="H96" s="1981"/>
      <c r="I96" s="1982"/>
      <c r="J96" s="2046"/>
      <c r="K96" s="1982"/>
      <c r="L96" s="2029"/>
      <c r="M96" s="1982"/>
      <c r="N96" s="2029"/>
      <c r="O96" s="1982"/>
      <c r="P96" s="2029"/>
      <c r="Q96" s="1982"/>
      <c r="R96" s="2029"/>
      <c r="S96" s="2029"/>
    </row>
    <row r="97" spans="1:19" ht="17.25" customHeight="1" x14ac:dyDescent="0.4">
      <c r="A97" s="1969" t="s">
        <v>2187</v>
      </c>
      <c r="B97" s="1949"/>
      <c r="C97" s="2047"/>
      <c r="D97" s="1949"/>
      <c r="E97" s="1949"/>
      <c r="F97" s="1956"/>
      <c r="G97" s="2044">
        <f>G93+G95</f>
        <v>551875</v>
      </c>
      <c r="H97" s="2044"/>
      <c r="I97" s="2044">
        <f t="shared" ref="I97:Q97" si="0">I93+I95</f>
        <v>751199</v>
      </c>
      <c r="J97" s="2044"/>
      <c r="K97" s="2044">
        <f t="shared" si="0"/>
        <v>718489</v>
      </c>
      <c r="L97" s="2044"/>
      <c r="M97" s="2044">
        <f t="shared" si="0"/>
        <v>785866</v>
      </c>
      <c r="N97" s="2044"/>
      <c r="O97" s="2044">
        <f t="shared" si="0"/>
        <v>0</v>
      </c>
      <c r="P97" s="2044"/>
      <c r="Q97" s="2044">
        <f t="shared" si="0"/>
        <v>1504355</v>
      </c>
      <c r="R97" s="2048" t="s">
        <v>1230</v>
      </c>
      <c r="S97" s="1978"/>
    </row>
    <row r="98" spans="1:19" ht="17.25" customHeight="1" x14ac:dyDescent="0.25">
      <c r="A98" s="2049" t="s">
        <v>2190</v>
      </c>
      <c r="B98" s="1949"/>
      <c r="C98" s="2047"/>
      <c r="D98" s="1949"/>
      <c r="E98" s="1949"/>
      <c r="F98" s="1956"/>
      <c r="G98" s="2050"/>
      <c r="H98" s="1978"/>
      <c r="I98" s="2050" t="s">
        <v>1230</v>
      </c>
      <c r="J98" s="1991"/>
      <c r="K98" s="2050"/>
      <c r="L98" s="2048"/>
      <c r="M98" s="2050"/>
      <c r="N98" s="2048"/>
      <c r="O98" s="2050"/>
      <c r="P98" s="2048"/>
      <c r="Q98" s="2050"/>
      <c r="R98" s="2048" t="s">
        <v>1230</v>
      </c>
      <c r="S98" s="1978"/>
    </row>
    <row r="99" spans="1:19" ht="17.25" customHeight="1" x14ac:dyDescent="0.25">
      <c r="A99" s="2051" t="s">
        <v>2191</v>
      </c>
      <c r="B99" s="1949"/>
      <c r="C99" s="1949"/>
      <c r="D99" s="1949"/>
      <c r="E99" s="1949"/>
      <c r="F99" s="1956"/>
      <c r="G99" s="1978"/>
      <c r="H99" s="1978"/>
      <c r="I99" s="1978" t="s">
        <v>1230</v>
      </c>
      <c r="J99" s="1991"/>
      <c r="K99" s="1978"/>
      <c r="L99" s="1978"/>
      <c r="M99" s="1978" t="s">
        <v>1230</v>
      </c>
      <c r="N99" s="1978"/>
      <c r="O99" s="1978"/>
      <c r="P99" s="1978"/>
      <c r="Q99" s="1978"/>
      <c r="R99" s="1978"/>
      <c r="S99" s="1978"/>
    </row>
    <row r="100" spans="1:19" ht="17.25" customHeight="1" x14ac:dyDescent="0.25">
      <c r="A100" s="2051" t="s">
        <v>2192</v>
      </c>
      <c r="B100" s="1949"/>
      <c r="C100" s="2047"/>
      <c r="D100" s="1949"/>
      <c r="E100" s="1949"/>
      <c r="F100" s="1956"/>
      <c r="G100" s="1978"/>
      <c r="H100" s="1978"/>
      <c r="I100" s="1978" t="s">
        <v>1230</v>
      </c>
      <c r="J100" s="1991"/>
      <c r="K100" s="1978"/>
      <c r="L100" s="1978"/>
      <c r="M100" s="1978"/>
      <c r="N100" s="1978"/>
      <c r="O100" s="1978"/>
      <c r="P100" s="1978"/>
      <c r="Q100" s="1978"/>
      <c r="R100" s="1978"/>
      <c r="S100" s="1978"/>
    </row>
    <row r="101" spans="1:19" ht="17.25" customHeight="1" x14ac:dyDescent="0.25">
      <c r="A101" s="2051" t="s">
        <v>2193</v>
      </c>
      <c r="B101" s="1949"/>
      <c r="C101" s="2047"/>
      <c r="D101" s="1949"/>
      <c r="E101" s="1949"/>
      <c r="F101" s="1956"/>
      <c r="G101" s="1978"/>
      <c r="H101" s="1978"/>
      <c r="I101" s="1978" t="s">
        <v>1230</v>
      </c>
      <c r="J101" s="1991"/>
      <c r="K101" s="1978"/>
      <c r="L101" s="1978"/>
      <c r="M101" s="1978"/>
      <c r="N101" s="1978"/>
      <c r="O101" s="1978"/>
      <c r="P101" s="1978"/>
      <c r="Q101" s="1978"/>
      <c r="R101" s="1978"/>
      <c r="S101" s="1978"/>
    </row>
    <row r="102" spans="1:19" ht="17.25" customHeight="1" x14ac:dyDescent="0.2">
      <c r="A102" s="2049" t="s">
        <v>2194</v>
      </c>
    </row>
    <row r="103" spans="1:19" ht="17.25" customHeight="1" x14ac:dyDescent="0.2"/>
    <row r="106" spans="1:19" ht="15.95" customHeight="1" x14ac:dyDescent="0.25">
      <c r="I106" s="1974"/>
      <c r="J106" s="1974"/>
      <c r="K106" s="1974"/>
      <c r="L106" s="1974"/>
      <c r="M106" s="1974"/>
    </row>
    <row r="107" spans="1:19" ht="15.95" customHeight="1" x14ac:dyDescent="0.25">
      <c r="I107" s="1974"/>
      <c r="J107" s="1974"/>
      <c r="K107" s="1974"/>
      <c r="L107" s="1974"/>
      <c r="M107" s="1974"/>
    </row>
    <row r="108" spans="1:19" ht="15.95" customHeight="1" x14ac:dyDescent="0.25">
      <c r="I108" s="1974"/>
      <c r="J108" s="1974"/>
      <c r="K108" s="1974"/>
      <c r="L108" s="1974"/>
      <c r="M108" s="1974"/>
    </row>
    <row r="109" spans="1:19" ht="15.95" customHeight="1" x14ac:dyDescent="0.25">
      <c r="I109" s="1974"/>
      <c r="J109" s="1974"/>
      <c r="K109" s="1974"/>
      <c r="L109" s="1974"/>
      <c r="M109" s="1974"/>
    </row>
    <row r="110" spans="1:19" ht="15.95" customHeight="1" x14ac:dyDescent="0.25">
      <c r="I110" s="1974"/>
      <c r="J110" s="1974"/>
      <c r="K110" s="1974"/>
      <c r="L110" s="1974"/>
      <c r="M110" s="1974"/>
    </row>
    <row r="111" spans="1:19" ht="15.95" customHeight="1" x14ac:dyDescent="0.25">
      <c r="I111" s="1974"/>
      <c r="J111" s="1974"/>
      <c r="K111" s="1974"/>
      <c r="L111" s="1974"/>
      <c r="M111" s="1974"/>
    </row>
    <row r="112" spans="1:19" ht="15.95" customHeight="1" x14ac:dyDescent="0.25">
      <c r="I112" s="1974"/>
      <c r="J112" s="1974"/>
      <c r="K112" s="1974"/>
      <c r="L112" s="1974"/>
      <c r="M112" s="1974"/>
    </row>
  </sheetData>
  <mergeCells count="4">
    <mergeCell ref="A1:S1"/>
    <mergeCell ref="A2:S2"/>
    <mergeCell ref="A3:S3"/>
    <mergeCell ref="A4:S4"/>
  </mergeCells>
  <printOptions gridLinesSet="0"/>
  <pageMargins left="0.5" right="0.5" top="0.5" bottom="0.5" header="0.5" footer="0.5"/>
  <pageSetup scale="63" fitToHeight="0" orientation="landscape" horizontalDpi="300" verticalDpi="300" r:id="rId1"/>
  <headerFooter>
    <oddFooter>&amp;LThe accompanying notes to the Schedule of Federal Awards are an integral part of these financial statements.</oddFooter>
  </headerFooter>
  <rowBreaks count="2" manualBreakCount="2">
    <brk id="54" max="18" man="1"/>
    <brk id="102"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710937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2" t="str">
        <f>'Single Audit Cover'!A7</f>
        <v>Geneseo CUSD 228</v>
      </c>
      <c r="C1" s="2602"/>
      <c r="D1" s="2602"/>
      <c r="E1" s="2602"/>
      <c r="F1" s="2602"/>
      <c r="G1" s="2602"/>
      <c r="H1" s="2602"/>
      <c r="I1" s="2602"/>
      <c r="J1" s="2602"/>
      <c r="K1" s="2602"/>
      <c r="L1" s="1371"/>
      <c r="M1" s="1371"/>
    </row>
    <row r="2" spans="1:13" ht="12" customHeight="1" x14ac:dyDescent="0.2">
      <c r="B2" s="2603">
        <f>'Single Audit Cover'!E7</f>
        <v>28037228026</v>
      </c>
      <c r="C2" s="2603"/>
      <c r="D2" s="2603"/>
      <c r="E2" s="2603"/>
      <c r="F2" s="2603"/>
      <c r="G2" s="2603"/>
      <c r="H2" s="2603"/>
      <c r="I2" s="2603"/>
      <c r="J2" s="2603"/>
      <c r="K2" s="2603"/>
      <c r="L2" s="1372"/>
      <c r="M2" s="1373"/>
    </row>
    <row r="3" spans="1:13" ht="10.35" customHeight="1" x14ac:dyDescent="0.2">
      <c r="B3" s="2604" t="s">
        <v>1346</v>
      </c>
      <c r="C3" s="2604"/>
      <c r="D3" s="2604"/>
      <c r="E3" s="2604"/>
      <c r="F3" s="2604"/>
      <c r="G3" s="2604"/>
      <c r="H3" s="2604"/>
      <c r="I3" s="2604"/>
      <c r="J3" s="2604"/>
      <c r="K3" s="2604"/>
      <c r="L3" s="1374"/>
      <c r="M3" s="1374"/>
    </row>
    <row r="4" spans="1:13" ht="14.25" customHeight="1" x14ac:dyDescent="0.2">
      <c r="B4" s="2605" t="str">
        <f>'Single Audit Cover'!A4</f>
        <v>Year Ending June 30, 2018</v>
      </c>
      <c r="C4" s="2605"/>
      <c r="D4" s="2605"/>
      <c r="E4" s="2605"/>
      <c r="F4" s="2605"/>
      <c r="G4" s="2605"/>
      <c r="H4" s="2605"/>
      <c r="I4" s="2605"/>
      <c r="J4" s="2605"/>
      <c r="K4" s="2605"/>
      <c r="L4" s="313"/>
      <c r="M4" s="313"/>
    </row>
    <row r="5" spans="1:13" ht="7.5" customHeight="1" x14ac:dyDescent="0.2">
      <c r="B5" s="1258" t="s">
        <v>1230</v>
      </c>
      <c r="C5" s="1258"/>
    </row>
    <row r="6" spans="1:13" ht="7.5" customHeight="1" x14ac:dyDescent="0.2">
      <c r="B6" s="1375"/>
      <c r="C6" s="1375"/>
      <c r="D6" s="1376"/>
      <c r="E6" s="1376"/>
      <c r="F6" s="1376"/>
      <c r="G6" s="1377"/>
      <c r="H6" s="1376"/>
      <c r="I6" s="1377"/>
      <c r="J6" s="1376"/>
      <c r="K6" s="1376"/>
      <c r="L6" s="1378"/>
    </row>
    <row r="7" spans="1:13" ht="12.75" customHeight="1" x14ac:dyDescent="0.2">
      <c r="A7" s="1280"/>
      <c r="B7" s="2605" t="s">
        <v>1362</v>
      </c>
      <c r="C7" s="2605"/>
      <c r="D7" s="2606"/>
      <c r="E7" s="2606"/>
      <c r="F7" s="2606"/>
      <c r="G7" s="2606"/>
      <c r="H7" s="2606"/>
      <c r="I7" s="2606"/>
      <c r="J7" s="2606"/>
      <c r="K7" s="260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1840</v>
      </c>
      <c r="C10" s="1382" t="s">
        <v>1947</v>
      </c>
      <c r="D10" s="1383" t="s">
        <v>2103</v>
      </c>
      <c r="E10" s="322"/>
      <c r="F10" s="1384" t="s">
        <v>1361</v>
      </c>
      <c r="G10" s="1385"/>
      <c r="H10" s="1386" t="s">
        <v>1360</v>
      </c>
      <c r="I10" s="1385"/>
      <c r="J10" s="1387" t="s">
        <v>1359</v>
      </c>
      <c r="K10" s="322"/>
      <c r="L10" s="1378"/>
    </row>
    <row r="11" spans="1:13" ht="13.5" customHeight="1" x14ac:dyDescent="0.2">
      <c r="B11" s="322"/>
      <c r="C11" s="322"/>
      <c r="D11" s="322"/>
      <c r="E11" s="322"/>
      <c r="F11" s="322"/>
      <c r="G11" s="1380"/>
      <c r="H11" s="322"/>
      <c r="I11" s="1388" t="s">
        <v>1358</v>
      </c>
      <c r="J11" s="322"/>
      <c r="K11" s="1389"/>
      <c r="L11" s="1378"/>
    </row>
    <row r="12" spans="1:13" ht="13.5" customHeight="1" x14ac:dyDescent="0.2">
      <c r="B12" s="1291"/>
      <c r="C12" s="1291"/>
      <c r="D12" s="322"/>
      <c r="E12" s="322"/>
      <c r="F12" s="322"/>
      <c r="G12" s="1380"/>
      <c r="H12" s="322"/>
      <c r="I12" s="1380"/>
      <c r="J12" s="322"/>
      <c r="L12" s="1378"/>
    </row>
    <row r="13" spans="1:13" s="1280" customFormat="1" ht="13.5" customHeight="1" x14ac:dyDescent="0.2">
      <c r="B13" s="1390" t="s">
        <v>1357</v>
      </c>
      <c r="C13" s="1390"/>
      <c r="D13" s="1391"/>
      <c r="E13" s="1391"/>
      <c r="F13" s="1391"/>
      <c r="G13" s="1392"/>
      <c r="H13" s="1391"/>
      <c r="I13" s="1392"/>
      <c r="J13" s="1391"/>
      <c r="K13" s="1391"/>
      <c r="L13" s="1393"/>
    </row>
    <row r="14" spans="1:13" ht="45.75" customHeight="1" x14ac:dyDescent="0.2">
      <c r="B14" s="2601"/>
      <c r="C14" s="2601"/>
      <c r="D14" s="2601"/>
      <c r="E14" s="2601"/>
      <c r="F14" s="2601"/>
      <c r="G14" s="2601"/>
      <c r="H14" s="2601"/>
      <c r="I14" s="2601"/>
      <c r="J14" s="2601"/>
      <c r="K14" s="2601"/>
      <c r="L14" s="1394"/>
    </row>
    <row r="15" spans="1:13" ht="4.5" customHeight="1" x14ac:dyDescent="0.2">
      <c r="B15" s="1395"/>
      <c r="C15" s="1395"/>
      <c r="D15" s="1396"/>
      <c r="E15" s="1396"/>
      <c r="F15" s="1396"/>
      <c r="H15" s="1396"/>
      <c r="J15" s="1396"/>
      <c r="K15" s="1396"/>
      <c r="L15" s="1394"/>
    </row>
    <row r="16" spans="1:13" s="1280" customFormat="1" ht="13.5" customHeight="1" x14ac:dyDescent="0.2">
      <c r="B16" s="1390" t="s">
        <v>1356</v>
      </c>
      <c r="C16" s="1390"/>
      <c r="D16" s="1391"/>
      <c r="E16" s="1391"/>
      <c r="F16" s="1391"/>
      <c r="G16" s="1392"/>
      <c r="H16" s="1391"/>
      <c r="I16" s="1392"/>
      <c r="J16" s="1391"/>
      <c r="K16" s="1391"/>
      <c r="L16" s="1393"/>
    </row>
    <row r="17" spans="2:12" ht="45.75" customHeight="1" x14ac:dyDescent="0.2">
      <c r="B17" s="2601"/>
      <c r="C17" s="2601"/>
      <c r="D17" s="2601"/>
      <c r="E17" s="2601"/>
      <c r="F17" s="2601"/>
      <c r="G17" s="2601"/>
      <c r="H17" s="2601"/>
      <c r="I17" s="2601"/>
      <c r="J17" s="2601"/>
      <c r="K17" s="2601"/>
      <c r="L17" s="1378"/>
    </row>
    <row r="18" spans="2:12" ht="4.5" customHeight="1" x14ac:dyDescent="0.2">
      <c r="B18" s="1395"/>
      <c r="C18" s="1395"/>
      <c r="L18" s="1378"/>
    </row>
    <row r="19" spans="2:12" s="1280" customFormat="1" ht="13.5" customHeight="1" x14ac:dyDescent="0.2">
      <c r="B19" s="1390" t="s">
        <v>1841</v>
      </c>
      <c r="C19" s="1390"/>
      <c r="D19" s="1391"/>
      <c r="E19" s="1391"/>
      <c r="F19" s="1391"/>
      <c r="G19" s="1392"/>
      <c r="H19" s="1391"/>
      <c r="I19" s="1392"/>
      <c r="J19" s="1391"/>
      <c r="K19" s="1391"/>
      <c r="L19" s="1393"/>
    </row>
    <row r="20" spans="2:12" ht="45.75" customHeight="1" x14ac:dyDescent="0.2">
      <c r="B20" s="2607"/>
      <c r="C20" s="2607"/>
      <c r="D20" s="2601"/>
      <c r="E20" s="2601"/>
      <c r="F20" s="2601"/>
      <c r="G20" s="2601"/>
      <c r="H20" s="2601"/>
      <c r="I20" s="2601"/>
      <c r="J20" s="2601"/>
      <c r="K20" s="2601"/>
      <c r="L20" s="1378"/>
    </row>
    <row r="21" spans="2:12" ht="4.5" customHeight="1" x14ac:dyDescent="0.2">
      <c r="B21" s="1397"/>
      <c r="C21" s="1397"/>
      <c r="L21" s="1378"/>
    </row>
    <row r="22" spans="2:12" ht="13.5" customHeight="1" x14ac:dyDescent="0.2">
      <c r="B22" s="1390" t="s">
        <v>1355</v>
      </c>
      <c r="C22" s="1390"/>
      <c r="D22" s="1376"/>
      <c r="E22" s="1376"/>
      <c r="F22" s="1376"/>
      <c r="G22" s="1377"/>
      <c r="H22" s="1376"/>
      <c r="I22" s="1377"/>
      <c r="J22" s="1376"/>
      <c r="K22" s="1376"/>
      <c r="L22" s="1378"/>
    </row>
    <row r="23" spans="2:12" ht="45" customHeight="1" x14ac:dyDescent="0.2">
      <c r="B23" s="2601"/>
      <c r="C23" s="2601"/>
      <c r="D23" s="2601"/>
      <c r="E23" s="2601"/>
      <c r="F23" s="2601"/>
      <c r="G23" s="2601"/>
      <c r="H23" s="2601"/>
      <c r="I23" s="2601"/>
      <c r="J23" s="2601"/>
      <c r="K23" s="2601"/>
      <c r="L23" s="1378"/>
    </row>
    <row r="24" spans="2:12" ht="4.5" customHeight="1" x14ac:dyDescent="0.2">
      <c r="B24" s="1395"/>
      <c r="C24" s="1395"/>
      <c r="L24" s="1378"/>
    </row>
    <row r="25" spans="2:12" ht="13.5" customHeight="1" x14ac:dyDescent="0.2">
      <c r="B25" s="1390" t="s">
        <v>1354</v>
      </c>
      <c r="C25" s="1390"/>
      <c r="D25" s="1376"/>
      <c r="E25" s="1376"/>
      <c r="F25" s="1376"/>
      <c r="G25" s="1377"/>
      <c r="H25" s="1376"/>
      <c r="I25" s="1377"/>
      <c r="J25" s="1376"/>
      <c r="K25" s="1376"/>
      <c r="L25" s="1378"/>
    </row>
    <row r="26" spans="2:12" ht="45.75" customHeight="1" x14ac:dyDescent="0.2">
      <c r="B26" s="2601"/>
      <c r="C26" s="2601"/>
      <c r="D26" s="2601"/>
      <c r="E26" s="2601"/>
      <c r="F26" s="2601"/>
      <c r="G26" s="2601"/>
      <c r="H26" s="2601"/>
      <c r="I26" s="2601"/>
      <c r="J26" s="2601"/>
      <c r="K26" s="2601"/>
      <c r="L26" s="1378"/>
    </row>
    <row r="27" spans="2:12" ht="4.5" customHeight="1" x14ac:dyDescent="0.2">
      <c r="B27" s="1395"/>
      <c r="C27" s="1395"/>
      <c r="L27" s="1378"/>
    </row>
    <row r="28" spans="2:12" ht="13.5" customHeight="1" x14ac:dyDescent="0.2">
      <c r="B28" s="1398" t="s">
        <v>1353</v>
      </c>
      <c r="C28" s="1398"/>
      <c r="D28" s="1376"/>
      <c r="E28" s="1376"/>
      <c r="F28" s="1376"/>
      <c r="G28" s="1377"/>
      <c r="H28" s="1376"/>
      <c r="I28" s="1377"/>
      <c r="J28" s="1376"/>
      <c r="K28" s="1376"/>
      <c r="L28" s="1378"/>
    </row>
    <row r="29" spans="2:12" ht="45.75" customHeight="1" x14ac:dyDescent="0.2">
      <c r="B29" s="2600"/>
      <c r="C29" s="2600"/>
      <c r="D29" s="2601"/>
      <c r="E29" s="2601"/>
      <c r="F29" s="2601"/>
      <c r="G29" s="2601"/>
      <c r="H29" s="2601"/>
      <c r="I29" s="2601"/>
      <c r="J29" s="2601"/>
      <c r="K29" s="260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1842</v>
      </c>
      <c r="C31" s="1400"/>
      <c r="D31" s="1375"/>
      <c r="E31" s="1376"/>
      <c r="F31" s="1376"/>
      <c r="G31" s="1377"/>
      <c r="H31" s="1376"/>
      <c r="I31" s="1377"/>
      <c r="J31" s="1376"/>
      <c r="K31" s="1376"/>
      <c r="L31" s="1378"/>
    </row>
    <row r="32" spans="2:12" s="322" customFormat="1" ht="44.25" customHeight="1" x14ac:dyDescent="0.2">
      <c r="B32" s="2600"/>
      <c r="C32" s="2600"/>
      <c r="D32" s="2601"/>
      <c r="E32" s="2601"/>
      <c r="F32" s="2601"/>
      <c r="G32" s="2601"/>
      <c r="H32" s="2601"/>
      <c r="I32" s="2601"/>
      <c r="J32" s="2601"/>
      <c r="K32" s="2601"/>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1843</v>
      </c>
      <c r="C35" s="1416"/>
      <c r="D35" s="322"/>
      <c r="E35" s="322"/>
      <c r="F35" s="322"/>
      <c r="L35" s="1378"/>
    </row>
    <row r="36" spans="1:13" ht="9.6" customHeight="1" x14ac:dyDescent="0.2">
      <c r="B36" s="1297" t="s">
        <v>1948</v>
      </c>
      <c r="C36" s="1297"/>
      <c r="L36" s="1378"/>
    </row>
    <row r="37" spans="1:13" ht="9.6" customHeight="1" x14ac:dyDescent="0.2">
      <c r="B37" s="1297" t="s">
        <v>1949</v>
      </c>
      <c r="C37" s="1297"/>
    </row>
    <row r="38" spans="1:13" ht="11.85" customHeight="1" x14ac:dyDescent="0.2">
      <c r="B38" s="1417" t="s">
        <v>1844</v>
      </c>
      <c r="C38" s="1417"/>
    </row>
    <row r="39" spans="1:13" ht="9.6" customHeight="1" x14ac:dyDescent="0.2">
      <c r="B39" s="1297" t="s">
        <v>1347</v>
      </c>
      <c r="C39" s="1297"/>
      <c r="M39" s="1418"/>
    </row>
    <row r="40" spans="1:13" ht="12.6" customHeight="1" x14ac:dyDescent="0.2">
      <c r="B40" s="1417" t="s">
        <v>1845</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2" t="str">
        <f>'Single Audit Cover'!A7</f>
        <v>Geneseo CUSD 228</v>
      </c>
      <c r="C1" s="2619"/>
      <c r="D1" s="2619"/>
      <c r="E1" s="2619"/>
      <c r="F1" s="2619"/>
      <c r="G1" s="2619"/>
      <c r="H1" s="2619"/>
      <c r="I1" s="2619"/>
      <c r="J1" s="1419"/>
    </row>
    <row r="2" spans="2:10" s="317" customFormat="1" ht="12.75" customHeight="1" x14ac:dyDescent="0.2">
      <c r="B2" s="2603">
        <f>'Single Audit Cover'!E7</f>
        <v>28037228026</v>
      </c>
      <c r="C2" s="2620"/>
      <c r="D2" s="2620"/>
      <c r="E2" s="2620"/>
      <c r="F2" s="2620"/>
      <c r="G2" s="2620"/>
      <c r="H2" s="2620"/>
      <c r="I2" s="2620"/>
      <c r="J2" s="1419"/>
    </row>
    <row r="3" spans="2:10" s="317" customFormat="1" ht="12.75" customHeight="1" x14ac:dyDescent="0.2">
      <c r="B3" s="2621" t="s">
        <v>1346</v>
      </c>
      <c r="C3" s="2622"/>
      <c r="D3" s="2622"/>
      <c r="E3" s="2622"/>
      <c r="F3" s="2622"/>
      <c r="G3" s="2622"/>
      <c r="H3" s="2622"/>
      <c r="I3" s="2622"/>
      <c r="J3" s="1420"/>
    </row>
    <row r="4" spans="2:10" s="317" customFormat="1" ht="12.75" customHeight="1" x14ac:dyDescent="0.2">
      <c r="B4" s="2621" t="str">
        <f>'Single Audit Cover'!A4</f>
        <v>Year Ending June 30, 2018</v>
      </c>
      <c r="C4" s="2622"/>
      <c r="D4" s="2622"/>
      <c r="E4" s="2622"/>
      <c r="F4" s="2622"/>
      <c r="G4" s="2622"/>
      <c r="H4" s="2622"/>
      <c r="I4" s="2622"/>
    </row>
    <row r="5" spans="2:10" s="317" customFormat="1" ht="6.2" customHeight="1" x14ac:dyDescent="0.2">
      <c r="B5" s="1421" t="s">
        <v>1230</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621" t="s">
        <v>1345</v>
      </c>
      <c r="C7" s="2622"/>
      <c r="D7" s="2622"/>
      <c r="E7" s="2622"/>
      <c r="F7" s="2622"/>
      <c r="G7" s="2622"/>
      <c r="H7" s="2622"/>
      <c r="I7" s="2622"/>
    </row>
    <row r="8" spans="2:10" s="317" customFormat="1" ht="6.2" customHeight="1" x14ac:dyDescent="0.2">
      <c r="B8" s="1423" t="s">
        <v>1230</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1344</v>
      </c>
      <c r="C10" s="1428"/>
      <c r="D10" s="1428"/>
      <c r="E10" s="1256"/>
    </row>
    <row r="11" spans="2:10" s="317" customFormat="1" ht="13.5" customHeight="1" x14ac:dyDescent="0.2">
      <c r="B11" s="1346" t="s">
        <v>1343</v>
      </c>
      <c r="C11" s="2623" t="s">
        <v>1225</v>
      </c>
      <c r="D11" s="2623"/>
      <c r="E11" s="1429"/>
      <c r="F11" s="1429"/>
      <c r="G11" s="1429"/>
    </row>
    <row r="12" spans="2:10" s="317" customFormat="1" ht="11.45" customHeight="1" x14ac:dyDescent="0.2">
      <c r="B12" s="1354"/>
      <c r="C12" s="1430" t="s">
        <v>1516</v>
      </c>
      <c r="D12" s="1431"/>
      <c r="E12" s="1256"/>
    </row>
    <row r="13" spans="2:10" s="317" customFormat="1" ht="12.75" customHeight="1" x14ac:dyDescent="0.2">
      <c r="B13" s="1432"/>
      <c r="C13" s="1384"/>
      <c r="D13" s="1384"/>
      <c r="E13" s="1256"/>
    </row>
    <row r="14" spans="2:10" s="317" customFormat="1" ht="12.75" customHeight="1" x14ac:dyDescent="0.2">
      <c r="B14" s="1365" t="s">
        <v>1342</v>
      </c>
      <c r="C14" s="1280"/>
      <c r="E14" s="1256"/>
    </row>
    <row r="15" spans="2:10" s="317" customFormat="1" ht="13.5" customHeight="1" x14ac:dyDescent="0.2">
      <c r="B15" s="1433" t="s">
        <v>1339</v>
      </c>
      <c r="C15" s="1434"/>
      <c r="D15" s="1395"/>
      <c r="E15" s="1435"/>
      <c r="F15" s="1297" t="s">
        <v>939</v>
      </c>
      <c r="G15" s="1435" t="s">
        <v>2071</v>
      </c>
      <c r="H15" s="1297" t="s">
        <v>1337</v>
      </c>
      <c r="I15" s="1297"/>
    </row>
    <row r="16" spans="2:10" s="317" customFormat="1" ht="8.4499999999999993" customHeight="1" x14ac:dyDescent="0.2">
      <c r="B16" s="1365"/>
      <c r="C16" s="1280"/>
      <c r="E16" s="1380"/>
      <c r="F16" s="1297"/>
      <c r="G16" s="322"/>
      <c r="H16" s="1297"/>
      <c r="I16" s="1297"/>
    </row>
    <row r="17" spans="2:9" s="317" customFormat="1" ht="13.5" customHeight="1" x14ac:dyDescent="0.2">
      <c r="B17" s="1433" t="s">
        <v>1338</v>
      </c>
      <c r="C17" s="1434"/>
      <c r="D17" s="1395"/>
      <c r="E17" s="1436"/>
      <c r="F17" s="1255"/>
      <c r="G17" s="1436"/>
      <c r="H17" s="1297"/>
      <c r="I17" s="1297"/>
    </row>
    <row r="18" spans="2:9" s="317" customFormat="1" ht="12.75" customHeight="1" x14ac:dyDescent="0.2">
      <c r="B18" s="1433" t="s">
        <v>1517</v>
      </c>
      <c r="C18" s="1434"/>
      <c r="D18" s="1395"/>
      <c r="E18" s="1435"/>
      <c r="F18" s="1297" t="s">
        <v>939</v>
      </c>
      <c r="G18" s="1435" t="s">
        <v>2071</v>
      </c>
      <c r="H18" s="1297" t="s">
        <v>1337</v>
      </c>
      <c r="I18" s="1297"/>
    </row>
    <row r="19" spans="2:9" s="317" customFormat="1" ht="8.4499999999999993" customHeight="1" x14ac:dyDescent="0.2">
      <c r="B19" s="1365"/>
      <c r="C19" s="1280"/>
      <c r="E19" s="1380"/>
      <c r="F19" s="1297"/>
      <c r="G19" s="322"/>
      <c r="H19" s="1297"/>
      <c r="I19" s="1297"/>
    </row>
    <row r="20" spans="2:9" s="317" customFormat="1" ht="13.5" customHeight="1" x14ac:dyDescent="0.2">
      <c r="B20" s="1433" t="s">
        <v>1671</v>
      </c>
      <c r="C20" s="1434"/>
      <c r="D20" s="1395"/>
      <c r="E20" s="1435"/>
      <c r="F20" s="1297" t="s">
        <v>939</v>
      </c>
      <c r="G20" s="1435" t="s">
        <v>2071</v>
      </c>
      <c r="H20" s="1297" t="s">
        <v>101</v>
      </c>
      <c r="I20" s="1297"/>
    </row>
    <row r="21" spans="2:9" s="317" customFormat="1" ht="12.75" customHeight="1" x14ac:dyDescent="0.2">
      <c r="B21" s="1365"/>
      <c r="C21" s="1280"/>
      <c r="E21" s="1380"/>
      <c r="F21" s="1297"/>
      <c r="G21" s="322"/>
      <c r="H21" s="1297"/>
      <c r="I21" s="1297"/>
    </row>
    <row r="22" spans="2:9" s="317" customFormat="1" ht="12.75" customHeight="1" x14ac:dyDescent="0.2">
      <c r="B22" s="1427" t="s">
        <v>1341</v>
      </c>
      <c r="C22" s="1437"/>
      <c r="D22" s="1428"/>
      <c r="E22" s="1380"/>
      <c r="F22" s="1297"/>
      <c r="G22" s="322"/>
      <c r="H22" s="1297"/>
      <c r="I22" s="1297"/>
    </row>
    <row r="23" spans="2:9" s="317" customFormat="1" ht="12.75" customHeight="1" x14ac:dyDescent="0.2">
      <c r="B23" s="1365" t="s">
        <v>1340</v>
      </c>
      <c r="C23" s="1280"/>
      <c r="E23" s="1380"/>
      <c r="F23" s="1297"/>
      <c r="G23" s="322"/>
      <c r="H23" s="1297"/>
      <c r="I23" s="1297"/>
    </row>
    <row r="24" spans="2:9" s="317" customFormat="1" ht="13.5" customHeight="1" x14ac:dyDescent="0.2">
      <c r="B24" s="1433" t="s">
        <v>1339</v>
      </c>
      <c r="C24" s="1434"/>
      <c r="D24" s="1395"/>
      <c r="E24" s="1435"/>
      <c r="F24" s="1297" t="s">
        <v>939</v>
      </c>
      <c r="G24" s="1435" t="s">
        <v>2071</v>
      </c>
      <c r="H24" s="1297" t="s">
        <v>1337</v>
      </c>
      <c r="I24" s="1297"/>
    </row>
    <row r="25" spans="2:9" s="317" customFormat="1" ht="8.4499999999999993" customHeight="1" x14ac:dyDescent="0.2">
      <c r="B25" s="1365"/>
      <c r="C25" s="1280"/>
      <c r="E25" s="1380"/>
      <c r="F25" s="1297"/>
      <c r="G25" s="322"/>
      <c r="H25" s="1297"/>
      <c r="I25" s="1297"/>
    </row>
    <row r="26" spans="2:9" s="317" customFormat="1" ht="13.5" customHeight="1" x14ac:dyDescent="0.2">
      <c r="B26" s="1433" t="s">
        <v>1338</v>
      </c>
      <c r="C26" s="1434"/>
      <c r="D26" s="1395"/>
      <c r="E26" s="1436"/>
      <c r="F26" s="1255"/>
      <c r="G26" s="1436"/>
      <c r="H26" s="1297"/>
      <c r="I26" s="1297"/>
    </row>
    <row r="27" spans="2:9" s="317" customFormat="1" ht="12.75" customHeight="1" x14ac:dyDescent="0.2">
      <c r="B27" s="1433" t="s">
        <v>1517</v>
      </c>
      <c r="C27" s="1434"/>
      <c r="D27" s="1395"/>
      <c r="E27" s="1435"/>
      <c r="F27" s="1297" t="s">
        <v>939</v>
      </c>
      <c r="G27" s="1435" t="s">
        <v>2071</v>
      </c>
      <c r="H27" s="1297" t="s">
        <v>1337</v>
      </c>
      <c r="I27" s="1297"/>
    </row>
    <row r="28" spans="2:9" s="317" customFormat="1" ht="12.75" customHeight="1" x14ac:dyDescent="0.2">
      <c r="B28" s="1365"/>
      <c r="C28" s="1280"/>
      <c r="E28" s="1256"/>
    </row>
    <row r="29" spans="2:9" s="317" customFormat="1" ht="12.75" customHeight="1" x14ac:dyDescent="0.2">
      <c r="B29" s="1365" t="s">
        <v>1336</v>
      </c>
      <c r="C29" s="1280"/>
      <c r="D29" s="2624" t="s">
        <v>2199</v>
      </c>
      <c r="E29" s="2624"/>
      <c r="F29" s="2624"/>
      <c r="G29" s="2624"/>
      <c r="H29" s="2624"/>
      <c r="I29" s="2624"/>
    </row>
    <row r="30" spans="2:9" s="317" customFormat="1" x14ac:dyDescent="0.2">
      <c r="B30" s="1365"/>
      <c r="C30" s="322"/>
      <c r="D30" s="1430" t="s">
        <v>1846</v>
      </c>
      <c r="E30" s="1431"/>
      <c r="F30" s="1431"/>
      <c r="G30" s="1431"/>
      <c r="H30" s="1431"/>
      <c r="I30" s="1431"/>
    </row>
    <row r="31" spans="2:9" s="317" customFormat="1" ht="9.9499999999999993" customHeight="1" x14ac:dyDescent="0.2">
      <c r="B31" s="1365"/>
      <c r="E31" s="1256"/>
    </row>
    <row r="32" spans="2:9" s="317" customFormat="1" x14ac:dyDescent="0.2">
      <c r="B32" s="1365" t="s">
        <v>1335</v>
      </c>
      <c r="C32" s="1280"/>
      <c r="E32" s="1256"/>
    </row>
    <row r="33" spans="2:9" ht="13.5" customHeight="1" x14ac:dyDescent="0.2">
      <c r="B33" s="1365" t="s">
        <v>1631</v>
      </c>
      <c r="C33" s="1280"/>
      <c r="E33" s="1435"/>
      <c r="F33" s="1297" t="s">
        <v>939</v>
      </c>
      <c r="G33" s="1435" t="s">
        <v>2071</v>
      </c>
      <c r="H33" s="1297" t="s">
        <v>101</v>
      </c>
    </row>
    <row r="35" spans="2:9" x14ac:dyDescent="0.2">
      <c r="B35" s="1438" t="s">
        <v>1847</v>
      </c>
      <c r="C35" s="1439"/>
      <c r="D35" s="1265"/>
    </row>
    <row r="36" spans="2:9" ht="6" customHeight="1" x14ac:dyDescent="0.2">
      <c r="B36" s="1438"/>
      <c r="C36" s="1439"/>
      <c r="D36" s="1265"/>
    </row>
    <row r="37" spans="2:9" ht="17.25" customHeight="1" x14ac:dyDescent="0.2">
      <c r="B37" s="1440" t="s">
        <v>1848</v>
      </c>
      <c r="C37" s="2625" t="s">
        <v>1849</v>
      </c>
      <c r="D37" s="2626"/>
      <c r="E37" s="2626"/>
      <c r="F37" s="2627"/>
      <c r="G37" s="2625" t="s">
        <v>1672</v>
      </c>
      <c r="H37" s="2626"/>
      <c r="I37" s="2627"/>
    </row>
    <row r="38" spans="2:9" ht="16.5" customHeight="1" x14ac:dyDescent="0.2">
      <c r="B38" s="1441" t="s">
        <v>2200</v>
      </c>
      <c r="C38" s="2615" t="s">
        <v>2201</v>
      </c>
      <c r="D38" s="2616"/>
      <c r="E38" s="2616"/>
      <c r="F38" s="2617"/>
      <c r="G38" s="2628">
        <v>486872</v>
      </c>
      <c r="H38" s="2629"/>
      <c r="I38" s="2630"/>
    </row>
    <row r="39" spans="2:9" ht="16.5" hidden="1" customHeight="1" x14ac:dyDescent="0.2">
      <c r="B39" s="1441"/>
      <c r="C39" s="2615"/>
      <c r="D39" s="2616"/>
      <c r="E39" s="2616"/>
      <c r="F39" s="2617"/>
      <c r="G39" s="2618"/>
      <c r="H39" s="2618"/>
      <c r="I39" s="2618"/>
    </row>
    <row r="40" spans="2:9" ht="16.5" hidden="1" customHeight="1" x14ac:dyDescent="0.2">
      <c r="B40" s="1441"/>
      <c r="C40" s="2615"/>
      <c r="D40" s="2616"/>
      <c r="E40" s="2616"/>
      <c r="F40" s="2617"/>
      <c r="G40" s="2618"/>
      <c r="H40" s="2618"/>
      <c r="I40" s="2618"/>
    </row>
    <row r="41" spans="2:9" ht="16.5" hidden="1" customHeight="1" x14ac:dyDescent="0.2">
      <c r="B41" s="1441"/>
      <c r="C41" s="2615"/>
      <c r="D41" s="2616"/>
      <c r="E41" s="2616"/>
      <c r="F41" s="2617"/>
      <c r="G41" s="2618"/>
      <c r="H41" s="2618"/>
      <c r="I41" s="2618"/>
    </row>
    <row r="42" spans="2:9" ht="16.5" customHeight="1" x14ac:dyDescent="0.2">
      <c r="B42" s="1441"/>
      <c r="C42" s="2615"/>
      <c r="D42" s="2616"/>
      <c r="E42" s="2616"/>
      <c r="F42" s="2617"/>
      <c r="G42" s="2618"/>
      <c r="H42" s="2618"/>
      <c r="I42" s="2618"/>
    </row>
    <row r="43" spans="2:9" ht="16.5" customHeight="1" x14ac:dyDescent="0.2">
      <c r="B43" s="1441"/>
      <c r="C43" s="2608" t="s">
        <v>1673</v>
      </c>
      <c r="D43" s="2609"/>
      <c r="E43" s="2609"/>
      <c r="F43" s="2610"/>
      <c r="G43" s="2611">
        <f>SUM(G38:I42)</f>
        <v>486872</v>
      </c>
      <c r="H43" s="2611"/>
      <c r="I43" s="2611"/>
    </row>
    <row r="44" spans="2:9" ht="12.75" customHeight="1" x14ac:dyDescent="0.2"/>
    <row r="45" spans="2:9" ht="12.75" customHeight="1" x14ac:dyDescent="0.2">
      <c r="B45" s="1432" t="s">
        <v>1946</v>
      </c>
      <c r="D45" s="2612">
        <v>785866</v>
      </c>
      <c r="E45" s="2613"/>
    </row>
    <row r="46" spans="2:9" ht="5.25" customHeight="1" x14ac:dyDescent="0.2">
      <c r="B46" s="1442"/>
      <c r="D46" s="1443"/>
      <c r="E46" s="1444"/>
    </row>
    <row r="47" spans="2:9" ht="12.75" customHeight="1" x14ac:dyDescent="0.2">
      <c r="B47" s="1297" t="s">
        <v>1674</v>
      </c>
      <c r="C47" s="1297"/>
      <c r="D47" s="1445">
        <f>+G43/D45</f>
        <v>0.61953564602616729</v>
      </c>
      <c r="E47" s="1446"/>
      <c r="F47" s="1447"/>
      <c r="I47" s="1448"/>
    </row>
    <row r="48" spans="2:9" ht="9.9499999999999993" customHeight="1" x14ac:dyDescent="0.2"/>
    <row r="49" spans="1:9" x14ac:dyDescent="0.2">
      <c r="B49" s="1365" t="s">
        <v>1334</v>
      </c>
      <c r="C49" s="1280"/>
      <c r="D49" s="1280"/>
      <c r="E49" s="2614">
        <v>750000</v>
      </c>
      <c r="F49" s="2614"/>
      <c r="G49" s="2614"/>
      <c r="H49" s="322"/>
    </row>
    <row r="51" spans="1:9" ht="13.5" customHeight="1" x14ac:dyDescent="0.2">
      <c r="B51" s="1365" t="s">
        <v>1333</v>
      </c>
      <c r="C51" s="1280"/>
      <c r="E51" s="1435"/>
      <c r="F51" s="1297" t="s">
        <v>939</v>
      </c>
      <c r="G51" s="1435" t="s">
        <v>2071</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1850</v>
      </c>
      <c r="C54" s="1457"/>
      <c r="D54" s="1457"/>
    </row>
    <row r="55" spans="1:9" s="1458" customFormat="1" ht="12.75" customHeight="1" x14ac:dyDescent="0.2">
      <c r="A55" s="1455"/>
      <c r="B55" s="1459" t="s">
        <v>1675</v>
      </c>
      <c r="C55" s="1455"/>
      <c r="D55" s="1455"/>
    </row>
    <row r="56" spans="1:9" s="1458" customFormat="1" ht="12.75" customHeight="1" x14ac:dyDescent="0.2">
      <c r="A56" s="1455"/>
      <c r="B56" s="1459" t="s">
        <v>1676</v>
      </c>
      <c r="C56" s="1455"/>
      <c r="D56" s="1455"/>
    </row>
    <row r="57" spans="1:9" s="1458" customFormat="1" ht="3.95" customHeight="1" x14ac:dyDescent="0.2">
      <c r="A57" s="1455"/>
      <c r="B57" s="1459"/>
      <c r="C57" s="1455"/>
      <c r="D57" s="1455"/>
    </row>
    <row r="58" spans="1:9" s="1458" customFormat="1" ht="13.5" customHeight="1" x14ac:dyDescent="0.2">
      <c r="A58" s="1455"/>
      <c r="B58" s="1460" t="s">
        <v>1851</v>
      </c>
      <c r="C58" s="1461"/>
      <c r="D58" s="1461"/>
    </row>
    <row r="59" spans="1:9" s="1458" customFormat="1" ht="3.95" customHeight="1" x14ac:dyDescent="0.2">
      <c r="A59" s="1455"/>
      <c r="B59" s="1460"/>
      <c r="C59" s="1461"/>
      <c r="D59" s="1461"/>
    </row>
    <row r="60" spans="1:9" s="1458" customFormat="1" ht="13.5" customHeight="1" x14ac:dyDescent="0.2">
      <c r="A60" s="1455"/>
      <c r="B60" s="1460" t="s">
        <v>1852</v>
      </c>
      <c r="C60" s="1461"/>
      <c r="D60" s="1461"/>
    </row>
    <row r="61" spans="1:9" s="1458" customFormat="1" ht="3.95" customHeight="1" x14ac:dyDescent="0.2">
      <c r="A61" s="1455"/>
      <c r="B61" s="1460"/>
      <c r="C61" s="1461"/>
      <c r="D61" s="1461"/>
    </row>
    <row r="62" spans="1:9" s="1458" customFormat="1" ht="12.75" customHeight="1" x14ac:dyDescent="0.2">
      <c r="A62" s="1455"/>
      <c r="B62" s="1460" t="s">
        <v>1853</v>
      </c>
      <c r="C62" s="1461"/>
      <c r="D62" s="1461"/>
    </row>
    <row r="63" spans="1:9" s="1458" customFormat="1" ht="13.5" customHeight="1" x14ac:dyDescent="0.2">
      <c r="A63" s="1455"/>
      <c r="B63" s="1459" t="s">
        <v>1677</v>
      </c>
      <c r="C63" s="1455"/>
      <c r="D63" s="145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5.710937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34" t="str">
        <f>'Single Audit Cover'!A7</f>
        <v>Geneseo CUSD 228</v>
      </c>
      <c r="C1" s="2634"/>
      <c r="D1" s="2634"/>
      <c r="E1" s="2634"/>
      <c r="F1" s="2634"/>
      <c r="G1" s="2634"/>
      <c r="H1" s="2634"/>
      <c r="I1" s="2634"/>
      <c r="J1" s="2634"/>
      <c r="K1" s="2634"/>
      <c r="L1" s="1462"/>
    </row>
    <row r="2" spans="1:12" ht="12.75" customHeight="1" x14ac:dyDescent="0.2">
      <c r="B2" s="2635">
        <f>'Single Audit Cover'!E7</f>
        <v>28037228026</v>
      </c>
      <c r="C2" s="2635"/>
      <c r="D2" s="2635"/>
      <c r="E2" s="2635"/>
      <c r="F2" s="2635"/>
      <c r="G2" s="2635"/>
      <c r="H2" s="2635"/>
      <c r="I2" s="2635"/>
      <c r="J2" s="2635"/>
      <c r="K2" s="2635"/>
      <c r="L2" s="1463"/>
    </row>
    <row r="3" spans="1:12" ht="12.75" customHeight="1" x14ac:dyDescent="0.2">
      <c r="B3" s="2604" t="s">
        <v>1346</v>
      </c>
      <c r="C3" s="2604"/>
      <c r="D3" s="2604"/>
      <c r="E3" s="2604"/>
      <c r="F3" s="2604"/>
      <c r="G3" s="2604"/>
      <c r="H3" s="2604"/>
      <c r="I3" s="2604"/>
      <c r="J3" s="2604"/>
      <c r="K3" s="2604"/>
      <c r="L3" s="1374"/>
    </row>
    <row r="4" spans="1:12" ht="12.75" customHeight="1" x14ac:dyDescent="0.2">
      <c r="B4" s="2604" t="str">
        <f>'Single Audit Cover'!A4</f>
        <v>Year Ending June 30, 2018</v>
      </c>
      <c r="C4" s="2604"/>
      <c r="D4" s="2604"/>
      <c r="E4" s="2604"/>
      <c r="F4" s="2604"/>
      <c r="G4" s="2604"/>
      <c r="H4" s="2604"/>
      <c r="I4" s="2604"/>
      <c r="J4" s="2604"/>
      <c r="K4" s="2604"/>
      <c r="L4" s="1374"/>
    </row>
    <row r="5" spans="1:12" ht="5.25" customHeight="1" x14ac:dyDescent="0.2">
      <c r="B5" s="1258" t="s">
        <v>1230</v>
      </c>
      <c r="C5" s="1258"/>
      <c r="L5" s="322"/>
    </row>
    <row r="6" spans="1:12" ht="30.75" customHeight="1" x14ac:dyDescent="0.2">
      <c r="A6" s="322"/>
      <c r="B6" s="2636" t="s">
        <v>1374</v>
      </c>
      <c r="C6" s="2636"/>
      <c r="D6" s="2636"/>
      <c r="E6" s="2636"/>
      <c r="F6" s="2636"/>
      <c r="G6" s="2636"/>
      <c r="H6" s="2636"/>
      <c r="I6" s="2636"/>
      <c r="J6" s="2636"/>
      <c r="K6" s="2636"/>
      <c r="L6" s="322"/>
    </row>
    <row r="7" spans="1:12" ht="4.5" customHeight="1" x14ac:dyDescent="0.2">
      <c r="B7" s="1376"/>
      <c r="C7" s="1376"/>
      <c r="D7" s="1376"/>
      <c r="E7" s="1376"/>
      <c r="F7" s="1376"/>
      <c r="G7" s="1377"/>
      <c r="H7" s="1376"/>
      <c r="I7" s="1377"/>
      <c r="J7" s="1376"/>
      <c r="K7" s="1376"/>
      <c r="L7" s="322"/>
    </row>
    <row r="8" spans="1:12" ht="13.5" customHeight="1" x14ac:dyDescent="0.2">
      <c r="B8" s="1384" t="s">
        <v>1854</v>
      </c>
      <c r="C8" s="1464" t="s">
        <v>1947</v>
      </c>
      <c r="D8" s="1465" t="s">
        <v>2103</v>
      </c>
      <c r="E8" s="322"/>
      <c r="F8" s="1381" t="s">
        <v>1361</v>
      </c>
      <c r="G8" s="1466"/>
      <c r="H8" s="1467" t="s">
        <v>1373</v>
      </c>
      <c r="I8" s="1466"/>
      <c r="J8" s="1468" t="s">
        <v>1372</v>
      </c>
      <c r="L8" s="322"/>
    </row>
    <row r="9" spans="1:12" ht="13.5" customHeight="1" x14ac:dyDescent="0.2">
      <c r="D9" s="322"/>
      <c r="E9" s="322"/>
      <c r="F9" s="322"/>
      <c r="G9" s="1380"/>
      <c r="H9" s="322"/>
      <c r="I9" s="1469" t="s">
        <v>1358</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1371</v>
      </c>
      <c r="C12" s="1381"/>
      <c r="D12" s="304"/>
      <c r="E12" s="322"/>
      <c r="F12" s="2624"/>
      <c r="G12" s="2624"/>
      <c r="H12" s="2624"/>
      <c r="I12" s="2624"/>
      <c r="J12" s="2624"/>
      <c r="K12" s="2624"/>
      <c r="L12" s="322"/>
    </row>
    <row r="13" spans="1:12" ht="9.6" customHeight="1" x14ac:dyDescent="0.2">
      <c r="B13" s="1255"/>
      <c r="C13" s="1255"/>
      <c r="D13" s="304"/>
      <c r="E13" s="322"/>
      <c r="F13" s="322"/>
      <c r="G13" s="1380"/>
      <c r="H13" s="322"/>
      <c r="I13" s="1380"/>
      <c r="J13" s="322"/>
      <c r="K13" s="1429"/>
      <c r="L13" s="322"/>
    </row>
    <row r="14" spans="1:12" ht="13.5" customHeight="1" x14ac:dyDescent="0.2">
      <c r="B14" s="1384" t="s">
        <v>1370</v>
      </c>
      <c r="C14" s="1384"/>
      <c r="D14" s="2631"/>
      <c r="E14" s="2631"/>
      <c r="F14" s="2631"/>
      <c r="H14" s="1472" t="s">
        <v>1369</v>
      </c>
      <c r="I14" s="2632"/>
      <c r="J14" s="2632"/>
      <c r="K14" s="2632"/>
      <c r="L14" s="322"/>
    </row>
    <row r="15" spans="1:12" ht="9.4" customHeight="1" x14ac:dyDescent="0.2">
      <c r="B15" s="1384"/>
      <c r="C15" s="1384"/>
      <c r="D15" s="1370"/>
      <c r="E15" s="1258"/>
      <c r="F15" s="1258"/>
      <c r="G15" s="1284"/>
      <c r="H15" s="1258"/>
      <c r="I15" s="1473"/>
      <c r="J15" s="1291"/>
      <c r="K15" s="1288"/>
      <c r="L15" s="322"/>
    </row>
    <row r="16" spans="1:12" ht="13.5" customHeight="1" x14ac:dyDescent="0.2">
      <c r="B16" s="1384" t="s">
        <v>1368</v>
      </c>
      <c r="C16" s="1384"/>
      <c r="D16" s="2632"/>
      <c r="E16" s="2632"/>
      <c r="F16" s="2632"/>
      <c r="G16" s="2632"/>
      <c r="H16" s="2632"/>
      <c r="I16" s="2632"/>
      <c r="J16" s="2632"/>
      <c r="K16" s="2632"/>
      <c r="L16" s="322"/>
    </row>
    <row r="17" spans="2:12" ht="13.5" customHeight="1" x14ac:dyDescent="0.2">
      <c r="B17" s="1384" t="s">
        <v>1367</v>
      </c>
      <c r="C17" s="1384"/>
      <c r="D17" s="2633"/>
      <c r="E17" s="2633"/>
      <c r="F17" s="2633"/>
      <c r="G17" s="2633"/>
      <c r="H17" s="2633"/>
      <c r="I17" s="2633"/>
      <c r="J17" s="2633"/>
      <c r="K17" s="2633"/>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1366</v>
      </c>
      <c r="C19" s="1474"/>
      <c r="D19" s="328"/>
      <c r="E19" s="328"/>
      <c r="F19" s="328"/>
      <c r="G19" s="1475"/>
      <c r="H19" s="328"/>
      <c r="I19" s="1475"/>
      <c r="J19" s="322"/>
      <c r="K19" s="322"/>
      <c r="L19" s="322"/>
    </row>
    <row r="20" spans="2:12" ht="35.25" customHeight="1" x14ac:dyDescent="0.2">
      <c r="B20" s="2601"/>
      <c r="C20" s="2601"/>
      <c r="D20" s="2601"/>
      <c r="E20" s="2601"/>
      <c r="F20" s="2601"/>
      <c r="G20" s="2601"/>
      <c r="H20" s="2601"/>
      <c r="I20" s="2601"/>
      <c r="J20" s="2601"/>
      <c r="K20" s="2601"/>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1855</v>
      </c>
      <c r="C22" s="1474"/>
      <c r="D22" s="322"/>
      <c r="E22" s="322"/>
      <c r="F22" s="322"/>
      <c r="G22" s="1380"/>
      <c r="H22" s="322"/>
      <c r="I22" s="1380"/>
      <c r="J22" s="322"/>
      <c r="K22" s="322"/>
      <c r="L22" s="322"/>
    </row>
    <row r="23" spans="2:12" ht="37.5" customHeight="1" x14ac:dyDescent="0.2">
      <c r="B23" s="2601"/>
      <c r="C23" s="2601"/>
      <c r="D23" s="2601"/>
      <c r="E23" s="2601"/>
      <c r="F23" s="2601"/>
      <c r="G23" s="2601"/>
      <c r="H23" s="2601"/>
      <c r="I23" s="2601"/>
      <c r="J23" s="2601"/>
      <c r="K23" s="2601"/>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1856</v>
      </c>
      <c r="C25" s="1474"/>
      <c r="D25" s="322"/>
      <c r="E25" s="322"/>
      <c r="F25" s="322"/>
      <c r="G25" s="1380"/>
      <c r="H25" s="322"/>
      <c r="I25" s="1380"/>
      <c r="J25" s="322"/>
      <c r="K25" s="322"/>
      <c r="L25" s="322"/>
    </row>
    <row r="26" spans="2:12" ht="37.5" customHeight="1" x14ac:dyDescent="0.2">
      <c r="B26" s="2601"/>
      <c r="C26" s="2601"/>
      <c r="D26" s="2601"/>
      <c r="E26" s="2601"/>
      <c r="F26" s="2601"/>
      <c r="G26" s="2601"/>
      <c r="H26" s="2601"/>
      <c r="I26" s="2601"/>
      <c r="J26" s="2601"/>
      <c r="K26" s="2601"/>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1857</v>
      </c>
      <c r="C28" s="1474"/>
      <c r="D28" s="322"/>
      <c r="E28" s="322"/>
      <c r="F28" s="322"/>
      <c r="G28" s="1380"/>
      <c r="H28" s="322"/>
      <c r="I28" s="1380"/>
      <c r="J28" s="322"/>
      <c r="K28" s="322"/>
      <c r="L28" s="322"/>
    </row>
    <row r="29" spans="2:12" ht="37.5" customHeight="1" x14ac:dyDescent="0.2">
      <c r="B29" s="2601"/>
      <c r="C29" s="2601"/>
      <c r="D29" s="2601"/>
      <c r="E29" s="2601"/>
      <c r="F29" s="2601"/>
      <c r="G29" s="2601"/>
      <c r="H29" s="2601"/>
      <c r="I29" s="2601"/>
      <c r="J29" s="2601"/>
      <c r="K29" s="2601"/>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1365</v>
      </c>
      <c r="C31" s="1474"/>
      <c r="D31" s="322"/>
      <c r="E31" s="322"/>
      <c r="F31" s="322"/>
      <c r="G31" s="1380"/>
      <c r="H31" s="322"/>
      <c r="I31" s="1380"/>
      <c r="J31" s="322"/>
      <c r="K31" s="322"/>
      <c r="L31" s="322"/>
    </row>
    <row r="32" spans="2:12" ht="37.5" customHeight="1" x14ac:dyDescent="0.2">
      <c r="B32" s="2601"/>
      <c r="C32" s="2601"/>
      <c r="D32" s="2601"/>
      <c r="E32" s="2601"/>
      <c r="F32" s="2601"/>
      <c r="G32" s="2601"/>
      <c r="H32" s="2601"/>
      <c r="I32" s="2601"/>
      <c r="J32" s="2601"/>
      <c r="K32" s="2601"/>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1364</v>
      </c>
      <c r="C34" s="1381"/>
      <c r="D34" s="322"/>
      <c r="E34" s="322"/>
      <c r="F34" s="322"/>
      <c r="G34" s="1380"/>
      <c r="H34" s="322"/>
      <c r="I34" s="1380"/>
      <c r="J34" s="322"/>
      <c r="K34" s="322"/>
      <c r="L34" s="322"/>
    </row>
    <row r="35" spans="2:12" ht="37.5" customHeight="1" x14ac:dyDescent="0.2">
      <c r="B35" s="2601"/>
      <c r="C35" s="2601"/>
      <c r="D35" s="2601"/>
      <c r="E35" s="2601"/>
      <c r="F35" s="2601"/>
      <c r="G35" s="2601"/>
      <c r="H35" s="2601"/>
      <c r="I35" s="2601"/>
      <c r="J35" s="2601"/>
      <c r="K35" s="2601"/>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1363</v>
      </c>
      <c r="C37" s="1381"/>
      <c r="D37" s="322"/>
      <c r="E37" s="322"/>
      <c r="F37" s="322"/>
      <c r="G37" s="1380"/>
      <c r="H37" s="322"/>
      <c r="I37" s="1380"/>
      <c r="J37" s="322"/>
      <c r="K37" s="322"/>
      <c r="L37" s="322"/>
    </row>
    <row r="38" spans="2:12" ht="35.25" customHeight="1" x14ac:dyDescent="0.2">
      <c r="B38" s="2601"/>
      <c r="C38" s="2601"/>
      <c r="D38" s="2601"/>
      <c r="E38" s="2601"/>
      <c r="F38" s="2601"/>
      <c r="G38" s="2601"/>
      <c r="H38" s="2601"/>
      <c r="I38" s="2601"/>
      <c r="J38" s="2601"/>
      <c r="K38" s="260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1858</v>
      </c>
      <c r="C40" s="1400"/>
      <c r="D40" s="1375"/>
      <c r="E40" s="1376"/>
      <c r="F40" s="1376"/>
      <c r="G40" s="1377"/>
      <c r="H40" s="1376"/>
      <c r="I40" s="1377"/>
      <c r="J40" s="1376"/>
      <c r="K40" s="1376"/>
    </row>
    <row r="41" spans="2:12" s="322" customFormat="1" ht="33.75" customHeight="1" x14ac:dyDescent="0.2">
      <c r="B41" s="2601"/>
      <c r="C41" s="2601"/>
      <c r="D41" s="2601"/>
      <c r="E41" s="2601"/>
      <c r="F41" s="2601"/>
      <c r="G41" s="2601"/>
      <c r="H41" s="2601"/>
      <c r="I41" s="2601"/>
      <c r="J41" s="2601"/>
      <c r="K41" s="2601"/>
    </row>
    <row r="42" spans="2:12" s="322" customFormat="1" ht="4.5" customHeight="1" x14ac:dyDescent="0.2">
      <c r="B42" s="1399"/>
      <c r="C42" s="1399"/>
      <c r="G42" s="1380"/>
      <c r="I42" s="1380"/>
    </row>
    <row r="43" spans="2:12" s="322" customFormat="1" ht="13.5" customHeight="1" x14ac:dyDescent="0.2">
      <c r="B43" s="1479" t="s">
        <v>1352</v>
      </c>
      <c r="C43" s="1480"/>
      <c r="D43" s="1401"/>
      <c r="E43" s="1401"/>
      <c r="F43" s="1401"/>
      <c r="G43" s="1402"/>
      <c r="H43" s="1401"/>
      <c r="I43" s="1402"/>
      <c r="J43" s="1401"/>
      <c r="K43" s="1403"/>
      <c r="L43" s="1481"/>
    </row>
    <row r="44" spans="2:12" s="322" customFormat="1" ht="13.5" customHeight="1" x14ac:dyDescent="0.2">
      <c r="B44" s="1404" t="s">
        <v>1351</v>
      </c>
      <c r="C44" s="1405"/>
      <c r="D44" s="1482"/>
      <c r="E44" s="1406"/>
      <c r="F44" s="1410" t="s">
        <v>1350</v>
      </c>
      <c r="G44" s="1408"/>
      <c r="H44" s="1407"/>
      <c r="I44" s="1408"/>
      <c r="J44" s="1483"/>
      <c r="K44" s="1484"/>
      <c r="L44" s="1481"/>
    </row>
    <row r="45" spans="2:12" s="322" customFormat="1" ht="13.5" customHeight="1" x14ac:dyDescent="0.2">
      <c r="B45" s="1404" t="s">
        <v>1349</v>
      </c>
      <c r="C45" s="1405"/>
      <c r="D45" s="1483"/>
      <c r="E45" s="1407"/>
      <c r="F45" s="1410" t="s">
        <v>1348</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1859</v>
      </c>
      <c r="C48" s="1416"/>
      <c r="D48" s="322"/>
      <c r="E48" s="322"/>
      <c r="F48" s="322"/>
    </row>
    <row r="49" spans="2:3" s="317" customFormat="1" ht="10.5" customHeight="1" x14ac:dyDescent="0.2">
      <c r="B49" s="1417" t="s">
        <v>1860</v>
      </c>
      <c r="C49" s="1417"/>
    </row>
    <row r="50" spans="2:3" s="317" customFormat="1" ht="11.1" customHeight="1" x14ac:dyDescent="0.2">
      <c r="B50" s="1417" t="s">
        <v>1861</v>
      </c>
      <c r="C50" s="1417"/>
    </row>
    <row r="51" spans="2:3" s="317" customFormat="1" ht="11.1" customHeight="1" x14ac:dyDescent="0.2">
      <c r="B51" s="1417" t="s">
        <v>1862</v>
      </c>
      <c r="C51" s="1417"/>
    </row>
    <row r="52" spans="2:3" s="317" customFormat="1" ht="11.1" customHeight="1" x14ac:dyDescent="0.2">
      <c r="B52" s="1417" t="s">
        <v>1863</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602" t="str">
        <f>'Single Audit Cover'!A7</f>
        <v>Geneseo CUSD 228</v>
      </c>
      <c r="C1" s="2602"/>
      <c r="D1" s="2602"/>
      <c r="E1" s="1488"/>
    </row>
    <row r="2" spans="2:5" s="1280" customFormat="1" ht="12.75" customHeight="1" x14ac:dyDescent="0.2">
      <c r="B2" s="2603">
        <f>'Single Audit Cover'!E7</f>
        <v>28037228026</v>
      </c>
      <c r="C2" s="2603"/>
      <c r="D2" s="2603"/>
      <c r="E2" s="1489"/>
    </row>
    <row r="3" spans="2:5" ht="12.75" customHeight="1" x14ac:dyDescent="0.2">
      <c r="B3" s="2604" t="s">
        <v>1864</v>
      </c>
      <c r="C3" s="2604"/>
      <c r="D3" s="2604"/>
      <c r="E3" s="1272"/>
    </row>
    <row r="4" spans="2:5" s="1280" customFormat="1" ht="12.75" customHeight="1" x14ac:dyDescent="0.2">
      <c r="B4" s="2637" t="str">
        <f>'Single Audit Cover'!A4</f>
        <v>Year Ending June 30, 2018</v>
      </c>
      <c r="C4" s="2637"/>
      <c r="D4" s="2637"/>
      <c r="E4" s="1490"/>
    </row>
    <row r="5" spans="2:5" s="1280" customFormat="1" ht="40.15" hidden="1" customHeight="1" x14ac:dyDescent="0.2">
      <c r="B5" s="1491" t="s">
        <v>1865</v>
      </c>
      <c r="C5" s="328"/>
      <c r="D5" s="328"/>
      <c r="E5" s="328"/>
    </row>
    <row r="6" spans="2:5" s="1280" customFormat="1" ht="13.5" customHeight="1" x14ac:dyDescent="0.2">
      <c r="B6" s="1492" t="s">
        <v>1381</v>
      </c>
      <c r="C6" s="1492" t="s">
        <v>1380</v>
      </c>
      <c r="D6" s="1492" t="s">
        <v>1866</v>
      </c>
    </row>
    <row r="7" spans="2:5" ht="13.5" customHeight="1" x14ac:dyDescent="0.2">
      <c r="B7" s="1493" t="s">
        <v>2202</v>
      </c>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5" t="s">
        <v>1379</v>
      </c>
      <c r="C44" s="322"/>
    </row>
    <row r="45" spans="2:5" ht="12.2" customHeight="1" x14ac:dyDescent="0.2">
      <c r="B45" s="1502" t="s">
        <v>1867</v>
      </c>
    </row>
    <row r="46" spans="2:5" ht="12.2" customHeight="1" x14ac:dyDescent="0.2">
      <c r="B46" s="1502" t="s">
        <v>1868</v>
      </c>
    </row>
    <row r="47" spans="2:5" ht="12.2" customHeight="1" x14ac:dyDescent="0.2">
      <c r="B47" s="1503" t="s">
        <v>1378</v>
      </c>
    </row>
    <row r="48" spans="2:5" ht="12.2" customHeight="1" x14ac:dyDescent="0.2">
      <c r="B48" s="1503" t="s">
        <v>1377</v>
      </c>
    </row>
    <row r="49" spans="2:5" ht="12.2" customHeight="1" x14ac:dyDescent="0.2">
      <c r="B49" s="1503" t="s">
        <v>1376</v>
      </c>
    </row>
    <row r="50" spans="2:5" ht="12.2" customHeight="1" x14ac:dyDescent="0.2">
      <c r="B50" s="1503"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2053" customWidth="1"/>
    <col min="2" max="2" width="11.28515625" style="2053" customWidth="1"/>
    <col min="3" max="3" width="6.42578125" style="2053" customWidth="1"/>
    <col min="4" max="4" width="5.42578125" style="2053" customWidth="1"/>
    <col min="5" max="5" width="74.7109375" style="2053" customWidth="1"/>
    <col min="6" max="6" width="1.5703125" style="2053" customWidth="1"/>
    <col min="7" max="8" width="2.42578125" style="2053" customWidth="1"/>
    <col min="9" max="9" width="9.28515625" style="2053" customWidth="1"/>
    <col min="10" max="10" width="14.42578125" style="2053" customWidth="1"/>
    <col min="11" max="11" width="7.28515625" style="2053" customWidth="1"/>
    <col min="12" max="12" width="3.140625" style="2053" customWidth="1"/>
    <col min="13" max="16384" width="9.140625" style="2053"/>
  </cols>
  <sheetData>
    <row r="1" spans="2:12" ht="13.5" customHeight="1" x14ac:dyDescent="0.2">
      <c r="B1" s="2640" t="s">
        <v>2244</v>
      </c>
      <c r="C1" s="2640"/>
      <c r="D1" s="2640"/>
      <c r="E1" s="2640"/>
      <c r="F1" s="2052"/>
      <c r="G1" s="2052"/>
      <c r="H1" s="2052"/>
      <c r="I1" s="2052"/>
      <c r="J1" s="2052"/>
      <c r="K1" s="2052"/>
      <c r="L1" s="2052"/>
    </row>
    <row r="2" spans="2:12" ht="13.5" customHeight="1" x14ac:dyDescent="0.2">
      <c r="B2" s="2641" t="s">
        <v>2080</v>
      </c>
      <c r="C2" s="2641"/>
      <c r="D2" s="2641"/>
      <c r="E2" s="2641"/>
      <c r="F2" s="2054"/>
      <c r="G2" s="2054"/>
      <c r="H2" s="2054"/>
      <c r="I2" s="2054"/>
      <c r="J2" s="2054"/>
      <c r="K2" s="2054"/>
      <c r="L2" s="2054"/>
    </row>
    <row r="3" spans="2:12" ht="13.5" customHeight="1" x14ac:dyDescent="0.2">
      <c r="B3" s="2642" t="s">
        <v>2203</v>
      </c>
      <c r="C3" s="2642"/>
      <c r="D3" s="2642"/>
      <c r="E3" s="2642"/>
      <c r="F3" s="2055"/>
      <c r="G3" s="2055"/>
      <c r="H3" s="2055"/>
      <c r="I3" s="2055"/>
      <c r="J3" s="2055"/>
      <c r="K3" s="2055"/>
      <c r="L3" s="2055"/>
    </row>
    <row r="4" spans="2:12" ht="13.5" customHeight="1" x14ac:dyDescent="0.2">
      <c r="B4" s="2643" t="str">
        <f>SSPAF!B4</f>
        <v>Year Ending June 30, 2018</v>
      </c>
      <c r="C4" s="2643"/>
      <c r="D4" s="2643"/>
      <c r="E4" s="2643"/>
      <c r="F4" s="2056"/>
      <c r="G4" s="2056"/>
      <c r="H4" s="2056"/>
      <c r="I4" s="2056"/>
      <c r="J4" s="2056"/>
      <c r="K4" s="2056"/>
      <c r="L4" s="2056"/>
    </row>
    <row r="5" spans="2:12" ht="29.85" customHeight="1" x14ac:dyDescent="0.2">
      <c r="B5" s="2057"/>
      <c r="C5" s="2057"/>
      <c r="D5" s="2057"/>
      <c r="E5" s="2057"/>
      <c r="F5" s="2057"/>
      <c r="G5" s="2057"/>
      <c r="H5" s="2057"/>
      <c r="I5" s="2057"/>
    </row>
    <row r="6" spans="2:12" ht="13.5" customHeight="1" x14ac:dyDescent="0.2">
      <c r="B6" s="2058" t="s">
        <v>2204</v>
      </c>
      <c r="C6" s="2058"/>
      <c r="D6" s="2059"/>
      <c r="E6" s="2060"/>
      <c r="F6" s="2060"/>
      <c r="G6" s="2061"/>
      <c r="H6" s="2061"/>
      <c r="I6" s="2061"/>
    </row>
    <row r="7" spans="2:12" ht="13.5" customHeight="1" x14ac:dyDescent="0.2">
      <c r="B7" s="2057" t="s">
        <v>1230</v>
      </c>
      <c r="C7" s="2057"/>
      <c r="D7" s="2057"/>
      <c r="E7" s="2057"/>
      <c r="F7" s="2057"/>
      <c r="G7" s="2057"/>
      <c r="H7" s="2057"/>
      <c r="I7" s="2057"/>
    </row>
    <row r="8" spans="2:12" ht="13.5" customHeight="1" x14ac:dyDescent="0.2">
      <c r="B8" s="2062" t="s">
        <v>2205</v>
      </c>
      <c r="C8" s="2063" t="s">
        <v>1947</v>
      </c>
      <c r="D8" s="2064" t="s">
        <v>2206</v>
      </c>
      <c r="E8" s="2057"/>
      <c r="F8" s="2057"/>
      <c r="G8" s="2057"/>
      <c r="H8" s="2057"/>
      <c r="I8" s="2057"/>
    </row>
    <row r="9" spans="2:12" ht="13.5" customHeight="1" x14ac:dyDescent="0.2">
      <c r="B9" s="2065"/>
      <c r="C9" s="2065"/>
      <c r="D9" s="2065"/>
    </row>
    <row r="10" spans="2:12" ht="13.5" customHeight="1" x14ac:dyDescent="0.2">
      <c r="B10" s="2062" t="s">
        <v>2207</v>
      </c>
      <c r="C10" s="2062"/>
      <c r="D10" s="2057"/>
    </row>
    <row r="11" spans="2:12" ht="66.75" customHeight="1" x14ac:dyDescent="0.2">
      <c r="B11" s="2638"/>
      <c r="C11" s="2638"/>
      <c r="D11" s="2639"/>
      <c r="E11" s="2639"/>
    </row>
    <row r="12" spans="2:12" ht="13.5" customHeight="1" x14ac:dyDescent="0.2">
      <c r="B12" s="2057"/>
      <c r="C12" s="2057"/>
      <c r="D12" s="2057"/>
    </row>
    <row r="13" spans="2:12" ht="13.5" customHeight="1" x14ac:dyDescent="0.2">
      <c r="B13" s="2062" t="s">
        <v>2208</v>
      </c>
      <c r="C13" s="2062"/>
      <c r="D13" s="2057"/>
    </row>
    <row r="14" spans="2:12" ht="76.5" customHeight="1" x14ac:dyDescent="0.2">
      <c r="B14" s="2638"/>
      <c r="C14" s="2638"/>
      <c r="D14" s="2639"/>
      <c r="E14" s="2639"/>
    </row>
    <row r="15" spans="2:12" ht="13.5" customHeight="1" x14ac:dyDescent="0.2">
      <c r="B15" s="2057"/>
      <c r="C15" s="2057"/>
      <c r="D15" s="2057"/>
    </row>
    <row r="16" spans="2:12" ht="13.5" customHeight="1" x14ac:dyDescent="0.2">
      <c r="B16" s="2062" t="s">
        <v>2209</v>
      </c>
      <c r="C16" s="2062"/>
      <c r="D16" s="2057"/>
      <c r="E16" s="2066"/>
    </row>
    <row r="17" spans="2:5" ht="13.5" customHeight="1" x14ac:dyDescent="0.2">
      <c r="B17" s="2057"/>
      <c r="C17" s="2057"/>
      <c r="D17" s="2057"/>
    </row>
    <row r="18" spans="2:5" ht="13.5" customHeight="1" x14ac:dyDescent="0.2">
      <c r="B18" s="2062" t="s">
        <v>2210</v>
      </c>
      <c r="C18" s="2062"/>
      <c r="D18" s="2057"/>
      <c r="E18" s="2067"/>
    </row>
    <row r="19" spans="2:5" ht="13.5" customHeight="1" x14ac:dyDescent="0.2">
      <c r="B19" s="2057"/>
      <c r="C19" s="2057"/>
      <c r="D19" s="2057"/>
    </row>
    <row r="20" spans="2:5" ht="13.5" customHeight="1" x14ac:dyDescent="0.2">
      <c r="B20" s="2062" t="s">
        <v>2211</v>
      </c>
      <c r="C20" s="2062"/>
      <c r="D20" s="2057"/>
      <c r="E20" s="2067"/>
    </row>
    <row r="21" spans="2:5" ht="13.5" customHeight="1" x14ac:dyDescent="0.2">
      <c r="B21" s="2057"/>
      <c r="C21" s="2057"/>
      <c r="D21" s="2057"/>
      <c r="E21" s="2068"/>
    </row>
    <row r="22" spans="2:5" ht="13.5" customHeight="1" x14ac:dyDescent="0.2">
      <c r="B22" s="2057"/>
      <c r="C22" s="2057"/>
      <c r="D22" s="2057"/>
      <c r="E22" s="2068"/>
    </row>
    <row r="23" spans="2:5" ht="13.5" customHeight="1" x14ac:dyDescent="0.2">
      <c r="B23" s="2057"/>
      <c r="C23" s="2057"/>
      <c r="D23" s="2057"/>
    </row>
    <row r="24" spans="2:5" ht="13.5" customHeight="1" x14ac:dyDescent="0.2">
      <c r="B24" s="2057"/>
      <c r="C24" s="2057"/>
      <c r="D24" s="2057"/>
    </row>
    <row r="25" spans="2:5" ht="13.5" customHeight="1" x14ac:dyDescent="0.2">
      <c r="B25" s="2069"/>
      <c r="C25" s="2069"/>
      <c r="D25" s="2069"/>
    </row>
    <row r="26" spans="2:5" ht="13.5" customHeight="1" x14ac:dyDescent="0.2">
      <c r="B26" s="2069"/>
      <c r="C26" s="2069"/>
      <c r="D26" s="2069"/>
    </row>
    <row r="27" spans="2:5" ht="13.5" customHeight="1" x14ac:dyDescent="0.2">
      <c r="B27" s="2069"/>
      <c r="C27" s="2069"/>
      <c r="D27" s="206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0"/>
      <c r="C35" s="2070"/>
      <c r="D35" s="2070"/>
    </row>
    <row r="36" spans="2:5" ht="13.5" customHeight="1" x14ac:dyDescent="0.2"/>
    <row r="37" spans="2:5" ht="13.5" customHeight="1" x14ac:dyDescent="0.2">
      <c r="B37" s="2071"/>
      <c r="C37" s="2071"/>
      <c r="D37" s="2071"/>
    </row>
    <row r="38" spans="2:5" ht="13.5" customHeight="1" x14ac:dyDescent="0.2">
      <c r="B38" s="2071"/>
      <c r="C38" s="2071"/>
      <c r="D38" s="2071"/>
    </row>
    <row r="39" spans="2:5" ht="13.5" customHeight="1" x14ac:dyDescent="0.2">
      <c r="B39" s="2071"/>
      <c r="C39" s="2071"/>
      <c r="D39" s="2071"/>
    </row>
    <row r="40" spans="2:5" ht="13.5" customHeight="1" x14ac:dyDescent="0.2">
      <c r="B40" s="2071"/>
      <c r="C40" s="2071"/>
      <c r="D40" s="2071"/>
    </row>
    <row r="41" spans="2:5" ht="13.5" customHeight="1" x14ac:dyDescent="0.2">
      <c r="B41" s="2072"/>
      <c r="C41" s="2072"/>
      <c r="D41" s="2072"/>
      <c r="E41" s="2073"/>
    </row>
    <row r="42" spans="2:5" ht="12.2" customHeight="1" x14ac:dyDescent="0.2">
      <c r="B42" s="2074" t="s">
        <v>2212</v>
      </c>
      <c r="C42" s="2074"/>
      <c r="D42" s="2074"/>
    </row>
    <row r="43" spans="2:5" ht="12.2" customHeight="1" x14ac:dyDescent="0.2">
      <c r="B43" s="2075"/>
      <c r="C43" s="2075"/>
      <c r="D43" s="2075"/>
    </row>
    <row r="44" spans="2:5" ht="12.75" customHeight="1" x14ac:dyDescent="0.2">
      <c r="B44" s="2076"/>
      <c r="C44" s="2076"/>
      <c r="D44" s="2076"/>
    </row>
    <row r="45" spans="2:5" ht="12.75" customHeight="1" x14ac:dyDescent="0.2">
      <c r="B45" s="2076"/>
      <c r="C45" s="2076"/>
      <c r="D45" s="2076"/>
    </row>
    <row r="46" spans="2:5" x14ac:dyDescent="0.2">
      <c r="B46" s="2076"/>
      <c r="C46" s="2076"/>
      <c r="D46" s="2076"/>
    </row>
    <row r="47" spans="2:5" x14ac:dyDescent="0.2">
      <c r="B47" s="2076"/>
      <c r="C47" s="2076"/>
      <c r="D47" s="2076"/>
    </row>
    <row r="51" spans="2:9" x14ac:dyDescent="0.2">
      <c r="B51" s="2077"/>
      <c r="C51" s="2077"/>
      <c r="D51" s="2077"/>
    </row>
    <row r="52" spans="2:9" ht="12.75" customHeight="1" x14ac:dyDescent="0.2"/>
    <row r="53" spans="2:9" ht="12.75" customHeight="1" x14ac:dyDescent="0.2">
      <c r="B53" s="2057"/>
      <c r="C53" s="2057"/>
      <c r="D53" s="2057"/>
      <c r="E53" s="2057"/>
      <c r="F53" s="2057"/>
      <c r="G53" s="2057"/>
      <c r="H53" s="2057"/>
      <c r="I53" s="2057"/>
    </row>
    <row r="54" spans="2:9" ht="12.75" customHeight="1" x14ac:dyDescent="0.2">
      <c r="B54" s="2057"/>
      <c r="C54" s="2057"/>
      <c r="D54" s="2057"/>
      <c r="E54" s="2057"/>
      <c r="F54" s="2057"/>
      <c r="G54" s="2057"/>
      <c r="H54" s="2057"/>
      <c r="I54" s="2057"/>
    </row>
    <row r="55" spans="2:9" ht="12.75" customHeight="1" x14ac:dyDescent="0.2">
      <c r="B55" s="2057"/>
      <c r="C55" s="2057"/>
      <c r="D55" s="2057"/>
      <c r="E55" s="2057"/>
      <c r="F55" s="2057"/>
      <c r="G55" s="2057"/>
      <c r="H55" s="2057"/>
      <c r="I55" s="2057"/>
    </row>
    <row r="56" spans="2:9" ht="12.75" customHeight="1" x14ac:dyDescent="0.2">
      <c r="B56" s="2057"/>
      <c r="C56" s="2057"/>
      <c r="D56" s="2057"/>
      <c r="E56" s="2057"/>
      <c r="F56" s="2057"/>
      <c r="G56" s="2057"/>
      <c r="H56" s="2057"/>
      <c r="I56" s="2057"/>
    </row>
    <row r="57" spans="2:9" ht="12.75" customHeight="1" x14ac:dyDescent="0.2">
      <c r="B57" s="2057"/>
      <c r="C57" s="2057"/>
      <c r="D57" s="2057"/>
      <c r="E57" s="2057"/>
      <c r="F57" s="2057"/>
      <c r="G57" s="2057"/>
      <c r="H57" s="2057"/>
      <c r="I57" s="2057"/>
    </row>
    <row r="58" spans="2:9" ht="12.75" customHeight="1" x14ac:dyDescent="0.2">
      <c r="B58" s="2057"/>
      <c r="C58" s="2057"/>
      <c r="D58" s="2057"/>
      <c r="E58" s="2057"/>
      <c r="F58" s="2057"/>
      <c r="G58" s="2057"/>
      <c r="H58" s="2057"/>
      <c r="I58" s="2057"/>
    </row>
    <row r="59" spans="2:9" ht="12.75" customHeight="1" x14ac:dyDescent="0.2">
      <c r="B59" s="2057"/>
      <c r="C59" s="2057"/>
      <c r="D59" s="2057"/>
      <c r="E59" s="2057"/>
      <c r="F59" s="2057"/>
    </row>
    <row r="60" spans="2:9" ht="12.75" customHeight="1" x14ac:dyDescent="0.2">
      <c r="B60" s="2057"/>
      <c r="C60" s="2057"/>
      <c r="D60" s="2057"/>
      <c r="E60" s="2057"/>
      <c r="F60" s="2057"/>
      <c r="G60" s="2057"/>
      <c r="H60" s="2057"/>
      <c r="I60" s="2057"/>
    </row>
    <row r="64" spans="2:9" x14ac:dyDescent="0.2">
      <c r="B64" s="2078"/>
      <c r="C64" s="2078"/>
      <c r="D64" s="2078"/>
    </row>
    <row r="65" spans="2:4" x14ac:dyDescent="0.2">
      <c r="B65" s="2076"/>
      <c r="C65" s="2076"/>
      <c r="D65" s="2076"/>
    </row>
    <row r="66" spans="2:4" x14ac:dyDescent="0.2">
      <c r="B66" s="2076"/>
      <c r="C66" s="2076"/>
      <c r="D66" s="2076"/>
    </row>
    <row r="67" spans="2:4" x14ac:dyDescent="0.2">
      <c r="B67" s="2079"/>
      <c r="C67" s="2079"/>
      <c r="D67" s="2079"/>
    </row>
    <row r="68" spans="2:4" x14ac:dyDescent="0.2">
      <c r="B68" s="2079"/>
      <c r="C68" s="2079"/>
      <c r="D68" s="2079"/>
    </row>
    <row r="69" spans="2:4" x14ac:dyDescent="0.2">
      <c r="B69" s="2079"/>
      <c r="C69" s="2079"/>
      <c r="D69" s="2079"/>
    </row>
    <row r="70" spans="2:4" x14ac:dyDescent="0.2">
      <c r="B70" s="2076"/>
      <c r="C70" s="2076"/>
      <c r="D70" s="207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29" t="s">
        <v>403</v>
      </c>
      <c r="B1" s="2229"/>
      <c r="C1" s="2229"/>
      <c r="D1" s="2229"/>
      <c r="E1" s="2229"/>
      <c r="F1" s="2229"/>
      <c r="G1" s="2229"/>
      <c r="H1" s="2229"/>
      <c r="I1" s="2229"/>
      <c r="J1" s="2229"/>
      <c r="K1" s="2229"/>
      <c r="L1" s="2229"/>
      <c r="M1" s="222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289</v>
      </c>
      <c r="G7" s="222"/>
      <c r="H7" s="222"/>
      <c r="I7" s="222"/>
      <c r="J7" s="352">
        <v>362133178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2.35E-2</v>
      </c>
      <c r="E10" s="356" t="s">
        <v>1061</v>
      </c>
      <c r="F10" s="355">
        <v>5.0000000000000001E-3</v>
      </c>
      <c r="G10" s="356" t="s">
        <v>1061</v>
      </c>
      <c r="H10" s="355">
        <v>2E-3</v>
      </c>
      <c r="I10" s="356" t="s">
        <v>1062</v>
      </c>
      <c r="J10" s="1746">
        <f>ROUND(D10+F10+H10,5)</f>
        <v>3.0499999999999999E-2</v>
      </c>
      <c r="K10" s="222"/>
      <c r="L10" s="355">
        <v>5.0000000000000001E-4</v>
      </c>
      <c r="M10" s="222"/>
    </row>
    <row r="11" spans="1:14" ht="7.5" customHeight="1" x14ac:dyDescent="0.2">
      <c r="B11" s="222"/>
      <c r="C11" s="222"/>
      <c r="D11" s="2239" t="str">
        <f>IF(SUM(J10)&lt;=0.0999999,"","Enter the Tax Rates by moving the decimal two places to the left.")</f>
        <v/>
      </c>
      <c r="E11" s="2240"/>
      <c r="F11" s="2240"/>
      <c r="G11" s="2240"/>
      <c r="H11" s="2240"/>
      <c r="I11" s="2240"/>
      <c r="J11" s="224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7">
        <f>SUM('Acct Summary 7-8'!C8,'Acct Summary 7-8'!D8,'Acct Summary 7-8'!F8,'Acct Summary 7-8'!I8)</f>
        <v>21029911</v>
      </c>
      <c r="E16" s="356"/>
      <c r="F16" s="1747">
        <f>SUM('Acct Summary 7-8'!C17,'Acct Summary 7-8'!D17,'Acct Summary 7-8'!F17)</f>
        <v>21023452</v>
      </c>
      <c r="G16" s="356"/>
      <c r="H16" s="1747">
        <f>SUM(D16-F16)</f>
        <v>6459</v>
      </c>
      <c r="I16" s="222"/>
      <c r="J16" s="1747">
        <f>SUM('Acct Summary 7-8'!C81,'Acct Summary 7-8'!D81,'Acct Summary 7-8'!F81,'Acct Summary 7-8'!I81)</f>
        <v>14512817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1747</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7">
        <f>'Short-Term Long-Term Debt 24'!F4</f>
        <v>0</v>
      </c>
      <c r="E22" s="356" t="s">
        <v>1061</v>
      </c>
      <c r="F22" s="1747">
        <f>'Short-Term Long-Term Debt 24'!F15</f>
        <v>0</v>
      </c>
      <c r="G22" s="356" t="s">
        <v>1061</v>
      </c>
      <c r="H22" s="1747">
        <f>'Short-Term Long-Term Debt 24'!F21</f>
        <v>0</v>
      </c>
      <c r="I22" s="356" t="s">
        <v>1061</v>
      </c>
      <c r="J22" s="1747">
        <f>'Short-Term Long-Term Debt 24'!F23</f>
        <v>0</v>
      </c>
      <c r="K22" s="356" t="s">
        <v>1061</v>
      </c>
      <c r="L22" s="174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1062</v>
      </c>
      <c r="F24" s="174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49">
        <f>IF(B31="X",(J7*0.069),IF(B32="X",(J7*0.138),"Enter x in a.or b."))</f>
        <v>49974378.564000003</v>
      </c>
      <c r="I31" s="368"/>
      <c r="J31" s="222"/>
      <c r="K31" s="222"/>
      <c r="L31" s="222"/>
      <c r="M31" s="222"/>
    </row>
    <row r="32" spans="1:13" ht="13.35" customHeight="1" x14ac:dyDescent="0.2">
      <c r="B32" s="369" t="s">
        <v>2071</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8">
        <f>'Assets-Liab 5-6'!N36</f>
        <v>38112467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230"/>
      <c r="C54" s="2231"/>
      <c r="D54" s="2231"/>
      <c r="E54" s="2231"/>
      <c r="F54" s="2231"/>
      <c r="G54" s="2231"/>
      <c r="H54" s="2231"/>
      <c r="I54" s="2231"/>
      <c r="J54" s="2231"/>
      <c r="K54" s="2231"/>
      <c r="L54" s="2232"/>
      <c r="M54" s="380"/>
    </row>
    <row r="55" spans="1:13" ht="12.75" customHeight="1" x14ac:dyDescent="0.2">
      <c r="B55" s="2233"/>
      <c r="C55" s="2234"/>
      <c r="D55" s="2234"/>
      <c r="E55" s="2234"/>
      <c r="F55" s="2234"/>
      <c r="G55" s="2234"/>
      <c r="H55" s="2234"/>
      <c r="I55" s="2234"/>
      <c r="J55" s="2234"/>
      <c r="K55" s="2234"/>
      <c r="L55" s="2235"/>
      <c r="M55" s="380"/>
    </row>
    <row r="56" spans="1:13" ht="12.75" customHeight="1" x14ac:dyDescent="0.2">
      <c r="B56" s="2233"/>
      <c r="C56" s="2234"/>
      <c r="D56" s="2234"/>
      <c r="E56" s="2234"/>
      <c r="F56" s="2234"/>
      <c r="G56" s="2234"/>
      <c r="H56" s="2234"/>
      <c r="I56" s="2234"/>
      <c r="J56" s="2234"/>
      <c r="K56" s="2234"/>
      <c r="L56" s="2235"/>
      <c r="M56" s="222"/>
    </row>
    <row r="57" spans="1:13" ht="12.75" customHeight="1" x14ac:dyDescent="0.2">
      <c r="B57" s="2233"/>
      <c r="C57" s="2234"/>
      <c r="D57" s="2234"/>
      <c r="E57" s="2234"/>
      <c r="F57" s="2234"/>
      <c r="G57" s="2234"/>
      <c r="H57" s="2234"/>
      <c r="I57" s="2234"/>
      <c r="J57" s="2234"/>
      <c r="K57" s="2234"/>
      <c r="L57" s="2235"/>
      <c r="M57" s="222"/>
    </row>
    <row r="58" spans="1:13" x14ac:dyDescent="0.2">
      <c r="B58" s="2236"/>
      <c r="C58" s="2237"/>
      <c r="D58" s="2237"/>
      <c r="E58" s="2237"/>
      <c r="F58" s="2237"/>
      <c r="G58" s="2237"/>
      <c r="H58" s="2237"/>
      <c r="I58" s="2237"/>
      <c r="J58" s="2237"/>
      <c r="K58" s="2237"/>
      <c r="L58" s="223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1"/>
      <c r="D61" s="224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4"/>
      <c r="B1" s="2245"/>
      <c r="C1" s="2245"/>
      <c r="D1" s="384"/>
      <c r="E1" s="384"/>
      <c r="F1" s="384"/>
      <c r="G1" s="384"/>
      <c r="H1" s="384"/>
      <c r="I1" s="384"/>
      <c r="J1" s="384"/>
      <c r="K1" s="384"/>
      <c r="L1" s="384"/>
      <c r="M1" s="384"/>
      <c r="N1" s="384"/>
      <c r="O1" s="2244"/>
      <c r="P1" s="2245"/>
      <c r="Q1" s="2245"/>
    </row>
    <row r="2" spans="1:18" ht="15" x14ac:dyDescent="0.2">
      <c r="A2" s="2248" t="s">
        <v>576</v>
      </c>
      <c r="B2" s="2248"/>
      <c r="C2" s="2248"/>
      <c r="D2" s="2248"/>
      <c r="E2" s="2248"/>
      <c r="F2" s="2248"/>
      <c r="G2" s="2248"/>
      <c r="H2" s="2248"/>
      <c r="I2" s="2248"/>
      <c r="J2" s="2248"/>
      <c r="K2" s="2248"/>
      <c r="L2" s="2248"/>
      <c r="M2" s="2248"/>
      <c r="N2" s="2248"/>
      <c r="O2" s="2248"/>
      <c r="P2" s="2248"/>
      <c r="Q2" s="2248"/>
      <c r="R2" s="2248"/>
    </row>
    <row r="3" spans="1:18" ht="12.75" x14ac:dyDescent="0.2">
      <c r="A3" s="2249" t="s">
        <v>1479</v>
      </c>
      <c r="B3" s="2249"/>
      <c r="C3" s="2249"/>
      <c r="D3" s="2249"/>
      <c r="E3" s="2249"/>
      <c r="F3" s="2249"/>
      <c r="G3" s="2249"/>
      <c r="H3" s="2249"/>
      <c r="I3" s="2249"/>
      <c r="J3" s="2249"/>
      <c r="K3" s="2249"/>
      <c r="L3" s="2249"/>
      <c r="M3" s="2249"/>
      <c r="N3" s="2249"/>
      <c r="O3" s="2249"/>
      <c r="P3" s="2249"/>
      <c r="Q3" s="2249"/>
      <c r="R3" s="2249"/>
    </row>
    <row r="4" spans="1:18" x14ac:dyDescent="0.2">
      <c r="A4" s="2250" t="s">
        <v>1633</v>
      </c>
      <c r="B4" s="2250"/>
      <c r="C4" s="2250"/>
      <c r="D4" s="2250"/>
      <c r="E4" s="2250"/>
      <c r="F4" s="2250"/>
      <c r="G4" s="2250"/>
      <c r="H4" s="2250"/>
      <c r="I4" s="2250"/>
      <c r="J4" s="2250"/>
      <c r="K4" s="2250"/>
      <c r="L4" s="2250"/>
      <c r="M4" s="2250"/>
      <c r="N4" s="2250"/>
      <c r="O4" s="2250"/>
      <c r="P4" s="2250"/>
      <c r="Q4" s="2250"/>
      <c r="R4" s="225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Geneseo CUSD 228</v>
      </c>
      <c r="E7" s="391"/>
      <c r="G7" s="252"/>
      <c r="H7" s="387"/>
      <c r="I7" s="387"/>
      <c r="J7" s="387"/>
      <c r="K7" s="387"/>
      <c r="L7" s="329"/>
      <c r="M7" s="329"/>
      <c r="N7" s="329"/>
      <c r="O7" s="329"/>
      <c r="P7" s="329"/>
    </row>
    <row r="8" spans="1:18" ht="12.75" x14ac:dyDescent="0.2">
      <c r="A8" s="329"/>
      <c r="B8" s="329"/>
      <c r="C8" s="389" t="s">
        <v>1186</v>
      </c>
      <c r="D8" s="392">
        <f>COVER!A13</f>
        <v>28037228026</v>
      </c>
      <c r="E8" s="393"/>
      <c r="G8" s="329"/>
      <c r="H8" s="329"/>
      <c r="I8" s="329"/>
      <c r="J8" s="329"/>
      <c r="K8" s="329"/>
      <c r="L8" s="329"/>
      <c r="M8" s="329"/>
      <c r="N8" s="329"/>
      <c r="O8" s="329"/>
      <c r="P8" s="329"/>
    </row>
    <row r="9" spans="1:18" ht="12.75" x14ac:dyDescent="0.2">
      <c r="A9" s="329"/>
      <c r="B9" s="329"/>
      <c r="C9" s="389" t="s">
        <v>736</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14512817</v>
      </c>
      <c r="I12" s="404"/>
      <c r="J12" s="404"/>
      <c r="K12" s="405">
        <f>TRUNC((H12/H13*100000),5)/100000</f>
        <v>0.6917620458999999</v>
      </c>
      <c r="L12" s="406"/>
      <c r="M12" s="360" t="s">
        <v>1205</v>
      </c>
      <c r="N12" s="360"/>
      <c r="O12" s="407">
        <v>0.35</v>
      </c>
      <c r="P12" s="218"/>
      <c r="Q12" s="218"/>
    </row>
    <row r="13" spans="1:18" s="408" customFormat="1" ht="12.75" x14ac:dyDescent="0.2">
      <c r="A13" s="218"/>
      <c r="B13" s="401"/>
      <c r="C13" s="2246" t="s">
        <v>1390</v>
      </c>
      <c r="D13" s="2247"/>
      <c r="E13" s="218"/>
      <c r="F13" s="409" t="s">
        <v>825</v>
      </c>
      <c r="G13" s="402"/>
      <c r="H13" s="403">
        <f>SUM('Acct Summary 7-8'!C8+'Acct Summary 7-8'!D8+'Acct Summary 7-8'!F8+'Acct Summary 7-8'!I8)+H14</f>
        <v>20979493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-50418</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21023452</v>
      </c>
      <c r="I17" s="404"/>
      <c r="J17" s="416"/>
      <c r="K17" s="405">
        <f>TRUNC((H17/H18*100000),5)/100000</f>
        <v>1.0020953317999999</v>
      </c>
      <c r="L17" s="406"/>
      <c r="M17" s="417" t="s">
        <v>1232</v>
      </c>
      <c r="O17" s="418" t="str">
        <f>IF(AND(O16="2", J20 &gt; 2),"1",IF(AND(O16 = "1", J20 &gt; 2),"2",IF(AND(O16="1", J20 &gt;1),"1","0")))</f>
        <v>0</v>
      </c>
      <c r="P17" s="218"/>
    </row>
    <row r="18" spans="1:18" s="408" customFormat="1" ht="11.25" x14ac:dyDescent="0.2">
      <c r="A18" s="218"/>
      <c r="B18" s="401"/>
      <c r="C18" s="2246" t="s">
        <v>1383</v>
      </c>
      <c r="D18" s="2247"/>
      <c r="E18" s="218"/>
      <c r="F18" s="419" t="s">
        <v>826</v>
      </c>
      <c r="G18" s="402"/>
      <c r="H18" s="403">
        <f>SUM('Acct Summary 7-8'!C8+'Acct Summary 7-8'!D8+'Acct Summary 7-8'!F8+'Acct Summary 7-8'!I8)+H19</f>
        <v>20979493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-50418</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282.4192549</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243" t="s">
        <v>1478</v>
      </c>
      <c r="D24" s="2243"/>
      <c r="E24" s="218"/>
      <c r="F24" s="218" t="s">
        <v>464</v>
      </c>
      <c r="G24" s="402"/>
      <c r="H24" s="403">
        <f>SUM('Assets-Liab 5-6'!C4+'Assets-Liab 5-6'!D4+'Assets-Liab 5-6'!F4+'Assets-Liab 5-6'!I4+'Assets-Liab 5-6'!C5+'Assets-Liab 5-6'!D5+'Assets-Liab 5-6'!F5+'Assets-Liab 5-6'!I5)</f>
        <v>14512817</v>
      </c>
      <c r="I24" s="422"/>
      <c r="J24" s="422"/>
      <c r="K24" s="423">
        <f>TRUNC(((H24/H25*100000)/100000),2)</f>
        <v>248.51</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58398.477780000001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9388302.6396500003</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38112467</v>
      </c>
      <c r="I32" s="420"/>
      <c r="J32" s="420"/>
      <c r="K32" s="423">
        <f>TRUNC(100-((((H32/H33*100))*100)/100),2)</f>
        <v>23.73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49974378.564000003</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51"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25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253" t="s">
        <v>1029</v>
      </c>
      <c r="B3" s="2254"/>
      <c r="C3" s="1578"/>
      <c r="D3" s="1579"/>
      <c r="E3" s="1579"/>
      <c r="F3" s="1579"/>
      <c r="G3" s="1579"/>
      <c r="H3" s="1579"/>
      <c r="I3" s="1579"/>
      <c r="J3" s="1579"/>
      <c r="K3" s="1579"/>
      <c r="L3" s="1579"/>
      <c r="M3" s="1580"/>
      <c r="N3" s="1581"/>
    </row>
    <row r="4" spans="1:14" ht="13.5" customHeight="1" x14ac:dyDescent="0.2">
      <c r="A4" s="463" t="s">
        <v>1748</v>
      </c>
      <c r="B4" s="464"/>
      <c r="C4" s="465">
        <v>5440735</v>
      </c>
      <c r="D4" s="465">
        <v>2588667</v>
      </c>
      <c r="E4" s="466">
        <v>1712763</v>
      </c>
      <c r="F4" s="466">
        <v>1371820</v>
      </c>
      <c r="G4" s="466">
        <v>920996</v>
      </c>
      <c r="H4" s="466">
        <v>3561116</v>
      </c>
      <c r="I4" s="466">
        <v>5111595</v>
      </c>
      <c r="J4" s="467">
        <v>795598</v>
      </c>
      <c r="K4" s="466">
        <v>725092</v>
      </c>
      <c r="L4" s="466">
        <v>2891177</v>
      </c>
      <c r="M4" s="468"/>
      <c r="N4" s="469"/>
    </row>
    <row r="5" spans="1:14" x14ac:dyDescent="0.2">
      <c r="A5" s="463" t="s">
        <v>1048</v>
      </c>
      <c r="B5" s="470">
        <v>120</v>
      </c>
      <c r="C5" s="465">
        <v>0</v>
      </c>
      <c r="D5" s="466">
        <v>0</v>
      </c>
      <c r="E5" s="466">
        <v>0</v>
      </c>
      <c r="F5" s="466">
        <v>0</v>
      </c>
      <c r="G5" s="466">
        <v>0</v>
      </c>
      <c r="H5" s="466">
        <v>0</v>
      </c>
      <c r="I5" s="466">
        <v>0</v>
      </c>
      <c r="J5" s="467">
        <v>0</v>
      </c>
      <c r="K5" s="471">
        <v>0</v>
      </c>
      <c r="L5" s="472">
        <v>198900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0</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0" t="s">
        <v>664</v>
      </c>
      <c r="B13" s="1723"/>
      <c r="C13" s="1751">
        <f>SUM(C4:C12)</f>
        <v>5440735</v>
      </c>
      <c r="D13" s="1751">
        <f t="shared" ref="D13:L13" si="0">SUM(D4:D12)</f>
        <v>2588667</v>
      </c>
      <c r="E13" s="1751">
        <f t="shared" si="0"/>
        <v>1712763</v>
      </c>
      <c r="F13" s="1751">
        <f t="shared" si="0"/>
        <v>1371820</v>
      </c>
      <c r="G13" s="1751">
        <f t="shared" si="0"/>
        <v>920996</v>
      </c>
      <c r="H13" s="1751">
        <f t="shared" si="0"/>
        <v>3561116</v>
      </c>
      <c r="I13" s="1751">
        <f t="shared" si="0"/>
        <v>5111595</v>
      </c>
      <c r="J13" s="1751">
        <f t="shared" si="0"/>
        <v>795598</v>
      </c>
      <c r="K13" s="1751">
        <f t="shared" si="0"/>
        <v>725092</v>
      </c>
      <c r="L13" s="1751">
        <f t="shared" si="0"/>
        <v>3090077</v>
      </c>
      <c r="M13" s="468"/>
      <c r="N13" s="469"/>
    </row>
    <row r="14" spans="1:14" ht="18" customHeight="1" thickTop="1" x14ac:dyDescent="0.2">
      <c r="A14" s="2255" t="s">
        <v>149</v>
      </c>
      <c r="B14" s="2256"/>
      <c r="C14" s="1582"/>
      <c r="D14" s="1583"/>
      <c r="E14" s="1583"/>
      <c r="F14" s="1583"/>
      <c r="G14" s="1583"/>
      <c r="H14" s="1583"/>
      <c r="I14" s="1583"/>
      <c r="J14" s="1583"/>
      <c r="K14" s="1583"/>
      <c r="L14" s="1583"/>
      <c r="M14" s="1584"/>
      <c r="N14" s="1585"/>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542305</v>
      </c>
      <c r="N16" s="483"/>
    </row>
    <row r="17" spans="1:14" s="484" customFormat="1" ht="12.75" customHeight="1" x14ac:dyDescent="0.2">
      <c r="A17" s="481" t="s">
        <v>1469</v>
      </c>
      <c r="B17" s="482">
        <v>230</v>
      </c>
      <c r="C17" s="476"/>
      <c r="D17" s="476"/>
      <c r="E17" s="476"/>
      <c r="F17" s="476"/>
      <c r="G17" s="476"/>
      <c r="H17" s="476"/>
      <c r="I17" s="476"/>
      <c r="J17" s="476"/>
      <c r="K17" s="476"/>
      <c r="L17" s="476"/>
      <c r="M17" s="467">
        <v>57050036</v>
      </c>
      <c r="N17" s="483"/>
    </row>
    <row r="18" spans="1:14" s="484" customFormat="1" ht="12.75" customHeight="1" x14ac:dyDescent="0.2">
      <c r="A18" s="481" t="s">
        <v>1470</v>
      </c>
      <c r="B18" s="482">
        <v>240</v>
      </c>
      <c r="C18" s="476"/>
      <c r="D18" s="476"/>
      <c r="E18" s="476"/>
      <c r="F18" s="476"/>
      <c r="G18" s="476"/>
      <c r="H18" s="476"/>
      <c r="I18" s="476"/>
      <c r="J18" s="476"/>
      <c r="K18" s="476"/>
      <c r="L18" s="476"/>
      <c r="M18" s="467">
        <v>641642</v>
      </c>
      <c r="N18" s="483"/>
    </row>
    <row r="19" spans="1:14" s="484" customFormat="1" ht="12.75" customHeight="1" x14ac:dyDescent="0.2">
      <c r="A19" s="481" t="s">
        <v>1471</v>
      </c>
      <c r="B19" s="482">
        <v>250</v>
      </c>
      <c r="C19" s="476"/>
      <c r="D19" s="476"/>
      <c r="E19" s="476"/>
      <c r="F19" s="476"/>
      <c r="G19" s="476"/>
      <c r="H19" s="476"/>
      <c r="I19" s="476"/>
      <c r="J19" s="476"/>
      <c r="K19" s="476"/>
      <c r="L19" s="476"/>
      <c r="M19" s="467">
        <v>2645901</v>
      </c>
      <c r="N19" s="483"/>
    </row>
    <row r="20" spans="1:14" s="484" customFormat="1" ht="12.75" customHeight="1" x14ac:dyDescent="0.2">
      <c r="A20" s="481" t="s">
        <v>1472</v>
      </c>
      <c r="B20" s="482">
        <v>260</v>
      </c>
      <c r="C20" s="476"/>
      <c r="D20" s="476"/>
      <c r="E20" s="476"/>
      <c r="F20" s="476"/>
      <c r="G20" s="476"/>
      <c r="H20" s="476"/>
      <c r="I20" s="476"/>
      <c r="J20" s="476"/>
      <c r="K20" s="476"/>
      <c r="L20" s="476"/>
      <c r="M20" s="467">
        <v>504442</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1712763</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36399704</v>
      </c>
    </row>
    <row r="23" spans="1:14" ht="13.5" customHeight="1" thickBot="1" x14ac:dyDescent="0.25">
      <c r="A23" s="1750" t="s">
        <v>663</v>
      </c>
      <c r="B23" s="1755"/>
      <c r="C23" s="468"/>
      <c r="D23" s="468"/>
      <c r="E23" s="468"/>
      <c r="F23" s="468"/>
      <c r="G23" s="468"/>
      <c r="H23" s="468"/>
      <c r="I23" s="468"/>
      <c r="J23" s="468"/>
      <c r="K23" s="468"/>
      <c r="L23" s="468"/>
      <c r="M23" s="1702">
        <f>SUM(M15:M22)</f>
        <v>61384326</v>
      </c>
      <c r="N23" s="1702">
        <f>SUM(N21:N22)</f>
        <v>38112467</v>
      </c>
    </row>
    <row r="24" spans="1:14" ht="18" customHeight="1" thickTop="1" x14ac:dyDescent="0.2">
      <c r="A24" s="2257" t="s">
        <v>618</v>
      </c>
      <c r="B24" s="2258"/>
      <c r="C24" s="1587"/>
      <c r="D24" s="1584"/>
      <c r="E24" s="1584"/>
      <c r="F24" s="1584"/>
      <c r="G24" s="1584"/>
      <c r="H24" s="1584"/>
      <c r="I24" s="1584"/>
      <c r="J24" s="1584"/>
      <c r="K24" s="1584"/>
      <c r="L24" s="1584"/>
      <c r="M24" s="1583"/>
      <c r="N24" s="1588"/>
    </row>
    <row r="25" spans="1:14" x14ac:dyDescent="0.2">
      <c r="A25" s="473" t="s">
        <v>665</v>
      </c>
      <c r="B25" s="470">
        <v>410</v>
      </c>
      <c r="C25" s="465">
        <v>0</v>
      </c>
      <c r="D25" s="477">
        <v>0</v>
      </c>
      <c r="E25" s="477">
        <v>0</v>
      </c>
      <c r="F25" s="477">
        <v>0</v>
      </c>
      <c r="G25" s="477">
        <v>0</v>
      </c>
      <c r="H25" s="478">
        <v>0</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348142</v>
      </c>
      <c r="M33" s="468"/>
      <c r="N33" s="469"/>
    </row>
    <row r="34" spans="1:14" ht="13.5" customHeight="1" thickBot="1" x14ac:dyDescent="0.25">
      <c r="A34" s="1752" t="s">
        <v>674</v>
      </c>
      <c r="B34" s="1753"/>
      <c r="C34" s="1754">
        <f>SUM(C25:C33)</f>
        <v>0</v>
      </c>
      <c r="D34" s="1754">
        <f t="shared" ref="D34:K34" si="1">SUM(D25:D33)</f>
        <v>0</v>
      </c>
      <c r="E34" s="1754">
        <f t="shared" si="1"/>
        <v>0</v>
      </c>
      <c r="F34" s="1754">
        <f t="shared" si="1"/>
        <v>0</v>
      </c>
      <c r="G34" s="1754">
        <f t="shared" si="1"/>
        <v>0</v>
      </c>
      <c r="H34" s="1754">
        <f t="shared" si="1"/>
        <v>0</v>
      </c>
      <c r="I34" s="1754">
        <f t="shared" si="1"/>
        <v>0</v>
      </c>
      <c r="J34" s="1754">
        <f t="shared" si="1"/>
        <v>0</v>
      </c>
      <c r="K34" s="1754">
        <f t="shared" si="1"/>
        <v>0</v>
      </c>
      <c r="L34" s="1735">
        <f>SUM(L33)</f>
        <v>348142</v>
      </c>
      <c r="M34" s="468"/>
      <c r="N34" s="479"/>
    </row>
    <row r="35" spans="1:14" ht="18" customHeight="1" thickTop="1" x14ac:dyDescent="0.2">
      <c r="A35" s="2259" t="s">
        <v>549</v>
      </c>
      <c r="B35" s="2260"/>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38112467</v>
      </c>
    </row>
    <row r="37" spans="1:14" ht="13.5" thickBot="1" x14ac:dyDescent="0.25">
      <c r="A37" s="1750" t="s">
        <v>673</v>
      </c>
      <c r="B37" s="1755"/>
      <c r="C37" s="476"/>
      <c r="D37" s="476"/>
      <c r="E37" s="476"/>
      <c r="F37" s="476"/>
      <c r="G37" s="476"/>
      <c r="H37" s="476"/>
      <c r="I37" s="476"/>
      <c r="J37" s="476"/>
      <c r="K37" s="476"/>
      <c r="L37" s="479"/>
      <c r="M37" s="468"/>
      <c r="N37" s="1702">
        <f>SUM(N36:N36)</f>
        <v>38112467</v>
      </c>
    </row>
    <row r="38" spans="1:14" s="329" customFormat="1" ht="13.5" customHeight="1" thickTop="1" x14ac:dyDescent="0.2">
      <c r="A38" s="494" t="s">
        <v>439</v>
      </c>
      <c r="B38" s="482">
        <v>714</v>
      </c>
      <c r="C38" s="465">
        <v>123412</v>
      </c>
      <c r="D38" s="465">
        <v>0</v>
      </c>
      <c r="E38" s="465">
        <v>0</v>
      </c>
      <c r="F38" s="465">
        <v>0</v>
      </c>
      <c r="G38" s="465">
        <v>514964</v>
      </c>
      <c r="H38" s="465">
        <v>2384789</v>
      </c>
      <c r="I38" s="465">
        <v>0</v>
      </c>
      <c r="J38" s="465">
        <v>0</v>
      </c>
      <c r="K38" s="465">
        <v>0</v>
      </c>
      <c r="L38" s="465">
        <v>2741935</v>
      </c>
      <c r="M38" s="495"/>
      <c r="N38" s="495"/>
    </row>
    <row r="39" spans="1:14" s="329" customFormat="1" ht="13.5" customHeight="1" x14ac:dyDescent="0.2">
      <c r="A39" s="494" t="s">
        <v>359</v>
      </c>
      <c r="B39" s="482">
        <v>730</v>
      </c>
      <c r="C39" s="465">
        <v>5317323</v>
      </c>
      <c r="D39" s="465">
        <v>2588667</v>
      </c>
      <c r="E39" s="465">
        <v>1712763</v>
      </c>
      <c r="F39" s="465">
        <v>1371820</v>
      </c>
      <c r="G39" s="465">
        <v>406032</v>
      </c>
      <c r="H39" s="465">
        <v>1176327</v>
      </c>
      <c r="I39" s="465">
        <v>5111595</v>
      </c>
      <c r="J39" s="465">
        <v>795598</v>
      </c>
      <c r="K39" s="465">
        <v>725092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61384326</v>
      </c>
      <c r="N40" s="495"/>
    </row>
    <row r="41" spans="1:14" ht="13.5" customHeight="1" thickBot="1" x14ac:dyDescent="0.25">
      <c r="A41" s="1750" t="s">
        <v>675</v>
      </c>
      <c r="B41" s="1720"/>
      <c r="C41" s="1702">
        <f>(SUM(C34,C37,C38,C39))</f>
        <v>5440735</v>
      </c>
      <c r="D41" s="1702">
        <f t="shared" ref="D41:L41" si="2">SUM(D34,D37,D38:D39)</f>
        <v>2588667</v>
      </c>
      <c r="E41" s="1702">
        <f t="shared" si="2"/>
        <v>1712763</v>
      </c>
      <c r="F41" s="1702">
        <f t="shared" si="2"/>
        <v>1371820</v>
      </c>
      <c r="G41" s="1702">
        <f t="shared" si="2"/>
        <v>920996</v>
      </c>
      <c r="H41" s="1702">
        <f t="shared" si="2"/>
        <v>3561116</v>
      </c>
      <c r="I41" s="1702">
        <f t="shared" si="2"/>
        <v>5111595</v>
      </c>
      <c r="J41" s="1702">
        <f t="shared" si="2"/>
        <v>795598</v>
      </c>
      <c r="K41" s="1702">
        <f t="shared" si="2"/>
        <v>725092</v>
      </c>
      <c r="L41" s="1702">
        <f t="shared" si="2"/>
        <v>3090077</v>
      </c>
      <c r="M41" s="1702">
        <f>SUM(M40)</f>
        <v>61384326</v>
      </c>
      <c r="N41" s="1702">
        <f>SUM(N37)</f>
        <v>38112467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X24" sqref="X24"/>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69" t="s">
        <v>1749</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270"/>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281" t="s">
        <v>1236</v>
      </c>
      <c r="B3" s="2282"/>
      <c r="C3" s="1592"/>
      <c r="D3" s="1593"/>
      <c r="E3" s="1593"/>
      <c r="F3" s="1593"/>
      <c r="G3" s="1593"/>
      <c r="H3" s="1593"/>
      <c r="I3" s="1593"/>
      <c r="J3" s="1593"/>
      <c r="K3" s="1594"/>
      <c r="L3" s="504"/>
    </row>
    <row r="4" spans="1:13" ht="15.75" customHeight="1" x14ac:dyDescent="0.2">
      <c r="A4" s="1944" t="s">
        <v>1578</v>
      </c>
      <c r="B4" s="1945">
        <v>1000</v>
      </c>
      <c r="C4" s="1756">
        <f>'Revenues 9-14'!C109</f>
        <v>10455927</v>
      </c>
      <c r="D4" s="1756">
        <f>'Revenues 9-14'!D109</f>
        <v>1827110</v>
      </c>
      <c r="E4" s="1756">
        <f>'Revenues 9-14'!E109</f>
        <v>2501776</v>
      </c>
      <c r="F4" s="1756">
        <f>'Revenues 9-14'!F109</f>
        <v>734230</v>
      </c>
      <c r="G4" s="1756">
        <f>'Revenues 9-14'!G109</f>
        <v>701233</v>
      </c>
      <c r="H4" s="1756">
        <f>'Revenues 9-14'!H109</f>
        <v>1132915</v>
      </c>
      <c r="I4" s="1756">
        <f>'Revenues 9-14'!I109</f>
        <v>196164</v>
      </c>
      <c r="J4" s="1756">
        <f>'Revenues 9-14'!J109</f>
        <v>716101</v>
      </c>
      <c r="K4" s="1756">
        <f>'Revenues 9-14'!K109</f>
        <v>27088</v>
      </c>
      <c r="L4" s="347"/>
    </row>
    <row r="5" spans="1:13" ht="15.75" customHeight="1" x14ac:dyDescent="0.2">
      <c r="A5" s="1595" t="s">
        <v>1579</v>
      </c>
      <c r="B5" s="1596">
        <v>2000</v>
      </c>
      <c r="C5" s="1757">
        <f>'Revenues 9-14'!C114</f>
        <v>0</v>
      </c>
      <c r="D5" s="1757">
        <f>'Revenues 9-14'!D114</f>
        <v>0</v>
      </c>
      <c r="E5" s="506"/>
      <c r="F5" s="1757">
        <f>'Revenues 9-14'!F114</f>
        <v>0</v>
      </c>
      <c r="G5" s="1757">
        <f>'Revenues 9-14'!G114</f>
        <v>0</v>
      </c>
      <c r="H5" s="507" t="s">
        <v>1230</v>
      </c>
      <c r="I5" s="508" t="s">
        <v>1230</v>
      </c>
      <c r="J5" s="509" t="s">
        <v>1230</v>
      </c>
      <c r="K5" s="510" t="s">
        <v>1230</v>
      </c>
      <c r="L5" s="347"/>
    </row>
    <row r="6" spans="1:13" ht="15.75" customHeight="1" x14ac:dyDescent="0.2">
      <c r="A6" s="1595" t="s">
        <v>1580</v>
      </c>
      <c r="B6" s="1597">
        <v>3000</v>
      </c>
      <c r="C6" s="1757">
        <f>'Revenues 9-14'!C173</f>
        <v>5649673</v>
      </c>
      <c r="D6" s="1757">
        <f>'Revenues 9-14'!D173</f>
        <v>0</v>
      </c>
      <c r="E6" s="1757">
        <f>'Revenues 9-14'!E173</f>
        <v>0</v>
      </c>
      <c r="F6" s="1757">
        <f>'Revenues 9-14'!F173</f>
        <v>1405568</v>
      </c>
      <c r="G6" s="1757">
        <f>'Revenues 9-14'!G173</f>
        <v>0</v>
      </c>
      <c r="H6" s="1757">
        <f>'Revenues 9-14'!H173</f>
        <v>0</v>
      </c>
      <c r="I6" s="1757">
        <f>'Revenues 9-14'!I173</f>
        <v>0</v>
      </c>
      <c r="J6" s="1757">
        <f>'Revenues 9-14'!J173</f>
        <v>0</v>
      </c>
      <c r="K6" s="1757">
        <f>'Revenues 9-14'!K173</f>
        <v>0</v>
      </c>
      <c r="L6" s="347"/>
      <c r="M6" s="511"/>
    </row>
    <row r="7" spans="1:13" ht="15.75" customHeight="1" x14ac:dyDescent="0.2">
      <c r="A7" s="1595" t="s">
        <v>1581</v>
      </c>
      <c r="B7" s="1597">
        <v>4000</v>
      </c>
      <c r="C7" s="1757">
        <f>'Revenues 9-14'!C274</f>
        <v>761239</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1"/>
    </row>
    <row r="8" spans="1:13" ht="13.5" thickBot="1" x14ac:dyDescent="0.25">
      <c r="A8" s="1750" t="s">
        <v>1233</v>
      </c>
      <c r="B8" s="1723"/>
      <c r="C8" s="1702">
        <f>SUM(C4:C7)</f>
        <v>16866839</v>
      </c>
      <c r="D8" s="1702">
        <f t="shared" ref="D8:K8" si="0">SUM(D4:D7)</f>
        <v>1827110</v>
      </c>
      <c r="E8" s="1702">
        <f t="shared" si="0"/>
        <v>2501776</v>
      </c>
      <c r="F8" s="1702">
        <f t="shared" si="0"/>
        <v>2139798</v>
      </c>
      <c r="G8" s="1702">
        <f t="shared" si="0"/>
        <v>701233</v>
      </c>
      <c r="H8" s="1702">
        <f t="shared" si="0"/>
        <v>1132915</v>
      </c>
      <c r="I8" s="1702">
        <f t="shared" si="0"/>
        <v>196164</v>
      </c>
      <c r="J8" s="1702">
        <f t="shared" si="0"/>
        <v>716101</v>
      </c>
      <c r="K8" s="1702">
        <f t="shared" si="0"/>
        <v>27088</v>
      </c>
      <c r="L8" s="347"/>
    </row>
    <row r="9" spans="1:13" ht="15.75" thickTop="1" x14ac:dyDescent="0.2">
      <c r="A9" s="512" t="s">
        <v>1750</v>
      </c>
      <c r="B9" s="513">
        <v>3998</v>
      </c>
      <c r="C9" s="465">
        <v>7439012</v>
      </c>
      <c r="D9" s="514"/>
      <c r="E9" s="480"/>
      <c r="F9" s="480"/>
      <c r="G9" s="515"/>
      <c r="H9" s="480"/>
      <c r="I9" s="507" t="s">
        <v>1230</v>
      </c>
      <c r="J9" s="477"/>
      <c r="K9" s="480"/>
      <c r="L9" s="347"/>
    </row>
    <row r="10" spans="1:13" s="517" customFormat="1" ht="13.5" thickBot="1" x14ac:dyDescent="0.25">
      <c r="A10" s="1750" t="s">
        <v>1234</v>
      </c>
      <c r="B10" s="1723"/>
      <c r="C10" s="1702">
        <f>SUM(C8:C9)</f>
        <v>24305851</v>
      </c>
      <c r="D10" s="1702">
        <f t="shared" ref="D10:K10" si="1">SUM(D8:D9)</f>
        <v>1827110</v>
      </c>
      <c r="E10" s="1702">
        <f t="shared" si="1"/>
        <v>2501776</v>
      </c>
      <c r="F10" s="1702">
        <f t="shared" si="1"/>
        <v>2139798</v>
      </c>
      <c r="G10" s="1702">
        <f t="shared" si="1"/>
        <v>701233</v>
      </c>
      <c r="H10" s="1702">
        <f t="shared" si="1"/>
        <v>1132915</v>
      </c>
      <c r="I10" s="1702">
        <f t="shared" si="1"/>
        <v>196164</v>
      </c>
      <c r="J10" s="1702">
        <f t="shared" si="1"/>
        <v>716101</v>
      </c>
      <c r="K10" s="1702">
        <f t="shared" si="1"/>
        <v>27088</v>
      </c>
      <c r="L10" s="516"/>
    </row>
    <row r="11" spans="1:13" s="517" customFormat="1" ht="16.7" customHeight="1" thickTop="1" x14ac:dyDescent="0.2">
      <c r="A11" s="2255" t="s">
        <v>1237</v>
      </c>
      <c r="B11" s="2256"/>
      <c r="C11" s="1589"/>
      <c r="D11" s="1590"/>
      <c r="E11" s="1590"/>
      <c r="F11" s="1590"/>
      <c r="G11" s="1590"/>
      <c r="H11" s="1590"/>
      <c r="I11" s="1590"/>
      <c r="J11" s="1590"/>
      <c r="K11" s="1591"/>
      <c r="L11" s="516"/>
    </row>
    <row r="12" spans="1:13" ht="15.75" customHeight="1" x14ac:dyDescent="0.2">
      <c r="A12" s="1595" t="s">
        <v>475</v>
      </c>
      <c r="B12" s="1597">
        <v>1000</v>
      </c>
      <c r="C12" s="1756">
        <f>'Expenditures 15-22'!K33</f>
        <v>10493058</v>
      </c>
      <c r="D12" s="518" t="s">
        <v>1230</v>
      </c>
      <c r="E12" s="468" t="s">
        <v>1230</v>
      </c>
      <c r="F12" s="468" t="s">
        <v>1230</v>
      </c>
      <c r="G12" s="1756">
        <f>'Expenditures 15-22'!K229</f>
        <v>184526</v>
      </c>
      <c r="H12" s="519"/>
      <c r="I12" s="468" t="s">
        <v>1230</v>
      </c>
      <c r="J12" s="468" t="s">
        <v>1230</v>
      </c>
      <c r="K12" s="519" t="s">
        <v>1230</v>
      </c>
      <c r="L12" s="347"/>
    </row>
    <row r="13" spans="1:13" ht="15.75" customHeight="1" x14ac:dyDescent="0.2">
      <c r="A13" s="1595" t="s">
        <v>476</v>
      </c>
      <c r="B13" s="1597">
        <v>2000</v>
      </c>
      <c r="C13" s="1757">
        <f>'Expenditures 15-22'!K74</f>
        <v>5188826</v>
      </c>
      <c r="D13" s="1757">
        <f>'Expenditures 15-22'!K129</f>
        <v>2088149</v>
      </c>
      <c r="E13" s="469" t="s">
        <v>1230</v>
      </c>
      <c r="F13" s="1757">
        <f>'Expenditures 15-22'!K184</f>
        <v>1878181</v>
      </c>
      <c r="G13" s="1757">
        <f>'Expenditures 15-22'!K279</f>
        <v>414369</v>
      </c>
      <c r="H13" s="1757">
        <f>'Expenditures 15-22'!K303</f>
        <v>10222409</v>
      </c>
      <c r="I13" s="468" t="s">
        <v>1230</v>
      </c>
      <c r="J13" s="1757">
        <f>'Expenditures 15-22'!K330</f>
        <v>555956</v>
      </c>
      <c r="K13" s="1761">
        <f>'Expenditures 15-22'!K352</f>
        <v>5918882</v>
      </c>
      <c r="L13" s="347"/>
    </row>
    <row r="14" spans="1:13" ht="15.75" customHeight="1" x14ac:dyDescent="0.2">
      <c r="A14" s="1595" t="s">
        <v>468</v>
      </c>
      <c r="B14" s="1597">
        <v>3000</v>
      </c>
      <c r="C14" s="1757">
        <f>'Expenditures 15-22'!K75</f>
        <v>143098</v>
      </c>
      <c r="D14" s="1757">
        <f>'Expenditures 15-22'!K130</f>
        <v>0</v>
      </c>
      <c r="E14" s="518" t="s">
        <v>1230</v>
      </c>
      <c r="F14" s="1757">
        <f>'Expenditures 15-22'!K185</f>
        <v>0</v>
      </c>
      <c r="G14" s="1757">
        <f>'Expenditures 15-22'!K280</f>
        <v>16121</v>
      </c>
      <c r="H14" s="510"/>
      <c r="I14" s="468" t="s">
        <v>1230</v>
      </c>
      <c r="J14" s="468" t="s">
        <v>1230</v>
      </c>
      <c r="K14" s="510" t="s">
        <v>1230</v>
      </c>
      <c r="L14" s="347"/>
    </row>
    <row r="15" spans="1:13" ht="15.75" customHeight="1" x14ac:dyDescent="0.2">
      <c r="A15" s="1595" t="s">
        <v>109</v>
      </c>
      <c r="B15" s="1597">
        <v>4000</v>
      </c>
      <c r="C15" s="1757">
        <f>'Expenditures 15-22'!K102</f>
        <v>1232140</v>
      </c>
      <c r="D15" s="1757">
        <f>'Expenditures 15-22'!K139</f>
        <v>0</v>
      </c>
      <c r="E15" s="1757">
        <f>'Expenditures 15-22'!K160</f>
        <v>0</v>
      </c>
      <c r="F15" s="1757">
        <f>'Expenditures 15-22'!K196</f>
        <v>0</v>
      </c>
      <c r="G15" s="1757">
        <f>'Expenditures 15-22'!K285</f>
        <v>34483</v>
      </c>
      <c r="H15" s="1757">
        <f>'Expenditures 15-22'!K310</f>
        <v>0</v>
      </c>
      <c r="I15" s="468" t="s">
        <v>1230</v>
      </c>
      <c r="J15" s="1850">
        <f>'Expenditures 15-22'!K334</f>
        <v>19449</v>
      </c>
      <c r="K15" s="1757">
        <f>'Expenditures 15-22'!K357</f>
        <v>0</v>
      </c>
      <c r="L15" s="347"/>
    </row>
    <row r="16" spans="1:13" ht="15.75" customHeight="1" x14ac:dyDescent="0.2">
      <c r="A16" s="1595" t="s">
        <v>469</v>
      </c>
      <c r="B16" s="1597">
        <v>5000</v>
      </c>
      <c r="C16" s="1757">
        <f>'Expenditures 15-22'!K112</f>
        <v>0</v>
      </c>
      <c r="D16" s="1757">
        <f>'Expenditures 15-22'!K149</f>
        <v>0</v>
      </c>
      <c r="E16" s="1757">
        <f>'Expenditures 15-22'!K172</f>
        <v>3238347</v>
      </c>
      <c r="F16" s="1757">
        <f>'Expenditures 15-22'!K208</f>
        <v>0</v>
      </c>
      <c r="G16" s="1757">
        <f>'Expenditures 15-22'!K293</f>
        <v>0</v>
      </c>
      <c r="H16" s="521"/>
      <c r="I16" s="468" t="s">
        <v>1230</v>
      </c>
      <c r="J16" s="1762">
        <f>'Expenditures 15-22'!K340</f>
        <v>0</v>
      </c>
      <c r="K16" s="1757">
        <f>'Expenditures 15-22'!K365</f>
        <v>0</v>
      </c>
      <c r="L16" s="347"/>
    </row>
    <row r="17" spans="1:12" ht="13.5" thickBot="1" x14ac:dyDescent="0.25">
      <c r="A17" s="1722" t="s">
        <v>50</v>
      </c>
      <c r="B17" s="1723"/>
      <c r="C17" s="1702">
        <f t="shared" ref="C17:H17" si="2">SUM(C12:C16)</f>
        <v>17057122</v>
      </c>
      <c r="D17" s="1702">
        <f t="shared" si="2"/>
        <v>2088149</v>
      </c>
      <c r="E17" s="1702">
        <f t="shared" si="2"/>
        <v>3238347</v>
      </c>
      <c r="F17" s="1702">
        <f t="shared" si="2"/>
        <v>1878181</v>
      </c>
      <c r="G17" s="1702">
        <f t="shared" si="2"/>
        <v>649499</v>
      </c>
      <c r="H17" s="1702">
        <f t="shared" si="2"/>
        <v>10222409</v>
      </c>
      <c r="I17" s="468"/>
      <c r="J17" s="1702">
        <f>SUM(J12:J16)</f>
        <v>575405</v>
      </c>
      <c r="K17" s="1702">
        <f>SUM(K12:K16)</f>
        <v>5918882</v>
      </c>
      <c r="L17" s="347"/>
    </row>
    <row r="18" spans="1:12" ht="15" customHeight="1" thickTop="1" x14ac:dyDescent="0.2">
      <c r="A18" s="1758" t="s">
        <v>1751</v>
      </c>
      <c r="B18" s="1759">
        <v>4180</v>
      </c>
      <c r="C18" s="1756">
        <f t="shared" ref="C18:H18" si="3">C9</f>
        <v>7439012</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525</v>
      </c>
      <c r="B19" s="1723"/>
      <c r="C19" s="1702">
        <f t="shared" ref="C19:H19" si="4">SUM(C17:C18)</f>
        <v>24496134</v>
      </c>
      <c r="D19" s="1702">
        <f t="shared" si="4"/>
        <v>2088149</v>
      </c>
      <c r="E19" s="1702">
        <f t="shared" si="4"/>
        <v>3238347</v>
      </c>
      <c r="F19" s="1702">
        <f t="shared" si="4"/>
        <v>1878181</v>
      </c>
      <c r="G19" s="1702">
        <f t="shared" si="4"/>
        <v>649499</v>
      </c>
      <c r="H19" s="1702">
        <f t="shared" si="4"/>
        <v>10222409</v>
      </c>
      <c r="I19" s="468"/>
      <c r="J19" s="1702">
        <f>SUM(J17:J18)</f>
        <v>575405</v>
      </c>
      <c r="K19" s="1702">
        <f>SUM(K17:K18)</f>
        <v>5918882</v>
      </c>
      <c r="L19" s="347"/>
    </row>
    <row r="20" spans="1:12" ht="16.5" thickTop="1" thickBot="1" x14ac:dyDescent="0.25">
      <c r="A20" s="2271" t="s">
        <v>1752</v>
      </c>
      <c r="B20" s="2272"/>
      <c r="C20" s="1760">
        <f>C8-C17</f>
        <v>-190283</v>
      </c>
      <c r="D20" s="1760">
        <f t="shared" ref="D20:K20" si="5">D8-D17</f>
        <v>-261039</v>
      </c>
      <c r="E20" s="1760">
        <f t="shared" si="5"/>
        <v>-736571</v>
      </c>
      <c r="F20" s="1760">
        <f t="shared" si="5"/>
        <v>261617</v>
      </c>
      <c r="G20" s="1760">
        <f t="shared" si="5"/>
        <v>51734</v>
      </c>
      <c r="H20" s="1760">
        <f t="shared" si="5"/>
        <v>-9089494</v>
      </c>
      <c r="I20" s="1760">
        <f t="shared" si="5"/>
        <v>196164</v>
      </c>
      <c r="J20" s="1760">
        <f t="shared" si="5"/>
        <v>140696</v>
      </c>
      <c r="K20" s="1760">
        <f t="shared" si="5"/>
        <v>-5891794</v>
      </c>
      <c r="L20" s="347"/>
    </row>
    <row r="21" spans="1:12" ht="16.7" customHeight="1" thickTop="1" x14ac:dyDescent="0.2">
      <c r="A21" s="2283" t="s">
        <v>615</v>
      </c>
      <c r="B21" s="2284"/>
      <c r="C21" s="1589"/>
      <c r="D21" s="1590"/>
      <c r="E21" s="1590"/>
      <c r="F21" s="1590"/>
      <c r="G21" s="1590"/>
      <c r="H21" s="1590"/>
      <c r="I21" s="1590"/>
      <c r="J21" s="1590"/>
      <c r="K21" s="1591"/>
      <c r="L21" s="522"/>
    </row>
    <row r="22" spans="1:12" ht="15.75" customHeight="1" collapsed="1" x14ac:dyDescent="0.2">
      <c r="A22" s="2279" t="s">
        <v>616</v>
      </c>
      <c r="B22" s="2280"/>
      <c r="C22" s="476"/>
      <c r="D22" s="476"/>
      <c r="E22" s="476"/>
      <c r="F22" s="476"/>
      <c r="G22" s="476"/>
      <c r="H22" s="476"/>
      <c r="I22" s="476"/>
      <c r="J22" s="476"/>
      <c r="K22" s="476"/>
      <c r="L22" s="347"/>
    </row>
    <row r="23" spans="1:12" s="484" customFormat="1" ht="15.75" customHeight="1" x14ac:dyDescent="0.2">
      <c r="A23" s="2275" t="s">
        <v>310</v>
      </c>
      <c r="B23" s="2276"/>
      <c r="C23" s="479"/>
      <c r="D23" s="476"/>
      <c r="E23" s="476"/>
      <c r="F23" s="476"/>
      <c r="G23" s="476"/>
      <c r="H23" s="476"/>
      <c r="I23" s="476"/>
      <c r="J23" s="476"/>
      <c r="K23" s="476"/>
      <c r="L23" s="522"/>
    </row>
    <row r="24" spans="1:12" s="484" customFormat="1" ht="13.5" customHeight="1" x14ac:dyDescent="0.2">
      <c r="A24" s="1508" t="s">
        <v>1753</v>
      </c>
      <c r="B24" s="523">
        <v>7110</v>
      </c>
      <c r="C24" s="465">
        <v>0</v>
      </c>
      <c r="D24" s="476"/>
      <c r="E24" s="476"/>
      <c r="F24" s="476"/>
      <c r="G24" s="476"/>
      <c r="H24" s="476"/>
      <c r="I24" s="476"/>
      <c r="J24" s="476"/>
      <c r="K24" s="476"/>
      <c r="L24" s="522"/>
    </row>
    <row r="25" spans="1:12" s="484" customFormat="1" ht="13.5" customHeight="1" x14ac:dyDescent="0.2">
      <c r="A25" s="1508" t="s">
        <v>1754</v>
      </c>
      <c r="B25" s="523">
        <v>7110</v>
      </c>
      <c r="C25" s="465">
        <v>1000000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1464</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311</v>
      </c>
      <c r="B29" s="482">
        <v>7150</v>
      </c>
      <c r="C29" s="475"/>
      <c r="D29" s="467">
        <v>0</v>
      </c>
      <c r="E29" s="475"/>
      <c r="F29" s="475"/>
      <c r="G29" s="475"/>
      <c r="H29" s="475"/>
      <c r="I29" s="475"/>
      <c r="J29" s="475"/>
      <c r="K29" s="475"/>
      <c r="L29" s="522"/>
    </row>
    <row r="30" spans="1:12" s="484" customFormat="1" ht="26.25" x14ac:dyDescent="0.2">
      <c r="A30" s="1508" t="s">
        <v>1892</v>
      </c>
      <c r="B30" s="525">
        <v>7160</v>
      </c>
      <c r="C30" s="476"/>
      <c r="D30" s="467">
        <v>0</v>
      </c>
      <c r="E30" s="476"/>
      <c r="F30" s="476"/>
      <c r="G30" s="476"/>
      <c r="H30" s="476"/>
      <c r="I30" s="476"/>
      <c r="J30" s="476"/>
      <c r="K30" s="476"/>
      <c r="L30" s="522"/>
    </row>
    <row r="31" spans="1:12" s="484" customFormat="1" ht="26.25" x14ac:dyDescent="0.2">
      <c r="A31" s="1508" t="s">
        <v>1896</v>
      </c>
      <c r="B31" s="525">
        <v>7170</v>
      </c>
      <c r="C31" s="476"/>
      <c r="D31" s="476"/>
      <c r="E31" s="474">
        <v>0</v>
      </c>
      <c r="F31" s="476"/>
      <c r="G31" s="476"/>
      <c r="H31" s="476"/>
      <c r="I31" s="476"/>
      <c r="J31" s="476"/>
      <c r="K31" s="476"/>
      <c r="L31" s="522"/>
    </row>
    <row r="32" spans="1:12" s="484" customFormat="1" ht="15.75" customHeight="1" x14ac:dyDescent="0.2">
      <c r="A32" s="2277" t="s">
        <v>1037</v>
      </c>
      <c r="B32" s="2278"/>
      <c r="C32" s="476"/>
      <c r="D32" s="476"/>
      <c r="E32" s="475"/>
      <c r="F32" s="476"/>
      <c r="G32" s="476"/>
      <c r="H32" s="476"/>
      <c r="I32" s="476"/>
      <c r="J32" s="476"/>
      <c r="K32" s="476"/>
      <c r="L32" s="522"/>
    </row>
    <row r="33" spans="1:12" s="484" customFormat="1" x14ac:dyDescent="0.2">
      <c r="A33" s="1508" t="s">
        <v>431</v>
      </c>
      <c r="B33" s="523">
        <v>7210</v>
      </c>
      <c r="C33" s="465">
        <v>0</v>
      </c>
      <c r="D33" s="467">
        <v>0</v>
      </c>
      <c r="E33" s="467">
        <v>106543</v>
      </c>
      <c r="F33" s="467">
        <v>0</v>
      </c>
      <c r="G33" s="476"/>
      <c r="H33" s="467">
        <v>0</v>
      </c>
      <c r="I33" s="467">
        <v>4063457</v>
      </c>
      <c r="J33" s="467">
        <v>0</v>
      </c>
      <c r="K33" s="467">
        <v>0</v>
      </c>
      <c r="L33" s="522"/>
    </row>
    <row r="34" spans="1:12" s="484" customFormat="1" x14ac:dyDescent="0.2">
      <c r="A34" s="1508" t="s">
        <v>1057</v>
      </c>
      <c r="B34" s="523">
        <v>7220</v>
      </c>
      <c r="C34" s="465">
        <v>0</v>
      </c>
      <c r="D34" s="467">
        <v>0</v>
      </c>
      <c r="E34" s="467">
        <v>0</v>
      </c>
      <c r="F34" s="467">
        <v>0</v>
      </c>
      <c r="G34" s="476"/>
      <c r="H34" s="477">
        <v>0</v>
      </c>
      <c r="I34" s="477">
        <v>0</v>
      </c>
      <c r="J34" s="477">
        <v>0</v>
      </c>
      <c r="K34" s="477">
        <v>0</v>
      </c>
      <c r="L34" s="522"/>
    </row>
    <row r="35" spans="1:12" s="484" customFormat="1" x14ac:dyDescent="0.2">
      <c r="A35" s="1508" t="s">
        <v>1046</v>
      </c>
      <c r="B35" s="523">
        <v>7230</v>
      </c>
      <c r="C35" s="465">
        <v>0</v>
      </c>
      <c r="D35" s="467">
        <v>0</v>
      </c>
      <c r="E35" s="467">
        <v>0</v>
      </c>
      <c r="F35" s="467">
        <v>0</v>
      </c>
      <c r="G35" s="479"/>
      <c r="H35" s="467">
        <v>0</v>
      </c>
      <c r="I35" s="467">
        <v>0</v>
      </c>
      <c r="J35" s="467">
        <v>0</v>
      </c>
      <c r="K35" s="467">
        <v>0</v>
      </c>
      <c r="L35" s="522"/>
    </row>
    <row r="36" spans="1:12" s="484" customFormat="1" ht="15" x14ac:dyDescent="0.2">
      <c r="A36" s="1508" t="s">
        <v>1755</v>
      </c>
      <c r="B36" s="523">
        <v>7300</v>
      </c>
      <c r="C36" s="465">
        <v>0</v>
      </c>
      <c r="D36" s="467">
        <v>1232</v>
      </c>
      <c r="E36" s="467">
        <v>0</v>
      </c>
      <c r="F36" s="467">
        <v>0</v>
      </c>
      <c r="G36" s="467">
        <v>0</v>
      </c>
      <c r="H36" s="467">
        <v>0</v>
      </c>
      <c r="I36" s="475"/>
      <c r="J36" s="467">
        <v>0</v>
      </c>
      <c r="K36" s="467">
        <v>0</v>
      </c>
      <c r="L36" s="522"/>
    </row>
    <row r="37" spans="1:12" s="484" customFormat="1" x14ac:dyDescent="0.2">
      <c r="A37" s="1508" t="s">
        <v>460</v>
      </c>
      <c r="B37" s="523">
        <v>7400</v>
      </c>
      <c r="C37" s="475"/>
      <c r="D37" s="475"/>
      <c r="E37" s="1757">
        <f>SUM(C54:D57,H54:H57)</f>
        <v>48211</v>
      </c>
      <c r="F37" s="475"/>
      <c r="G37" s="475"/>
      <c r="H37" s="475"/>
      <c r="I37" s="476"/>
      <c r="J37" s="475"/>
      <c r="K37" s="475"/>
      <c r="L37" s="522"/>
    </row>
    <row r="38" spans="1:12" s="484" customFormat="1" x14ac:dyDescent="0.2">
      <c r="A38" s="1508" t="s">
        <v>461</v>
      </c>
      <c r="B38" s="523">
        <v>7500</v>
      </c>
      <c r="C38" s="476"/>
      <c r="D38" s="476"/>
      <c r="E38" s="1757">
        <f>SUM(C58:D61,H58:H61)</f>
        <v>2207</v>
      </c>
      <c r="F38" s="476"/>
      <c r="G38" s="476"/>
      <c r="H38" s="476"/>
      <c r="I38" s="476"/>
      <c r="J38" s="476"/>
      <c r="K38" s="476"/>
      <c r="L38" s="522"/>
    </row>
    <row r="39" spans="1:12" s="484" customFormat="1" x14ac:dyDescent="0.2">
      <c r="A39" s="1508" t="s">
        <v>462</v>
      </c>
      <c r="B39" s="523">
        <v>7600</v>
      </c>
      <c r="C39" s="476"/>
      <c r="D39" s="476"/>
      <c r="E39" s="1757">
        <f>SUM(C62:D65)</f>
        <v>0</v>
      </c>
      <c r="F39" s="476"/>
      <c r="G39" s="476"/>
      <c r="H39" s="476"/>
      <c r="I39" s="476"/>
      <c r="J39" s="476"/>
      <c r="K39" s="476"/>
      <c r="L39" s="522"/>
    </row>
    <row r="40" spans="1:12" s="484" customFormat="1" ht="13.5" customHeight="1" x14ac:dyDescent="0.2">
      <c r="A40" s="1508" t="s">
        <v>662</v>
      </c>
      <c r="B40" s="482">
        <v>7700</v>
      </c>
      <c r="C40" s="476"/>
      <c r="D40" s="476"/>
      <c r="E40" s="1757">
        <f>SUM(C66:D69)</f>
        <v>0</v>
      </c>
      <c r="F40" s="476"/>
      <c r="G40" s="476"/>
      <c r="H40" s="479"/>
      <c r="I40" s="476"/>
      <c r="J40" s="476"/>
      <c r="K40" s="476"/>
      <c r="L40" s="522"/>
    </row>
    <row r="41" spans="1:12" s="484" customFormat="1" ht="13.5" customHeight="1" x14ac:dyDescent="0.2">
      <c r="A41" s="1508" t="s">
        <v>660</v>
      </c>
      <c r="B41" s="482">
        <v>7800</v>
      </c>
      <c r="C41" s="479"/>
      <c r="D41" s="479"/>
      <c r="E41" s="524"/>
      <c r="F41" s="479"/>
      <c r="G41" s="479"/>
      <c r="H41" s="1757">
        <f>SUM(C70:D73)</f>
        <v>0</v>
      </c>
      <c r="I41" s="476"/>
      <c r="J41" s="476"/>
      <c r="K41" s="479"/>
      <c r="L41" s="522"/>
    </row>
    <row r="42" spans="1:12" s="484" customFormat="1" ht="13.5" customHeight="1" x14ac:dyDescent="0.2">
      <c r="A42" s="1508"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390</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85" t="s">
        <v>391</v>
      </c>
      <c r="B44" s="2286"/>
      <c r="C44" s="1717">
        <f>SUM(C24:C43)</f>
        <v>1000000</v>
      </c>
      <c r="D44" s="1717">
        <f t="shared" ref="D44:K44" si="6">SUM(D24:D43)</f>
        <v>1232</v>
      </c>
      <c r="E44" s="1717">
        <f t="shared" si="6"/>
        <v>156961</v>
      </c>
      <c r="F44" s="1717">
        <f t="shared" si="6"/>
        <v>0</v>
      </c>
      <c r="G44" s="1717">
        <f t="shared" si="6"/>
        <v>0</v>
      </c>
      <c r="H44" s="1717">
        <f t="shared" si="6"/>
        <v>0</v>
      </c>
      <c r="I44" s="1717">
        <f t="shared" si="6"/>
        <v>4063457</v>
      </c>
      <c r="J44" s="1717">
        <f t="shared" si="6"/>
        <v>0</v>
      </c>
      <c r="K44" s="1717">
        <f t="shared" si="6"/>
        <v>0</v>
      </c>
      <c r="L44" s="522"/>
    </row>
    <row r="45" spans="1:12" ht="15.75" customHeight="1" thickTop="1" x14ac:dyDescent="0.2">
      <c r="A45" s="2279" t="s">
        <v>110</v>
      </c>
      <c r="B45" s="2280"/>
      <c r="C45" s="526"/>
      <c r="D45" s="526"/>
      <c r="E45" s="526"/>
      <c r="F45" s="526"/>
      <c r="G45" s="526"/>
      <c r="H45" s="526"/>
      <c r="I45" s="526"/>
      <c r="J45" s="526"/>
      <c r="K45" s="526"/>
      <c r="L45" s="347"/>
    </row>
    <row r="46" spans="1:12" s="484" customFormat="1" ht="15.75" customHeight="1" x14ac:dyDescent="0.2">
      <c r="A46" s="2287" t="s">
        <v>111</v>
      </c>
      <c r="B46" s="2288"/>
      <c r="C46" s="476"/>
      <c r="D46" s="476"/>
      <c r="E46" s="476"/>
      <c r="F46" s="476"/>
      <c r="G46" s="476"/>
      <c r="H46" s="476"/>
      <c r="I46" s="479"/>
      <c r="J46" s="476"/>
      <c r="K46" s="476"/>
      <c r="L46" s="527"/>
    </row>
    <row r="47" spans="1:12" s="484" customFormat="1" ht="15" x14ac:dyDescent="0.2">
      <c r="A47" s="1509" t="s">
        <v>1756</v>
      </c>
      <c r="B47" s="482">
        <v>8110</v>
      </c>
      <c r="C47" s="476"/>
      <c r="D47" s="476"/>
      <c r="E47" s="476"/>
      <c r="F47" s="476"/>
      <c r="G47" s="476"/>
      <c r="H47" s="476"/>
      <c r="I47" s="1757">
        <f>SUM(C24,C25:H25,J25:K25)</f>
        <v>1000000</v>
      </c>
      <c r="J47" s="476"/>
      <c r="K47" s="476"/>
      <c r="L47" s="527"/>
    </row>
    <row r="48" spans="1:12" s="484" customFormat="1" ht="15" x14ac:dyDescent="0.2">
      <c r="A48" s="1509" t="s">
        <v>1757</v>
      </c>
      <c r="B48" s="482">
        <v>8120</v>
      </c>
      <c r="C48" s="479"/>
      <c r="D48" s="479"/>
      <c r="E48" s="476"/>
      <c r="F48" s="479"/>
      <c r="G48" s="476"/>
      <c r="H48" s="476"/>
      <c r="I48" s="1757">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1464</v>
      </c>
      <c r="B50" s="482">
        <v>8140</v>
      </c>
      <c r="C50" s="465">
        <v>0</v>
      </c>
      <c r="D50" s="467">
        <v>0</v>
      </c>
      <c r="E50" s="467">
        <v>0</v>
      </c>
      <c r="F50" s="467">
        <v>0</v>
      </c>
      <c r="G50" s="467">
        <v>0</v>
      </c>
      <c r="H50" s="467">
        <v>0</v>
      </c>
      <c r="I50" s="476"/>
      <c r="J50" s="467">
        <v>0</v>
      </c>
      <c r="K50" s="476"/>
      <c r="L50" s="522"/>
    </row>
    <row r="51" spans="1:12" s="484" customFormat="1" x14ac:dyDescent="0.2">
      <c r="A51" s="1509" t="s">
        <v>311</v>
      </c>
      <c r="B51" s="482">
        <v>8150</v>
      </c>
      <c r="C51" s="475"/>
      <c r="D51" s="475"/>
      <c r="E51" s="475"/>
      <c r="F51" s="475"/>
      <c r="G51" s="475"/>
      <c r="H51" s="1757">
        <f>SUM(D29)</f>
        <v>0</v>
      </c>
      <c r="I51" s="476"/>
      <c r="J51" s="475"/>
      <c r="K51" s="479"/>
      <c r="L51" s="522"/>
    </row>
    <row r="52" spans="1:12" s="484" customFormat="1" ht="26.25" x14ac:dyDescent="0.2">
      <c r="A52" s="1509" t="s">
        <v>1895</v>
      </c>
      <c r="B52" s="482">
        <v>8160</v>
      </c>
      <c r="C52" s="476"/>
      <c r="D52" s="476"/>
      <c r="E52" s="476"/>
      <c r="F52" s="476"/>
      <c r="G52" s="476"/>
      <c r="H52" s="476"/>
      <c r="I52" s="476"/>
      <c r="J52" s="476"/>
      <c r="K52" s="1757">
        <f>D30</f>
        <v>0</v>
      </c>
      <c r="L52" s="522"/>
    </row>
    <row r="53" spans="1:12" s="484" customFormat="1" ht="26.25" x14ac:dyDescent="0.2">
      <c r="A53" s="1509" t="s">
        <v>1894</v>
      </c>
      <c r="B53" s="482">
        <v>8170</v>
      </c>
      <c r="C53" s="479"/>
      <c r="D53" s="479"/>
      <c r="E53" s="476"/>
      <c r="F53" s="476"/>
      <c r="G53" s="476"/>
      <c r="H53" s="479"/>
      <c r="I53" s="476"/>
      <c r="J53" s="476"/>
      <c r="K53" s="1757">
        <f>E31</f>
        <v>0</v>
      </c>
      <c r="L53" s="522"/>
    </row>
    <row r="54" spans="1:12" s="484" customFormat="1" ht="13.5" thickBot="1" x14ac:dyDescent="0.25">
      <c r="A54" s="1509" t="s">
        <v>715</v>
      </c>
      <c r="B54" s="482">
        <v>8410</v>
      </c>
      <c r="C54" s="528">
        <v>48211</v>
      </c>
      <c r="D54" s="528">
        <v>0</v>
      </c>
      <c r="E54" s="476"/>
      <c r="F54" s="476"/>
      <c r="G54" s="476"/>
      <c r="H54" s="528">
        <v>0</v>
      </c>
      <c r="I54" s="476"/>
      <c r="J54" s="476"/>
      <c r="K54" s="475"/>
      <c r="L54" s="522"/>
    </row>
    <row r="55" spans="1:12" s="484" customFormat="1" ht="14.25" thickTop="1" thickBot="1" x14ac:dyDescent="0.25">
      <c r="A55" s="1510" t="s">
        <v>716</v>
      </c>
      <c r="B55" s="482">
        <v>8420</v>
      </c>
      <c r="C55" s="528">
        <v>0</v>
      </c>
      <c r="D55" s="529">
        <v>0</v>
      </c>
      <c r="E55" s="476"/>
      <c r="F55" s="476"/>
      <c r="G55" s="476"/>
      <c r="H55" s="528">
        <v>0</v>
      </c>
      <c r="I55" s="476"/>
      <c r="J55" s="476"/>
      <c r="K55" s="476"/>
      <c r="L55" s="522"/>
    </row>
    <row r="56" spans="1:12" s="484" customFormat="1" ht="14.25" thickTop="1" thickBot="1" x14ac:dyDescent="0.25">
      <c r="A56" s="1509" t="s">
        <v>601</v>
      </c>
      <c r="B56" s="482">
        <v>8430</v>
      </c>
      <c r="C56" s="528">
        <v>0</v>
      </c>
      <c r="D56" s="529">
        <v>0</v>
      </c>
      <c r="E56" s="476"/>
      <c r="F56" s="476"/>
      <c r="G56" s="476"/>
      <c r="H56" s="528">
        <v>0</v>
      </c>
      <c r="I56" s="476"/>
      <c r="J56" s="476"/>
      <c r="K56" s="476"/>
      <c r="L56" s="522"/>
    </row>
    <row r="57" spans="1:12" s="484" customFormat="1" ht="14.25" thickTop="1" thickBot="1" x14ac:dyDescent="0.25">
      <c r="A57" s="1510" t="s">
        <v>598</v>
      </c>
      <c r="B57" s="482">
        <v>8440</v>
      </c>
      <c r="C57" s="528">
        <v>0</v>
      </c>
      <c r="D57" s="529">
        <v>0</v>
      </c>
      <c r="E57" s="476"/>
      <c r="F57" s="476"/>
      <c r="G57" s="476"/>
      <c r="H57" s="528">
        <v>0</v>
      </c>
      <c r="I57" s="476"/>
      <c r="J57" s="476"/>
      <c r="K57" s="476"/>
      <c r="L57" s="522"/>
    </row>
    <row r="58" spans="1:12" s="484" customFormat="1" ht="14.25" thickTop="1" thickBot="1" x14ac:dyDescent="0.25">
      <c r="A58" s="1509" t="s">
        <v>599</v>
      </c>
      <c r="B58" s="482">
        <v>8510</v>
      </c>
      <c r="C58" s="528">
        <v>2207</v>
      </c>
      <c r="D58" s="529">
        <v>0</v>
      </c>
      <c r="E58" s="476"/>
      <c r="F58" s="476"/>
      <c r="G58" s="476"/>
      <c r="H58" s="528">
        <v>0</v>
      </c>
      <c r="I58" s="476"/>
      <c r="J58" s="476"/>
      <c r="K58" s="476"/>
      <c r="L58" s="522"/>
    </row>
    <row r="59" spans="1:12" s="484" customFormat="1" ht="14.25" thickTop="1" thickBot="1" x14ac:dyDescent="0.25">
      <c r="A59" s="1511" t="s">
        <v>717</v>
      </c>
      <c r="B59" s="482">
        <v>8520</v>
      </c>
      <c r="C59" s="528">
        <v>0</v>
      </c>
      <c r="D59" s="529">
        <v>0</v>
      </c>
      <c r="E59" s="476"/>
      <c r="F59" s="476"/>
      <c r="G59" s="476"/>
      <c r="H59" s="528">
        <v>0</v>
      </c>
      <c r="I59" s="476"/>
      <c r="J59" s="476"/>
      <c r="K59" s="476"/>
      <c r="L59" s="522"/>
    </row>
    <row r="60" spans="1:12" s="484" customFormat="1" ht="14.25" thickTop="1" thickBot="1" x14ac:dyDescent="0.25">
      <c r="A60" s="1509" t="s">
        <v>600</v>
      </c>
      <c r="B60" s="482">
        <v>8530</v>
      </c>
      <c r="C60" s="528">
        <v>0</v>
      </c>
      <c r="D60" s="529">
        <v>0</v>
      </c>
      <c r="E60" s="476"/>
      <c r="F60" s="476"/>
      <c r="G60" s="476"/>
      <c r="H60" s="528">
        <v>0</v>
      </c>
      <c r="I60" s="476"/>
      <c r="J60" s="476"/>
      <c r="K60" s="476"/>
      <c r="L60" s="522"/>
    </row>
    <row r="61" spans="1:12" s="484" customFormat="1" ht="14.25" thickTop="1" thickBot="1" x14ac:dyDescent="0.25">
      <c r="A61" s="1510" t="s">
        <v>766</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767</v>
      </c>
      <c r="B62" s="482">
        <v>8610</v>
      </c>
      <c r="C62" s="528">
        <v>0</v>
      </c>
      <c r="D62" s="529">
        <v>0</v>
      </c>
      <c r="E62" s="476"/>
      <c r="F62" s="476"/>
      <c r="G62" s="476"/>
      <c r="H62" s="476"/>
      <c r="I62" s="476"/>
      <c r="J62" s="476"/>
      <c r="K62" s="476"/>
      <c r="L62" s="522"/>
    </row>
    <row r="63" spans="1:12" s="484" customFormat="1" ht="14.25" thickTop="1" thickBot="1" x14ac:dyDescent="0.25">
      <c r="A63" s="1510" t="s">
        <v>718</v>
      </c>
      <c r="B63" s="482">
        <v>8620</v>
      </c>
      <c r="C63" s="528">
        <v>0</v>
      </c>
      <c r="D63" s="529">
        <v>0</v>
      </c>
      <c r="E63" s="476"/>
      <c r="F63" s="476"/>
      <c r="G63" s="476"/>
      <c r="H63" s="476"/>
      <c r="I63" s="476"/>
      <c r="J63" s="476"/>
      <c r="K63" s="476"/>
      <c r="L63" s="522"/>
    </row>
    <row r="64" spans="1:12" s="484" customFormat="1" ht="13.5" customHeight="1" thickTop="1" thickBot="1" x14ac:dyDescent="0.25">
      <c r="A64" s="1509" t="s">
        <v>768</v>
      </c>
      <c r="B64" s="482">
        <v>8630</v>
      </c>
      <c r="C64" s="528">
        <v>0</v>
      </c>
      <c r="D64" s="529">
        <v>0</v>
      </c>
      <c r="E64" s="476"/>
      <c r="F64" s="476"/>
      <c r="G64" s="476"/>
      <c r="H64" s="476"/>
      <c r="I64" s="476"/>
      <c r="J64" s="476"/>
      <c r="K64" s="476"/>
      <c r="L64" s="522"/>
    </row>
    <row r="65" spans="1:12" s="484" customFormat="1" ht="14.25" thickTop="1" thickBot="1" x14ac:dyDescent="0.25">
      <c r="A65" s="1510" t="s">
        <v>769</v>
      </c>
      <c r="B65" s="482">
        <v>8640</v>
      </c>
      <c r="C65" s="528">
        <v>0</v>
      </c>
      <c r="D65" s="529">
        <v>0</v>
      </c>
      <c r="E65" s="476"/>
      <c r="F65" s="476"/>
      <c r="G65" s="476"/>
      <c r="H65" s="476"/>
      <c r="I65" s="476"/>
      <c r="J65" s="476"/>
      <c r="K65" s="476"/>
      <c r="L65" s="522"/>
    </row>
    <row r="66" spans="1:12" s="484" customFormat="1" ht="14.25" thickTop="1" thickBot="1" x14ac:dyDescent="0.25">
      <c r="A66" s="1509" t="s">
        <v>770</v>
      </c>
      <c r="B66" s="482">
        <v>8710</v>
      </c>
      <c r="C66" s="528">
        <v>0</v>
      </c>
      <c r="D66" s="529">
        <v>0</v>
      </c>
      <c r="E66" s="476"/>
      <c r="F66" s="476"/>
      <c r="G66" s="476"/>
      <c r="H66" s="476"/>
      <c r="I66" s="476"/>
      <c r="J66" s="476"/>
      <c r="K66" s="476"/>
      <c r="L66" s="522"/>
    </row>
    <row r="67" spans="1:12" s="484" customFormat="1" ht="14.25" thickTop="1" thickBot="1" x14ac:dyDescent="0.25">
      <c r="A67" s="1510" t="s">
        <v>719</v>
      </c>
      <c r="B67" s="482">
        <v>8720</v>
      </c>
      <c r="C67" s="528">
        <v>0</v>
      </c>
      <c r="D67" s="529">
        <v>0</v>
      </c>
      <c r="E67" s="476"/>
      <c r="F67" s="476"/>
      <c r="G67" s="476"/>
      <c r="H67" s="476"/>
      <c r="I67" s="476"/>
      <c r="J67" s="476"/>
      <c r="K67" s="476"/>
      <c r="L67" s="522"/>
    </row>
    <row r="68" spans="1:12" s="484" customFormat="1" ht="14.25" thickTop="1" thickBot="1" x14ac:dyDescent="0.25">
      <c r="A68" s="1511" t="s">
        <v>771</v>
      </c>
      <c r="B68" s="482">
        <v>8730</v>
      </c>
      <c r="C68" s="528">
        <v>0</v>
      </c>
      <c r="D68" s="529">
        <v>0</v>
      </c>
      <c r="E68" s="476"/>
      <c r="F68" s="476"/>
      <c r="G68" s="476"/>
      <c r="H68" s="476"/>
      <c r="I68" s="476"/>
      <c r="J68" s="476"/>
      <c r="K68" s="476"/>
      <c r="L68" s="522"/>
    </row>
    <row r="69" spans="1:12" s="484" customFormat="1" ht="14.25" thickTop="1" thickBot="1" x14ac:dyDescent="0.25">
      <c r="A69" s="1510" t="s">
        <v>772</v>
      </c>
      <c r="B69" s="482">
        <v>8740</v>
      </c>
      <c r="C69" s="528">
        <v>0</v>
      </c>
      <c r="D69" s="529">
        <v>0</v>
      </c>
      <c r="E69" s="476"/>
      <c r="F69" s="476"/>
      <c r="G69" s="476"/>
      <c r="H69" s="476"/>
      <c r="I69" s="476"/>
      <c r="J69" s="476"/>
      <c r="K69" s="476"/>
      <c r="L69" s="522"/>
    </row>
    <row r="70" spans="1:12" s="484" customFormat="1" ht="14.25" thickTop="1" thickBot="1" x14ac:dyDescent="0.25">
      <c r="A70" s="1509" t="s">
        <v>773</v>
      </c>
      <c r="B70" s="482">
        <v>8810</v>
      </c>
      <c r="C70" s="528">
        <v>0</v>
      </c>
      <c r="D70" s="529">
        <v>0</v>
      </c>
      <c r="E70" s="476"/>
      <c r="F70" s="476"/>
      <c r="G70" s="476"/>
      <c r="H70" s="476"/>
      <c r="I70" s="476"/>
      <c r="J70" s="476"/>
      <c r="K70" s="476"/>
      <c r="L70" s="522"/>
    </row>
    <row r="71" spans="1:12" s="484" customFormat="1" ht="14.25" thickTop="1" thickBot="1" x14ac:dyDescent="0.25">
      <c r="A71" s="1509" t="s">
        <v>777</v>
      </c>
      <c r="B71" s="482">
        <v>8820</v>
      </c>
      <c r="C71" s="528">
        <v>0</v>
      </c>
      <c r="D71" s="529">
        <v>0</v>
      </c>
      <c r="E71" s="476"/>
      <c r="F71" s="476"/>
      <c r="G71" s="476"/>
      <c r="H71" s="476"/>
      <c r="I71" s="476"/>
      <c r="J71" s="476"/>
      <c r="K71" s="476"/>
      <c r="L71" s="522"/>
    </row>
    <row r="72" spans="1:12" s="484" customFormat="1" ht="14.25" thickTop="1" thickBot="1" x14ac:dyDescent="0.25">
      <c r="A72" s="1509" t="s">
        <v>774</v>
      </c>
      <c r="B72" s="482">
        <v>8830</v>
      </c>
      <c r="C72" s="528">
        <v>0</v>
      </c>
      <c r="D72" s="529">
        <v>0</v>
      </c>
      <c r="E72" s="476"/>
      <c r="F72" s="476"/>
      <c r="G72" s="476"/>
      <c r="H72" s="476"/>
      <c r="I72" s="476"/>
      <c r="J72" s="476"/>
      <c r="K72" s="476"/>
      <c r="L72" s="522"/>
    </row>
    <row r="73" spans="1:12" s="484" customFormat="1" ht="14.25" thickTop="1" thickBot="1" x14ac:dyDescent="0.25">
      <c r="A73" s="1509" t="s">
        <v>775</v>
      </c>
      <c r="B73" s="482">
        <v>8840</v>
      </c>
      <c r="C73" s="528">
        <v>0</v>
      </c>
      <c r="D73" s="529">
        <v>0</v>
      </c>
      <c r="E73" s="476"/>
      <c r="F73" s="476"/>
      <c r="G73" s="476"/>
      <c r="H73" s="476"/>
      <c r="I73" s="476"/>
      <c r="J73" s="476"/>
      <c r="K73" s="479"/>
      <c r="L73" s="522"/>
    </row>
    <row r="74" spans="1:12" s="484" customFormat="1" ht="14.25" thickTop="1" thickBot="1" x14ac:dyDescent="0.25">
      <c r="A74" s="1509"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458</v>
      </c>
      <c r="B75" s="482">
        <v>8990</v>
      </c>
      <c r="C75" s="528">
        <v>0</v>
      </c>
      <c r="D75" s="529">
        <v>0</v>
      </c>
      <c r="E75" s="528">
        <v>0</v>
      </c>
      <c r="F75" s="530">
        <v>0</v>
      </c>
      <c r="G75" s="530">
        <v>0</v>
      </c>
      <c r="H75" s="530">
        <v>0</v>
      </c>
      <c r="I75" s="528">
        <v>63134</v>
      </c>
      <c r="J75" s="528">
        <v>0</v>
      </c>
      <c r="K75" s="530">
        <v>0</v>
      </c>
      <c r="L75" s="522"/>
    </row>
    <row r="76" spans="1:12" s="484" customFormat="1" ht="14.25" thickTop="1" thickBot="1" x14ac:dyDescent="0.25">
      <c r="A76" s="2261" t="s">
        <v>459</v>
      </c>
      <c r="B76" s="2262"/>
      <c r="C76" s="1717">
        <f t="shared" ref="C76:K76" si="7">SUM(C47:C75)</f>
        <v>50418</v>
      </c>
      <c r="D76" s="1717">
        <f t="shared" si="7"/>
        <v>0</v>
      </c>
      <c r="E76" s="1717">
        <f t="shared" si="7"/>
        <v>0</v>
      </c>
      <c r="F76" s="1717">
        <f t="shared" si="7"/>
        <v>0</v>
      </c>
      <c r="G76" s="1717">
        <f t="shared" si="7"/>
        <v>0</v>
      </c>
      <c r="H76" s="1717">
        <f t="shared" si="7"/>
        <v>0</v>
      </c>
      <c r="I76" s="1717">
        <f t="shared" si="7"/>
        <v>1063134</v>
      </c>
      <c r="J76" s="1717">
        <f t="shared" si="7"/>
        <v>0</v>
      </c>
      <c r="K76" s="1717">
        <f t="shared" si="7"/>
        <v>0</v>
      </c>
      <c r="L76" s="522"/>
    </row>
    <row r="77" spans="1:12" ht="14.25" thickTop="1" thickBot="1" x14ac:dyDescent="0.25">
      <c r="A77" s="2263" t="s">
        <v>1238</v>
      </c>
      <c r="B77" s="2264"/>
      <c r="C77" s="1717">
        <f t="shared" ref="C77:K77" si="8">C44-C76</f>
        <v>949582</v>
      </c>
      <c r="D77" s="1717">
        <f t="shared" si="8"/>
        <v>1232</v>
      </c>
      <c r="E77" s="1717">
        <f t="shared" si="8"/>
        <v>156961</v>
      </c>
      <c r="F77" s="1717">
        <f t="shared" si="8"/>
        <v>0</v>
      </c>
      <c r="G77" s="1717">
        <f t="shared" si="8"/>
        <v>0</v>
      </c>
      <c r="H77" s="1717">
        <f t="shared" si="8"/>
        <v>0</v>
      </c>
      <c r="I77" s="1717">
        <f t="shared" si="8"/>
        <v>3000323</v>
      </c>
      <c r="J77" s="1717">
        <f t="shared" si="8"/>
        <v>0</v>
      </c>
      <c r="K77" s="1717">
        <f t="shared" si="8"/>
        <v>0</v>
      </c>
      <c r="L77" s="347"/>
    </row>
    <row r="78" spans="1:12" ht="21.75" customHeight="1" thickTop="1" thickBot="1" x14ac:dyDescent="0.25">
      <c r="A78" s="2267" t="s">
        <v>617</v>
      </c>
      <c r="B78" s="2268"/>
      <c r="C78" s="1716">
        <f t="shared" ref="C78:K78" si="9">C20+C77</f>
        <v>759299</v>
      </c>
      <c r="D78" s="1716">
        <f t="shared" si="9"/>
        <v>-259807</v>
      </c>
      <c r="E78" s="1716">
        <f t="shared" si="9"/>
        <v>-579610</v>
      </c>
      <c r="F78" s="1716">
        <f t="shared" si="9"/>
        <v>261617</v>
      </c>
      <c r="G78" s="1716">
        <f t="shared" si="9"/>
        <v>51734</v>
      </c>
      <c r="H78" s="1716">
        <f t="shared" si="9"/>
        <v>-9089494</v>
      </c>
      <c r="I78" s="1716">
        <f t="shared" si="9"/>
        <v>3196487</v>
      </c>
      <c r="J78" s="1716">
        <f t="shared" si="9"/>
        <v>140696</v>
      </c>
      <c r="K78" s="1716">
        <f t="shared" si="9"/>
        <v>-5891794</v>
      </c>
      <c r="L78" s="531"/>
    </row>
    <row r="79" spans="1:12" ht="13.5" thickTop="1" x14ac:dyDescent="0.2">
      <c r="A79" s="1513" t="s">
        <v>2067</v>
      </c>
      <c r="B79" s="532"/>
      <c r="C79" s="467">
        <v>4681436</v>
      </c>
      <c r="D79" s="467">
        <v>2848474</v>
      </c>
      <c r="E79" s="467">
        <v>2292373</v>
      </c>
      <c r="F79" s="467">
        <v>1110203</v>
      </c>
      <c r="G79" s="467">
        <v>869262</v>
      </c>
      <c r="H79" s="467">
        <v>12650610</v>
      </c>
      <c r="I79" s="467">
        <v>1915108</v>
      </c>
      <c r="J79" s="467">
        <v>654902</v>
      </c>
      <c r="K79" s="467">
        <v>6616886</v>
      </c>
      <c r="L79" s="347"/>
    </row>
    <row r="80" spans="1:12" x14ac:dyDescent="0.2">
      <c r="A80" s="2273" t="s">
        <v>1893</v>
      </c>
      <c r="B80" s="2274"/>
      <c r="C80" s="467">
        <v>0</v>
      </c>
      <c r="D80" s="467">
        <v>0</v>
      </c>
      <c r="E80" s="467">
        <v>0</v>
      </c>
      <c r="F80" s="467">
        <v>0</v>
      </c>
      <c r="G80" s="467">
        <v>0</v>
      </c>
      <c r="H80" s="467">
        <v>0</v>
      </c>
      <c r="I80" s="467">
        <v>0</v>
      </c>
      <c r="J80" s="467">
        <v>0</v>
      </c>
      <c r="K80" s="467">
        <v>0</v>
      </c>
      <c r="L80" s="347"/>
    </row>
    <row r="81" spans="1:12" ht="13.5" thickBot="1" x14ac:dyDescent="0.25">
      <c r="A81" s="2265" t="s">
        <v>2068</v>
      </c>
      <c r="B81" s="2266"/>
      <c r="C81" s="1702">
        <f>(SUM(C78:C80))</f>
        <v>5440735</v>
      </c>
      <c r="D81" s="1702">
        <f>SUM(D78:D80)</f>
        <v>2588667</v>
      </c>
      <c r="E81" s="1702">
        <f t="shared" ref="E81:K81" si="10">SUM(E78:E80)</f>
        <v>1712763</v>
      </c>
      <c r="F81" s="1702">
        <f t="shared" si="10"/>
        <v>1371820</v>
      </c>
      <c r="G81" s="1702">
        <f t="shared" si="10"/>
        <v>920996</v>
      </c>
      <c r="H81" s="1702">
        <f t="shared" si="10"/>
        <v>3561116</v>
      </c>
      <c r="I81" s="1702">
        <f t="shared" si="10"/>
        <v>5111595</v>
      </c>
      <c r="J81" s="1702">
        <f t="shared" si="10"/>
        <v>795598</v>
      </c>
      <c r="K81" s="1702">
        <f t="shared" si="10"/>
        <v>725092</v>
      </c>
      <c r="L81" s="347"/>
    </row>
    <row r="82" spans="1:12" ht="0.75" customHeight="1" thickTop="1" thickBot="1" x14ac:dyDescent="0.25">
      <c r="A82" s="534" t="s">
        <v>360</v>
      </c>
      <c r="B82" s="535"/>
      <c r="C82" s="536">
        <f>(C81-C79)</f>
        <v>759299</v>
      </c>
      <c r="D82" s="536">
        <f t="shared" ref="D82:K82" si="11">(D81-D79)</f>
        <v>-259807</v>
      </c>
      <c r="E82" s="536">
        <f t="shared" si="11"/>
        <v>-579610</v>
      </c>
      <c r="F82" s="536">
        <f t="shared" si="11"/>
        <v>261617</v>
      </c>
      <c r="G82" s="536">
        <f t="shared" si="11"/>
        <v>51734</v>
      </c>
      <c r="H82" s="536">
        <f t="shared" si="11"/>
        <v>-9089494</v>
      </c>
      <c r="I82" s="536">
        <f t="shared" si="11"/>
        <v>3196487</v>
      </c>
      <c r="J82" s="536">
        <f t="shared" si="11"/>
        <v>140696</v>
      </c>
      <c r="K82" s="536">
        <f t="shared" si="11"/>
        <v>-5891794</v>
      </c>
    </row>
    <row r="83" spans="1:12" ht="14.25" hidden="1" thickTop="1" thickBot="1" x14ac:dyDescent="0.25">
      <c r="A83" s="537" t="s">
        <v>361</v>
      </c>
      <c r="B83" s="464"/>
      <c r="C83" s="538">
        <f>C82/C81</f>
        <v>0.13955816631392634</v>
      </c>
      <c r="D83" s="538">
        <f t="shared" ref="D83:K83" si="12">D82/D81</f>
        <v>-0.10036323714096869</v>
      </c>
      <c r="E83" s="538">
        <f t="shared" si="12"/>
        <v>-0.33840642283841954</v>
      </c>
      <c r="F83" s="538">
        <f t="shared" si="12"/>
        <v>0.19070796460176992</v>
      </c>
      <c r="G83" s="538">
        <f t="shared" si="12"/>
        <v>5.6171796620180764E-2</v>
      </c>
      <c r="H83" s="538">
        <f t="shared" si="12"/>
        <v>-2.5524285083664782</v>
      </c>
      <c r="I83" s="538">
        <f t="shared" si="12"/>
        <v>0.62534042700957337</v>
      </c>
      <c r="J83" s="538">
        <f t="shared" si="12"/>
        <v>0.17684307904243099</v>
      </c>
      <c r="K83" s="538">
        <f t="shared" si="12"/>
        <v>-8.1255813055446762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X24" sqref="X24"/>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69" t="s">
        <v>1900</v>
      </c>
      <c r="B1" s="452"/>
      <c r="C1" s="453" t="s">
        <v>444</v>
      </c>
      <c r="D1" s="453" t="s">
        <v>445</v>
      </c>
      <c r="E1" s="453" t="s">
        <v>446</v>
      </c>
      <c r="F1" s="453" t="s">
        <v>447</v>
      </c>
      <c r="G1" s="453" t="s">
        <v>448</v>
      </c>
      <c r="H1" s="453" t="s">
        <v>449</v>
      </c>
      <c r="I1" s="453" t="s">
        <v>450</v>
      </c>
      <c r="J1" s="453" t="s">
        <v>451</v>
      </c>
      <c r="K1" s="453" t="s">
        <v>779</v>
      </c>
    </row>
    <row r="2" spans="1:12" ht="36" x14ac:dyDescent="0.2">
      <c r="A2" s="2270"/>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396</v>
      </c>
      <c r="B4" s="1610">
        <v>1100</v>
      </c>
      <c r="C4" s="541"/>
      <c r="D4" s="541"/>
      <c r="E4" s="541"/>
      <c r="F4" s="542"/>
      <c r="G4" s="543"/>
      <c r="H4" s="544"/>
      <c r="I4" s="544"/>
      <c r="J4" s="544"/>
      <c r="K4" s="544"/>
    </row>
    <row r="5" spans="1:12" ht="15" x14ac:dyDescent="0.2">
      <c r="A5" s="491" t="s">
        <v>1758</v>
      </c>
      <c r="B5" s="545"/>
      <c r="C5" s="480">
        <v>8481618</v>
      </c>
      <c r="D5" s="480">
        <v>1804600</v>
      </c>
      <c r="E5" s="480">
        <v>2488783</v>
      </c>
      <c r="F5" s="546">
        <v>721839</v>
      </c>
      <c r="G5" s="466">
        <v>319346</v>
      </c>
      <c r="H5" s="466">
        <v>0</v>
      </c>
      <c r="I5" s="466">
        <v>177733</v>
      </c>
      <c r="J5" s="466">
        <v>711045</v>
      </c>
      <c r="K5" s="466">
        <v>0</v>
      </c>
    </row>
    <row r="6" spans="1:12" ht="15" x14ac:dyDescent="0.2">
      <c r="A6" s="463" t="s">
        <v>1759</v>
      </c>
      <c r="B6" s="470">
        <v>1130</v>
      </c>
      <c r="C6" s="466">
        <v>42882</v>
      </c>
      <c r="D6" s="466">
        <v>0</v>
      </c>
      <c r="E6" s="475"/>
      <c r="F6" s="475"/>
      <c r="G6" s="468"/>
      <c r="H6" s="468"/>
      <c r="I6" s="468"/>
      <c r="J6" s="468"/>
      <c r="K6" s="468"/>
    </row>
    <row r="7" spans="1:12" x14ac:dyDescent="0.2">
      <c r="A7" s="463" t="s">
        <v>112</v>
      </c>
      <c r="B7" s="547">
        <v>1140</v>
      </c>
      <c r="C7" s="466">
        <v>144369</v>
      </c>
      <c r="D7" s="466">
        <v>0</v>
      </c>
      <c r="E7" s="468"/>
      <c r="F7" s="467">
        <v>0</v>
      </c>
      <c r="G7" s="467">
        <v>0</v>
      </c>
      <c r="H7" s="467">
        <v>0</v>
      </c>
      <c r="I7" s="468"/>
      <c r="J7" s="468"/>
      <c r="K7" s="468"/>
    </row>
    <row r="8" spans="1:12" x14ac:dyDescent="0.2">
      <c r="A8" s="463" t="s">
        <v>432</v>
      </c>
      <c r="B8" s="470">
        <v>1150</v>
      </c>
      <c r="C8" s="475"/>
      <c r="D8" s="475"/>
      <c r="E8" s="476"/>
      <c r="F8" s="476"/>
      <c r="G8" s="480">
        <v>341657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19" t="s">
        <v>29</v>
      </c>
      <c r="B12" s="1720"/>
      <c r="C12" s="1721">
        <f t="shared" ref="C12:K12" si="0">SUM(C5:C11)</f>
        <v>8668869</v>
      </c>
      <c r="D12" s="1721">
        <f t="shared" si="0"/>
        <v>1804600</v>
      </c>
      <c r="E12" s="1721">
        <f t="shared" si="0"/>
        <v>2488783</v>
      </c>
      <c r="F12" s="1721">
        <f t="shared" si="0"/>
        <v>721839</v>
      </c>
      <c r="G12" s="1721">
        <f t="shared" si="0"/>
        <v>661003</v>
      </c>
      <c r="H12" s="1721">
        <f t="shared" si="0"/>
        <v>0</v>
      </c>
      <c r="I12" s="1721">
        <f t="shared" si="0"/>
        <v>177733</v>
      </c>
      <c r="J12" s="1721">
        <f t="shared" si="0"/>
        <v>711045</v>
      </c>
      <c r="K12" s="1702">
        <f t="shared" si="0"/>
        <v>0</v>
      </c>
    </row>
    <row r="13" spans="1:12" ht="15.75" customHeight="1" thickTop="1" x14ac:dyDescent="0.2">
      <c r="A13" s="1611" t="s">
        <v>470</v>
      </c>
      <c r="B13" s="1612">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968</v>
      </c>
      <c r="D15" s="466">
        <v>0</v>
      </c>
      <c r="E15" s="466">
        <v>221</v>
      </c>
      <c r="F15" s="466">
        <v>0</v>
      </c>
      <c r="G15" s="466">
        <v>59</v>
      </c>
      <c r="H15" s="466">
        <v>0</v>
      </c>
      <c r="I15" s="466">
        <v>16</v>
      </c>
      <c r="J15" s="467">
        <v>61</v>
      </c>
      <c r="K15" s="466">
        <v>0</v>
      </c>
    </row>
    <row r="16" spans="1:12" ht="15" customHeight="1" x14ac:dyDescent="0.2">
      <c r="A16" s="463" t="s">
        <v>1760</v>
      </c>
      <c r="B16" s="547">
        <v>1230</v>
      </c>
      <c r="C16" s="549">
        <v>398840</v>
      </c>
      <c r="D16" s="466">
        <v>0</v>
      </c>
      <c r="E16" s="466">
        <v>0</v>
      </c>
      <c r="F16" s="466">
        <v>0</v>
      </c>
      <c r="G16" s="466">
        <v>33000</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2" t="s">
        <v>557</v>
      </c>
      <c r="B18" s="1723"/>
      <c r="C18" s="1724">
        <f>SUM(C14:C17)</f>
        <v>399808</v>
      </c>
      <c r="D18" s="1724">
        <f t="shared" ref="D18:K18" si="1">SUM(D14:D17)</f>
        <v>0</v>
      </c>
      <c r="E18" s="1724">
        <f t="shared" si="1"/>
        <v>221</v>
      </c>
      <c r="F18" s="1724">
        <f t="shared" si="1"/>
        <v>0</v>
      </c>
      <c r="G18" s="1724">
        <f t="shared" si="1"/>
        <v>33059</v>
      </c>
      <c r="H18" s="1724">
        <f t="shared" si="1"/>
        <v>0</v>
      </c>
      <c r="I18" s="1724">
        <f t="shared" si="1"/>
        <v>16</v>
      </c>
      <c r="J18" s="1724">
        <f t="shared" si="1"/>
        <v>61</v>
      </c>
      <c r="K18" s="1725">
        <f t="shared" si="1"/>
        <v>0</v>
      </c>
    </row>
    <row r="19" spans="1:11" ht="15.75" customHeight="1" thickTop="1" x14ac:dyDescent="0.2">
      <c r="A19" s="1611" t="s">
        <v>471</v>
      </c>
      <c r="B19" s="1612">
        <v>1300</v>
      </c>
      <c r="C19" s="552"/>
      <c r="D19" s="552"/>
      <c r="E19" s="552"/>
      <c r="F19" s="552"/>
      <c r="G19" s="551"/>
      <c r="H19" s="552"/>
      <c r="I19" s="552"/>
      <c r="J19" s="552"/>
      <c r="K19" s="553"/>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5531</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4" t="s">
        <v>614</v>
      </c>
      <c r="B39" s="554">
        <v>1354</v>
      </c>
      <c r="C39" s="487">
        <v>0</v>
      </c>
      <c r="D39" s="468"/>
      <c r="E39" s="468"/>
      <c r="F39" s="468"/>
      <c r="G39" s="468"/>
      <c r="H39" s="468"/>
      <c r="I39" s="468"/>
      <c r="J39" s="468"/>
      <c r="K39" s="468"/>
    </row>
    <row r="40" spans="1:11" ht="12.75" customHeight="1" thickBot="1" x14ac:dyDescent="0.25">
      <c r="A40" s="1722" t="s">
        <v>558</v>
      </c>
      <c r="B40" s="1723"/>
      <c r="C40" s="1702">
        <f>SUM(C20:C39)</f>
        <v>5531</v>
      </c>
      <c r="D40" s="468"/>
      <c r="E40" s="468"/>
      <c r="F40" s="468"/>
      <c r="G40" s="468"/>
      <c r="H40" s="468"/>
      <c r="I40" s="468"/>
      <c r="J40" s="468"/>
      <c r="K40" s="468"/>
    </row>
    <row r="41" spans="1:11" ht="15.75" customHeight="1" thickTop="1" x14ac:dyDescent="0.2">
      <c r="A41" s="1611" t="s">
        <v>291</v>
      </c>
      <c r="B41" s="1612">
        <v>1400</v>
      </c>
      <c r="C41" s="468"/>
      <c r="D41" s="468"/>
      <c r="E41" s="468"/>
      <c r="F41" s="519"/>
      <c r="G41" s="468"/>
      <c r="H41" s="468"/>
      <c r="I41" s="468"/>
      <c r="J41" s="468"/>
      <c r="K41" s="468"/>
    </row>
    <row r="42" spans="1:11" ht="12.75" customHeight="1" x14ac:dyDescent="0.2">
      <c r="A42" s="463" t="s">
        <v>1135</v>
      </c>
      <c r="B42" s="470">
        <v>1411</v>
      </c>
      <c r="C42" s="468"/>
      <c r="D42" s="468"/>
      <c r="E42" s="468"/>
      <c r="F42" s="480">
        <v>2276</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1167</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1168</v>
      </c>
      <c r="B56" s="555">
        <v>1442</v>
      </c>
      <c r="C56" s="468"/>
      <c r="D56" s="468"/>
      <c r="E56" s="468"/>
      <c r="F56" s="466">
        <v>0</v>
      </c>
      <c r="G56" s="468"/>
      <c r="H56" s="468"/>
      <c r="I56" s="468"/>
      <c r="J56" s="468"/>
      <c r="K56" s="468"/>
    </row>
    <row r="57" spans="1:11" ht="12.75" customHeight="1" x14ac:dyDescent="0.2">
      <c r="A57" s="1515" t="s">
        <v>509</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932</v>
      </c>
      <c r="B59" s="555">
        <v>1451</v>
      </c>
      <c r="C59" s="468"/>
      <c r="D59" s="468"/>
      <c r="E59" s="468"/>
      <c r="F59" s="466">
        <v>0</v>
      </c>
      <c r="G59" s="468"/>
      <c r="H59" s="468"/>
      <c r="I59" s="468"/>
      <c r="J59" s="468"/>
      <c r="K59" s="468"/>
    </row>
    <row r="60" spans="1:11" ht="12.75" customHeight="1" x14ac:dyDescent="0.2">
      <c r="A60" s="1515"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6" t="s">
        <v>934</v>
      </c>
      <c r="B62" s="556">
        <v>1454</v>
      </c>
      <c r="C62" s="468"/>
      <c r="D62" s="468"/>
      <c r="E62" s="468"/>
      <c r="F62" s="467">
        <v>0</v>
      </c>
      <c r="G62" s="468"/>
      <c r="H62" s="468"/>
      <c r="I62" s="468"/>
      <c r="J62" s="468"/>
      <c r="K62" s="468"/>
    </row>
    <row r="63" spans="1:11" ht="12.75" customHeight="1" thickBot="1" x14ac:dyDescent="0.25">
      <c r="A63" s="1722" t="s">
        <v>505</v>
      </c>
      <c r="B63" s="1723"/>
      <c r="C63" s="468"/>
      <c r="D63" s="468"/>
      <c r="E63" s="468"/>
      <c r="F63" s="1702">
        <f>SUM(F42:F62)</f>
        <v>2276</v>
      </c>
      <c r="G63" s="468"/>
      <c r="H63" s="468"/>
      <c r="I63" s="468"/>
      <c r="J63" s="468"/>
      <c r="K63" s="468"/>
    </row>
    <row r="64" spans="1:11" ht="15.75" customHeight="1" thickTop="1" x14ac:dyDescent="0.2">
      <c r="A64" s="1611" t="s">
        <v>473</v>
      </c>
      <c r="B64" s="1612">
        <v>1500</v>
      </c>
      <c r="C64" s="468"/>
      <c r="D64" s="468"/>
      <c r="E64" s="468"/>
      <c r="F64" s="468"/>
      <c r="G64" s="468"/>
      <c r="H64" s="468"/>
      <c r="I64" s="468"/>
      <c r="J64" s="468"/>
      <c r="K64" s="468"/>
    </row>
    <row r="65" spans="1:11" ht="12.75" customHeight="1" x14ac:dyDescent="0.2">
      <c r="A65" s="463" t="s">
        <v>567</v>
      </c>
      <c r="B65" s="470">
        <v>1510</v>
      </c>
      <c r="C65" s="466">
        <v>29833</v>
      </c>
      <c r="D65" s="466">
        <v>21498</v>
      </c>
      <c r="E65" s="466">
        <v>12772</v>
      </c>
      <c r="F65" s="467">
        <v>10115</v>
      </c>
      <c r="G65" s="466">
        <v>7171</v>
      </c>
      <c r="H65" s="466">
        <v>42022</v>
      </c>
      <c r="I65" s="466">
        <v>18415</v>
      </c>
      <c r="J65" s="467">
        <v>4995</v>
      </c>
      <c r="K65" s="466">
        <v>27088</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2" t="s">
        <v>506</v>
      </c>
      <c r="B67" s="1723"/>
      <c r="C67" s="1702">
        <f>SUM(C65:C66)</f>
        <v>29833</v>
      </c>
      <c r="D67" s="1702">
        <f t="shared" ref="D67:K67" si="2">SUM(D65:D66)</f>
        <v>21498</v>
      </c>
      <c r="E67" s="1702">
        <f t="shared" si="2"/>
        <v>12772</v>
      </c>
      <c r="F67" s="1702">
        <f t="shared" si="2"/>
        <v>10115</v>
      </c>
      <c r="G67" s="1702">
        <f t="shared" si="2"/>
        <v>7171</v>
      </c>
      <c r="H67" s="1702">
        <f t="shared" si="2"/>
        <v>42022</v>
      </c>
      <c r="I67" s="1702">
        <f t="shared" si="2"/>
        <v>18415</v>
      </c>
      <c r="J67" s="1702">
        <f t="shared" si="2"/>
        <v>4995</v>
      </c>
      <c r="K67" s="1702">
        <f t="shared" si="2"/>
        <v>27088</v>
      </c>
    </row>
    <row r="68" spans="1:11" ht="15.75" customHeight="1" thickTop="1" x14ac:dyDescent="0.2">
      <c r="A68" s="1611" t="s">
        <v>474</v>
      </c>
      <c r="B68" s="1613">
        <v>1600</v>
      </c>
      <c r="C68" s="551"/>
      <c r="D68" s="468"/>
      <c r="E68" s="468"/>
      <c r="F68" s="468"/>
      <c r="G68" s="468"/>
      <c r="H68" s="468"/>
      <c r="I68" s="468"/>
      <c r="J68" s="468"/>
      <c r="K68" s="468"/>
    </row>
    <row r="69" spans="1:11" ht="12.75" customHeight="1" x14ac:dyDescent="0.2">
      <c r="A69" s="463" t="s">
        <v>686</v>
      </c>
      <c r="B69" s="470">
        <v>1611</v>
      </c>
      <c r="C69" s="466">
        <v>775227</v>
      </c>
      <c r="D69" s="468"/>
      <c r="E69" s="468"/>
      <c r="F69" s="468"/>
      <c r="G69" s="468"/>
      <c r="H69" s="468"/>
      <c r="I69" s="468"/>
      <c r="J69" s="468"/>
      <c r="K69" s="468"/>
    </row>
    <row r="70" spans="1:11" ht="12.75" customHeight="1" x14ac:dyDescent="0.2">
      <c r="A70" s="463" t="s">
        <v>1053</v>
      </c>
      <c r="B70" s="470">
        <v>1612</v>
      </c>
      <c r="C70" s="549">
        <v>0</v>
      </c>
      <c r="D70" s="468"/>
      <c r="E70" s="468"/>
      <c r="F70" s="468"/>
      <c r="G70" s="468"/>
      <c r="H70" s="468"/>
      <c r="I70" s="468"/>
      <c r="J70" s="468"/>
      <c r="K70" s="468"/>
    </row>
    <row r="71" spans="1:11" ht="12.75" customHeight="1" x14ac:dyDescent="0.2">
      <c r="A71" s="463" t="s">
        <v>290</v>
      </c>
      <c r="B71" s="470">
        <v>1613</v>
      </c>
      <c r="C71" s="549">
        <v>0</v>
      </c>
      <c r="D71" s="468"/>
      <c r="E71" s="468"/>
      <c r="F71" s="468"/>
      <c r="G71" s="468"/>
      <c r="H71" s="468"/>
      <c r="I71" s="468"/>
      <c r="J71" s="468"/>
      <c r="K71" s="468"/>
    </row>
    <row r="72" spans="1:11" ht="12.75" customHeight="1" x14ac:dyDescent="0.2">
      <c r="A72" s="463" t="s">
        <v>24</v>
      </c>
      <c r="B72" s="470">
        <v>1614</v>
      </c>
      <c r="C72" s="549">
        <v>52102</v>
      </c>
      <c r="D72" s="468"/>
      <c r="E72" s="468"/>
      <c r="F72" s="468"/>
      <c r="G72" s="468"/>
      <c r="H72" s="468"/>
      <c r="I72" s="468"/>
      <c r="J72" s="468"/>
      <c r="K72" s="468"/>
    </row>
    <row r="73" spans="1:11" ht="12.75" customHeight="1" x14ac:dyDescent="0.2">
      <c r="A73" s="463" t="s">
        <v>1054</v>
      </c>
      <c r="B73" s="470">
        <v>1620</v>
      </c>
      <c r="C73" s="549">
        <v>0</v>
      </c>
      <c r="D73" s="468"/>
      <c r="E73" s="468"/>
      <c r="F73" s="468"/>
      <c r="G73" s="468"/>
      <c r="H73" s="468"/>
      <c r="I73" s="468"/>
      <c r="J73" s="468"/>
      <c r="K73" s="468"/>
    </row>
    <row r="74" spans="1:11" ht="12.75" customHeight="1" x14ac:dyDescent="0.2">
      <c r="A74" s="463" t="s">
        <v>25</v>
      </c>
      <c r="B74" s="470">
        <v>1690</v>
      </c>
      <c r="C74" s="549">
        <v>3329</v>
      </c>
      <c r="D74" s="468"/>
      <c r="E74" s="468"/>
      <c r="F74" s="468"/>
      <c r="G74" s="468"/>
      <c r="H74" s="468"/>
      <c r="I74" s="468"/>
      <c r="J74" s="468"/>
      <c r="K74" s="468"/>
    </row>
    <row r="75" spans="1:11" ht="12.75" customHeight="1" thickBot="1" x14ac:dyDescent="0.25">
      <c r="A75" s="1722" t="s">
        <v>568</v>
      </c>
      <c r="B75" s="1723"/>
      <c r="C75" s="1702">
        <f>SUM(C69:C74)</f>
        <v>830658</v>
      </c>
      <c r="D75" s="468"/>
      <c r="E75" s="468"/>
      <c r="F75" s="468"/>
      <c r="G75" s="468"/>
      <c r="H75" s="468"/>
      <c r="I75" s="468"/>
      <c r="J75" s="468"/>
      <c r="K75" s="468"/>
    </row>
    <row r="76" spans="1:11" ht="15.75" customHeight="1" thickTop="1" x14ac:dyDescent="0.2">
      <c r="A76" s="1611" t="s">
        <v>935</v>
      </c>
      <c r="B76" s="1613">
        <v>1700</v>
      </c>
      <c r="C76" s="551"/>
      <c r="D76" s="468"/>
      <c r="E76" s="468"/>
      <c r="F76" s="468"/>
      <c r="G76" s="468"/>
      <c r="H76" s="468"/>
      <c r="I76" s="468"/>
      <c r="J76" s="468"/>
      <c r="K76" s="468"/>
    </row>
    <row r="77" spans="1:11" ht="12.75" customHeight="1" x14ac:dyDescent="0.2">
      <c r="A77" s="463" t="s">
        <v>569</v>
      </c>
      <c r="B77" s="470">
        <v>1711</v>
      </c>
      <c r="C77" s="514">
        <v>85060</v>
      </c>
      <c r="D77" s="466">
        <v>0</v>
      </c>
      <c r="E77" s="468"/>
      <c r="F77" s="468"/>
      <c r="G77" s="468"/>
      <c r="H77" s="468"/>
      <c r="I77" s="468"/>
      <c r="J77" s="468"/>
      <c r="K77" s="468"/>
    </row>
    <row r="78" spans="1:11" ht="12.75" customHeight="1" x14ac:dyDescent="0.2">
      <c r="A78" s="463" t="s">
        <v>78</v>
      </c>
      <c r="B78" s="470">
        <v>1719</v>
      </c>
      <c r="C78" s="549">
        <v>17</v>
      </c>
      <c r="D78" s="466">
        <v>0</v>
      </c>
      <c r="E78" s="468"/>
      <c r="F78" s="468"/>
      <c r="G78" s="468"/>
      <c r="H78" s="468"/>
      <c r="I78" s="468"/>
      <c r="J78" s="468"/>
      <c r="K78" s="468"/>
    </row>
    <row r="79" spans="1:11" ht="12.75" customHeight="1" x14ac:dyDescent="0.2">
      <c r="A79" s="463" t="s">
        <v>570</v>
      </c>
      <c r="B79" s="470">
        <v>1720</v>
      </c>
      <c r="C79" s="549">
        <v>2759</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177369</v>
      </c>
      <c r="D81" s="466">
        <v>0</v>
      </c>
      <c r="E81" s="468"/>
      <c r="F81" s="468"/>
      <c r="G81" s="468"/>
      <c r="H81" s="468"/>
      <c r="I81" s="468"/>
      <c r="J81" s="468"/>
      <c r="K81" s="468"/>
    </row>
    <row r="82" spans="1:11" ht="12.75" customHeight="1" thickBot="1" x14ac:dyDescent="0.25">
      <c r="A82" s="1722" t="s">
        <v>259</v>
      </c>
      <c r="B82" s="1723"/>
      <c r="C82" s="1721">
        <f>SUM(C77:C81)</f>
        <v>265205</v>
      </c>
      <c r="D82" s="1702">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572</v>
      </c>
      <c r="B84" s="470">
        <v>1811</v>
      </c>
      <c r="C84" s="466">
        <v>209232</v>
      </c>
      <c r="D84" s="468"/>
      <c r="E84" s="468"/>
      <c r="F84" s="468"/>
      <c r="G84" s="468"/>
      <c r="H84" s="468"/>
      <c r="I84" s="468"/>
      <c r="J84" s="468"/>
      <c r="K84" s="468"/>
    </row>
    <row r="85" spans="1:11" ht="12.75" customHeight="1" x14ac:dyDescent="0.2">
      <c r="A85" s="463" t="s">
        <v>573</v>
      </c>
      <c r="B85" s="470">
        <v>1812</v>
      </c>
      <c r="C85" s="549">
        <v>0</v>
      </c>
      <c r="D85" s="468"/>
      <c r="E85" s="468"/>
      <c r="F85" s="468"/>
      <c r="G85" s="468"/>
      <c r="H85" s="468"/>
      <c r="I85" s="468"/>
      <c r="J85" s="468"/>
      <c r="K85" s="468"/>
    </row>
    <row r="86" spans="1:11" ht="12.75" customHeight="1" x14ac:dyDescent="0.2">
      <c r="A86" s="463" t="s">
        <v>1055</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785</v>
      </c>
      <c r="B92" s="470">
        <v>1890</v>
      </c>
      <c r="C92" s="549">
        <v>0</v>
      </c>
      <c r="D92" s="468"/>
      <c r="E92" s="468"/>
      <c r="F92" s="468"/>
      <c r="G92" s="468"/>
      <c r="H92" s="468"/>
      <c r="I92" s="468"/>
      <c r="J92" s="468"/>
      <c r="K92" s="468"/>
    </row>
    <row r="93" spans="1:11" ht="12.75" customHeight="1" thickBot="1" x14ac:dyDescent="0.25">
      <c r="A93" s="1722" t="s">
        <v>261</v>
      </c>
      <c r="B93" s="1723"/>
      <c r="C93" s="1702">
        <f>SUM(C84:C92)</f>
        <v>209232</v>
      </c>
      <c r="D93" s="468"/>
      <c r="E93" s="468"/>
      <c r="F93" s="468"/>
      <c r="G93" s="468"/>
      <c r="H93" s="468"/>
      <c r="I93" s="468"/>
      <c r="J93" s="468"/>
      <c r="K93" s="468"/>
    </row>
    <row r="94" spans="1:11" ht="15.75" customHeight="1" thickTop="1" x14ac:dyDescent="0.2">
      <c r="A94" s="1611" t="s">
        <v>1198</v>
      </c>
      <c r="B94" s="1613">
        <v>1900</v>
      </c>
      <c r="C94" s="551"/>
      <c r="D94" s="519"/>
      <c r="E94" s="468"/>
      <c r="F94" s="468"/>
      <c r="G94" s="468"/>
      <c r="H94" s="468"/>
      <c r="I94" s="468"/>
      <c r="J94" s="468"/>
      <c r="K94" s="468"/>
    </row>
    <row r="95" spans="1:11" ht="12.75" customHeight="1" x14ac:dyDescent="0.2">
      <c r="A95" s="463" t="s">
        <v>1123</v>
      </c>
      <c r="B95" s="470">
        <v>1910</v>
      </c>
      <c r="C95" s="466">
        <v>0</v>
      </c>
      <c r="D95" s="549">
        <v>0</v>
      </c>
      <c r="E95" s="519"/>
      <c r="F95" s="519"/>
      <c r="G95" s="519"/>
      <c r="H95" s="519"/>
      <c r="I95" s="519"/>
      <c r="J95" s="519"/>
      <c r="K95" s="519"/>
    </row>
    <row r="96" spans="1:11" ht="12.75" customHeight="1" x14ac:dyDescent="0.2">
      <c r="A96" s="463" t="s">
        <v>408</v>
      </c>
      <c r="B96" s="470">
        <v>1920</v>
      </c>
      <c r="C96" s="549">
        <v>800</v>
      </c>
      <c r="D96" s="549">
        <v>0</v>
      </c>
      <c r="E96" s="478">
        <v>0</v>
      </c>
      <c r="F96" s="477">
        <v>0</v>
      </c>
      <c r="G96" s="477">
        <v>0</v>
      </c>
      <c r="H96" s="477">
        <v>108500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874</v>
      </c>
      <c r="B99" s="470">
        <v>1950</v>
      </c>
      <c r="C99" s="487">
        <v>777</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23074</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0</v>
      </c>
      <c r="F103" s="468"/>
      <c r="G103" s="468"/>
      <c r="H103" s="487">
        <v>982393</v>
      </c>
      <c r="I103" s="468"/>
      <c r="J103" s="508"/>
      <c r="K103" s="508"/>
    </row>
    <row r="104" spans="1:12" ht="12.75" customHeight="1" x14ac:dyDescent="0.2">
      <c r="A104" s="463" t="s">
        <v>884</v>
      </c>
      <c r="B104" s="470">
        <v>1991</v>
      </c>
      <c r="C104" s="487">
        <v>13999</v>
      </c>
      <c r="D104" s="466">
        <v>0</v>
      </c>
      <c r="E104" s="480">
        <v>0</v>
      </c>
      <c r="F104" s="467">
        <v>0</v>
      </c>
      <c r="G104" s="467">
        <v>0</v>
      </c>
      <c r="H104" s="466">
        <v>0</v>
      </c>
      <c r="I104" s="468"/>
      <c r="J104" s="468"/>
      <c r="K104" s="468"/>
    </row>
    <row r="105" spans="1:12" ht="12.75" customHeight="1" x14ac:dyDescent="0.2">
      <c r="A105" s="463" t="s">
        <v>875</v>
      </c>
      <c r="B105" s="470">
        <v>1992</v>
      </c>
      <c r="C105" s="466">
        <v>0</v>
      </c>
      <c r="D105" s="559"/>
      <c r="E105" s="468"/>
      <c r="F105" s="468"/>
      <c r="G105" s="468"/>
      <c r="H105" s="508"/>
      <c r="I105" s="468"/>
      <c r="J105" s="468"/>
      <c r="K105" s="468"/>
    </row>
    <row r="106" spans="1:12" ht="12.75" customHeight="1" x14ac:dyDescent="0.2">
      <c r="A106" s="463" t="s">
        <v>1504</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8141</v>
      </c>
      <c r="D107" s="466">
        <v>1012</v>
      </c>
      <c r="E107" s="466">
        <v>0</v>
      </c>
      <c r="F107" s="466">
        <v>0</v>
      </c>
      <c r="G107" s="466">
        <v>0</v>
      </c>
      <c r="H107" s="466">
        <v>0</v>
      </c>
      <c r="I107" s="466">
        <v>0</v>
      </c>
      <c r="J107" s="467">
        <v>0</v>
      </c>
      <c r="K107" s="466">
        <v>0</v>
      </c>
    </row>
    <row r="108" spans="1:12" ht="12.75" customHeight="1" thickBot="1" x14ac:dyDescent="0.25">
      <c r="A108" s="1722" t="s">
        <v>507</v>
      </c>
      <c r="B108" s="1726"/>
      <c r="C108" s="1721">
        <f>SUM(C95:C107)</f>
        <v>46791</v>
      </c>
      <c r="D108" s="1721">
        <f t="shared" ref="D108:K108" si="3">SUM(D95:D107)</f>
        <v>1012</v>
      </c>
      <c r="E108" s="1721">
        <f t="shared" si="3"/>
        <v>0</v>
      </c>
      <c r="F108" s="1721">
        <f t="shared" si="3"/>
        <v>0</v>
      </c>
      <c r="G108" s="1721">
        <f t="shared" si="3"/>
        <v>0</v>
      </c>
      <c r="H108" s="1721">
        <f t="shared" si="3"/>
        <v>1090893</v>
      </c>
      <c r="I108" s="1721">
        <f t="shared" si="3"/>
        <v>0</v>
      </c>
      <c r="J108" s="1721">
        <f t="shared" si="3"/>
        <v>0</v>
      </c>
      <c r="K108" s="1702">
        <f t="shared" si="3"/>
        <v>0</v>
      </c>
    </row>
    <row r="109" spans="1:12" ht="14.25" thickTop="1" thickBot="1" x14ac:dyDescent="0.25">
      <c r="A109" s="1727" t="s">
        <v>266</v>
      </c>
      <c r="B109" s="1728" t="s">
        <v>590</v>
      </c>
      <c r="C109" s="1729">
        <f t="shared" ref="C109:K109" si="4">SUM(C12,C18,C40,C63,C67,C75,C82,C93,C108,)</f>
        <v>10455927</v>
      </c>
      <c r="D109" s="1729">
        <f t="shared" si="4"/>
        <v>1827110</v>
      </c>
      <c r="E109" s="1729">
        <f t="shared" si="4"/>
        <v>2501776</v>
      </c>
      <c r="F109" s="1729">
        <f t="shared" si="4"/>
        <v>734230</v>
      </c>
      <c r="G109" s="1729">
        <f t="shared" si="4"/>
        <v>701233</v>
      </c>
      <c r="H109" s="1729">
        <f t="shared" si="4"/>
        <v>1132915</v>
      </c>
      <c r="I109" s="1729">
        <f t="shared" si="4"/>
        <v>196164</v>
      </c>
      <c r="J109" s="1729">
        <f t="shared" si="4"/>
        <v>716101</v>
      </c>
      <c r="K109" s="1716">
        <f t="shared" si="4"/>
        <v>27088</v>
      </c>
    </row>
    <row r="110" spans="1:12" ht="30" customHeight="1" thickTop="1" x14ac:dyDescent="0.2">
      <c r="A110" s="1604" t="s">
        <v>363</v>
      </c>
      <c r="B110" s="1605"/>
      <c r="C110" s="1590"/>
      <c r="D110" s="1590"/>
      <c r="E110" s="1590"/>
      <c r="F110" s="1590"/>
      <c r="G110" s="1590"/>
      <c r="H110" s="1590"/>
      <c r="I110" s="1590"/>
      <c r="J110" s="1590"/>
      <c r="K110" s="1591"/>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0" t="s">
        <v>838</v>
      </c>
      <c r="B114" s="1731" t="s">
        <v>589</v>
      </c>
      <c r="C114" s="1732">
        <f>SUM(C111:C113)</f>
        <v>0</v>
      </c>
      <c r="D114" s="1732">
        <f>SUM(D111:D113)</f>
        <v>0</v>
      </c>
      <c r="E114" s="559" t="s">
        <v>1230</v>
      </c>
      <c r="F114" s="1732">
        <f>SUM(F111:F113)</f>
        <v>0</v>
      </c>
      <c r="G114" s="1732">
        <f>SUM(G111:G113)</f>
        <v>0</v>
      </c>
      <c r="H114" s="559"/>
      <c r="I114" s="468"/>
      <c r="J114" s="468"/>
      <c r="K114" s="468"/>
    </row>
    <row r="115" spans="1:11" ht="16.7" customHeight="1" thickTop="1" x14ac:dyDescent="0.2">
      <c r="A115" s="1606" t="s">
        <v>835</v>
      </c>
      <c r="B115" s="1607"/>
      <c r="C115" s="1589"/>
      <c r="D115" s="1590"/>
      <c r="E115" s="1590"/>
      <c r="F115" s="1590"/>
      <c r="G115" s="1590"/>
      <c r="H115" s="1590"/>
      <c r="I115" s="1590"/>
      <c r="J115" s="1590"/>
      <c r="K115" s="1591"/>
    </row>
    <row r="116" spans="1:11" ht="18" customHeight="1" x14ac:dyDescent="0.2">
      <c r="A116" s="1614" t="s">
        <v>1570</v>
      </c>
      <c r="B116" s="1615"/>
      <c r="C116" s="520"/>
      <c r="D116" s="519"/>
      <c r="E116" s="559"/>
      <c r="F116" s="519"/>
      <c r="G116" s="519"/>
      <c r="H116" s="559"/>
      <c r="I116" s="468"/>
      <c r="J116" s="519"/>
      <c r="K116" s="519"/>
    </row>
    <row r="117" spans="1:11" ht="12.75" customHeight="1" x14ac:dyDescent="0.2">
      <c r="A117" s="463" t="s">
        <v>1764</v>
      </c>
      <c r="B117" s="560">
        <v>3001</v>
      </c>
      <c r="C117" s="514">
        <v>5002367</v>
      </c>
      <c r="D117" s="480">
        <v>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5"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2" t="s">
        <v>508</v>
      </c>
      <c r="B121" s="1733"/>
      <c r="C121" s="1721">
        <f t="shared" ref="C121:H121" si="5">SUM(C117:C120)</f>
        <v>5002367</v>
      </c>
      <c r="D121" s="1721">
        <f t="shared" si="5"/>
        <v>0</v>
      </c>
      <c r="E121" s="1721">
        <f t="shared" si="5"/>
        <v>0</v>
      </c>
      <c r="F121" s="1721">
        <f t="shared" si="5"/>
        <v>0</v>
      </c>
      <c r="G121" s="1721">
        <f t="shared" si="5"/>
        <v>0</v>
      </c>
      <c r="H121" s="1721">
        <f t="shared" si="5"/>
        <v>0</v>
      </c>
      <c r="I121" s="468"/>
      <c r="J121" s="1721">
        <f>SUM(J117:J120)</f>
        <v>0</v>
      </c>
      <c r="K121" s="1702">
        <f>SUM(K117:K120)</f>
        <v>0</v>
      </c>
    </row>
    <row r="122" spans="1:11" ht="15.75" customHeight="1" thickTop="1" x14ac:dyDescent="0.2">
      <c r="A122" s="1611" t="s">
        <v>1569</v>
      </c>
      <c r="B122" s="1616"/>
      <c r="C122" s="563"/>
      <c r="D122" s="507"/>
      <c r="E122" s="468"/>
      <c r="F122" s="564"/>
      <c r="G122" s="468"/>
      <c r="H122" s="468"/>
      <c r="I122" s="468"/>
      <c r="J122" s="468"/>
      <c r="K122" s="468"/>
    </row>
    <row r="123" spans="1:11" ht="15" customHeight="1" x14ac:dyDescent="0.2">
      <c r="A123" s="1617" t="s">
        <v>687</v>
      </c>
      <c r="B123" s="1618"/>
      <c r="C123" s="519"/>
      <c r="D123" s="507"/>
      <c r="E123" s="468"/>
      <c r="F123" s="519"/>
      <c r="G123" s="468"/>
      <c r="H123" s="468"/>
      <c r="I123" s="468"/>
      <c r="J123" s="468"/>
      <c r="K123" s="468"/>
    </row>
    <row r="124" spans="1:11" ht="12.75" customHeight="1" x14ac:dyDescent="0.2">
      <c r="A124" s="463" t="s">
        <v>920</v>
      </c>
      <c r="B124" s="565">
        <v>3100</v>
      </c>
      <c r="C124" s="480">
        <v>13644</v>
      </c>
      <c r="D124" s="559"/>
      <c r="E124" s="468"/>
      <c r="F124" s="546">
        <v>0</v>
      </c>
      <c r="G124" s="468"/>
      <c r="H124" s="468"/>
      <c r="I124" s="468"/>
      <c r="J124" s="468"/>
      <c r="K124" s="468"/>
    </row>
    <row r="125" spans="1:11" ht="12.75" customHeight="1" x14ac:dyDescent="0.2">
      <c r="A125" s="463" t="s">
        <v>1520</v>
      </c>
      <c r="B125" s="560">
        <v>3105</v>
      </c>
      <c r="C125" s="466">
        <v>158103</v>
      </c>
      <c r="D125" s="559"/>
      <c r="E125" s="468"/>
      <c r="F125" s="466">
        <v>0</v>
      </c>
      <c r="G125" s="468"/>
      <c r="H125" s="468"/>
      <c r="I125" s="468"/>
      <c r="J125" s="468"/>
      <c r="K125" s="468"/>
    </row>
    <row r="126" spans="1:11" ht="12.75" customHeight="1" x14ac:dyDescent="0.2">
      <c r="A126" s="463" t="s">
        <v>921</v>
      </c>
      <c r="B126" s="560">
        <v>3110</v>
      </c>
      <c r="C126" s="549">
        <v>81391</v>
      </c>
      <c r="D126" s="466">
        <v>0</v>
      </c>
      <c r="E126" s="468"/>
      <c r="F126" s="466">
        <v>0</v>
      </c>
      <c r="G126" s="468"/>
      <c r="H126" s="468"/>
      <c r="I126" s="468"/>
      <c r="J126" s="468"/>
      <c r="K126" s="468"/>
    </row>
    <row r="127" spans="1:11" ht="12.75" customHeight="1" x14ac:dyDescent="0.2">
      <c r="A127" s="463" t="s">
        <v>107</v>
      </c>
      <c r="B127" s="560">
        <v>3120</v>
      </c>
      <c r="C127" s="466">
        <v>27016</v>
      </c>
      <c r="D127" s="559"/>
      <c r="E127" s="468"/>
      <c r="F127" s="466">
        <v>0</v>
      </c>
      <c r="G127" s="468"/>
      <c r="H127" s="468"/>
      <c r="I127" s="468"/>
      <c r="J127" s="468"/>
      <c r="K127" s="468"/>
    </row>
    <row r="128" spans="1:11" ht="12.75" customHeight="1" x14ac:dyDescent="0.2">
      <c r="A128" s="463" t="s">
        <v>1521</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2" t="s">
        <v>1091</v>
      </c>
      <c r="B131" s="1734"/>
      <c r="C131" s="1721">
        <f>SUM(C124:C130)</f>
        <v>280154</v>
      </c>
      <c r="D131" s="1721">
        <f>SUM(D124:D130)</f>
        <v>0</v>
      </c>
      <c r="E131" s="469" t="s">
        <v>1230</v>
      </c>
      <c r="F131" s="1721">
        <f>SUM(F124:F130)</f>
        <v>0</v>
      </c>
      <c r="G131" s="468" t="s">
        <v>1230</v>
      </c>
      <c r="H131" s="468" t="s">
        <v>1230</v>
      </c>
      <c r="I131" s="468" t="s">
        <v>1230</v>
      </c>
      <c r="J131" s="468" t="s">
        <v>1230</v>
      </c>
      <c r="K131" s="468" t="s">
        <v>1230</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95160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4148</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2" t="s">
        <v>623</v>
      </c>
      <c r="B140" s="1734"/>
      <c r="C140" s="1721">
        <f>SUM(C133:C139)</f>
        <v>99308</v>
      </c>
      <c r="D140" s="1721">
        <f>SUM(D133:D139)</f>
        <v>0</v>
      </c>
      <c r="E140" s="559" t="s">
        <v>1230</v>
      </c>
      <c r="F140" s="476"/>
      <c r="G140" s="1721">
        <f>SUM(G133:G139)</f>
        <v>0</v>
      </c>
      <c r="H140" s="468" t="s">
        <v>1230</v>
      </c>
      <c r="I140" s="468" t="s">
        <v>1230</v>
      </c>
      <c r="J140" s="468" t="s">
        <v>1230</v>
      </c>
      <c r="K140" s="468" t="s">
        <v>1230</v>
      </c>
    </row>
    <row r="141" spans="1:11" ht="15.75" customHeight="1" thickTop="1" x14ac:dyDescent="0.2">
      <c r="A141" s="1619" t="s">
        <v>690</v>
      </c>
      <c r="B141" s="1620"/>
      <c r="C141" s="551"/>
      <c r="D141" s="564"/>
      <c r="E141" s="559"/>
      <c r="F141" s="551"/>
      <c r="G141" s="551"/>
      <c r="H141" s="468"/>
      <c r="I141" s="468"/>
      <c r="J141" s="468"/>
      <c r="K141" s="468"/>
    </row>
    <row r="142" spans="1:11" ht="12.75" customHeight="1" x14ac:dyDescent="0.2">
      <c r="A142" s="463" t="s">
        <v>624</v>
      </c>
      <c r="B142" s="560">
        <v>3305</v>
      </c>
      <c r="C142" s="466">
        <v>0</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2" t="s">
        <v>413</v>
      </c>
      <c r="B144" s="1734"/>
      <c r="C144" s="1702">
        <f>SUM(C142:C143)</f>
        <v>0</v>
      </c>
      <c r="D144" s="468"/>
      <c r="E144" s="507"/>
      <c r="F144" s="468"/>
      <c r="G144" s="1735">
        <f>SUM(G142:G143)</f>
        <v>0</v>
      </c>
      <c r="H144" s="468"/>
      <c r="I144" s="468"/>
      <c r="J144" s="468"/>
      <c r="K144" s="468"/>
    </row>
    <row r="145" spans="1:11" s="202" customFormat="1" ht="12.75" customHeight="1" thickTop="1" x14ac:dyDescent="0.2">
      <c r="A145" s="1517" t="s">
        <v>1115</v>
      </c>
      <c r="B145" s="566">
        <v>3360</v>
      </c>
      <c r="C145" s="567">
        <v>4595</v>
      </c>
      <c r="D145" s="568"/>
      <c r="E145" s="507"/>
      <c r="F145" s="468"/>
      <c r="G145" s="569"/>
      <c r="H145" s="468"/>
      <c r="I145" s="468"/>
      <c r="J145" s="468"/>
      <c r="K145" s="468"/>
    </row>
    <row r="146" spans="1:11" ht="12.75" customHeight="1" thickBot="1" x14ac:dyDescent="0.25">
      <c r="A146" s="1518" t="s">
        <v>978</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40258</v>
      </c>
      <c r="D147" s="571">
        <v>0</v>
      </c>
      <c r="E147" s="507"/>
      <c r="F147" s="468"/>
      <c r="G147" s="468"/>
      <c r="H147" s="468"/>
      <c r="I147" s="468"/>
      <c r="J147" s="468"/>
      <c r="K147" s="468"/>
    </row>
    <row r="148" spans="1:11" ht="12.75" customHeight="1" thickTop="1" thickBot="1" x14ac:dyDescent="0.25">
      <c r="A148" s="1519"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472</v>
      </c>
      <c r="B150" s="1621"/>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1093316</v>
      </c>
      <c r="G151" s="467">
        <v>0</v>
      </c>
      <c r="H151" s="468"/>
      <c r="I151" s="468"/>
      <c r="J151" s="468"/>
      <c r="K151" s="468"/>
    </row>
    <row r="152" spans="1:11" ht="12.75" customHeight="1" x14ac:dyDescent="0.2">
      <c r="A152" s="463" t="s">
        <v>1116</v>
      </c>
      <c r="B152" s="560">
        <v>3510</v>
      </c>
      <c r="C152" s="549">
        <v>0</v>
      </c>
      <c r="D152" s="466">
        <v>0</v>
      </c>
      <c r="E152" s="559"/>
      <c r="F152" s="466">
        <v>312252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2" t="s">
        <v>96</v>
      </c>
      <c r="B154" s="1734"/>
      <c r="C154" s="1721">
        <f>SUM(C151:C153)</f>
        <v>0</v>
      </c>
      <c r="D154" s="1721">
        <f>SUM(D151:D153)</f>
        <v>0</v>
      </c>
      <c r="E154" s="559"/>
      <c r="F154" s="1721">
        <f>SUM(F151:F153)</f>
        <v>1405568</v>
      </c>
      <c r="G154" s="1721">
        <f>SUM(G151:G153)</f>
        <v>0</v>
      </c>
      <c r="H154" s="468"/>
      <c r="I154" s="468"/>
      <c r="J154" s="468"/>
      <c r="K154" s="468"/>
    </row>
    <row r="155" spans="1:11" ht="12.75" customHeight="1" thickTop="1" thickBot="1" x14ac:dyDescent="0.25">
      <c r="A155" s="1519" t="s">
        <v>397</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1056</v>
      </c>
      <c r="B157" s="572">
        <v>3695</v>
      </c>
      <c r="C157" s="574">
        <v>0</v>
      </c>
      <c r="D157" s="468"/>
      <c r="E157" s="559"/>
      <c r="F157" s="574">
        <v>0</v>
      </c>
      <c r="G157" s="574">
        <v>0</v>
      </c>
      <c r="H157" s="468"/>
      <c r="I157" s="468"/>
      <c r="J157" s="468"/>
      <c r="K157" s="468"/>
    </row>
    <row r="158" spans="1:11" ht="12.75" customHeight="1" thickTop="1" thickBot="1" x14ac:dyDescent="0.25">
      <c r="A158" s="1519" t="s">
        <v>1110</v>
      </c>
      <c r="B158" s="572">
        <v>3705</v>
      </c>
      <c r="C158" s="574">
        <v>219449</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414</v>
      </c>
      <c r="B161" s="572">
        <v>3725</v>
      </c>
      <c r="C161" s="529">
        <v>0</v>
      </c>
      <c r="D161" s="468"/>
      <c r="E161" s="559"/>
      <c r="F161" s="529">
        <v>0</v>
      </c>
      <c r="G161" s="529">
        <v>0</v>
      </c>
      <c r="H161" s="468"/>
      <c r="I161" s="468"/>
      <c r="J161" s="468"/>
      <c r="K161" s="468"/>
    </row>
    <row r="162" spans="1:11" ht="12.75" customHeight="1" thickTop="1" thickBot="1" x14ac:dyDescent="0.25">
      <c r="A162" s="1519" t="s">
        <v>415</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1041</v>
      </c>
      <c r="B164" s="572">
        <v>3767</v>
      </c>
      <c r="C164" s="574"/>
      <c r="D164" s="529"/>
      <c r="E164" s="559"/>
      <c r="F164" s="529"/>
      <c r="G164" s="529"/>
      <c r="H164" s="468"/>
      <c r="I164" s="468"/>
      <c r="J164" s="468"/>
      <c r="K164" s="468"/>
    </row>
    <row r="165" spans="1:11" ht="12.75" customHeight="1" thickTop="1" thickBot="1" x14ac:dyDescent="0.25">
      <c r="A165" s="1519"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912</v>
      </c>
      <c r="B167" s="572">
        <v>3815</v>
      </c>
      <c r="C167" s="574">
        <v>0</v>
      </c>
      <c r="D167" s="468"/>
      <c r="E167" s="559"/>
      <c r="F167" s="574">
        <v>0</v>
      </c>
      <c r="G167" s="468"/>
      <c r="H167" s="468"/>
      <c r="I167" s="468"/>
      <c r="J167" s="468"/>
      <c r="K167" s="468"/>
    </row>
    <row r="168" spans="1:11" ht="12.75" customHeight="1" thickTop="1" thickBot="1" x14ac:dyDescent="0.25">
      <c r="A168" s="1519" t="s">
        <v>416</v>
      </c>
      <c r="B168" s="572">
        <v>3825</v>
      </c>
      <c r="C168" s="574">
        <v>0</v>
      </c>
      <c r="D168" s="468"/>
      <c r="E168" s="559"/>
      <c r="F168" s="574">
        <v>0</v>
      </c>
      <c r="G168" s="468"/>
      <c r="H168" s="468"/>
      <c r="I168" s="468"/>
      <c r="J168" s="468"/>
      <c r="K168" s="468"/>
    </row>
    <row r="169" spans="1:11" ht="12.75" customHeight="1" thickTop="1" thickBot="1" x14ac:dyDescent="0.25">
      <c r="A169" s="1519" t="s">
        <v>365</v>
      </c>
      <c r="B169" s="572">
        <v>3920</v>
      </c>
      <c r="C169" s="564"/>
      <c r="D169" s="576">
        <v>0</v>
      </c>
      <c r="E169" s="468"/>
      <c r="F169" s="564"/>
      <c r="G169" s="468"/>
      <c r="H169" s="528">
        <v>0</v>
      </c>
      <c r="I169" s="468"/>
      <c r="J169" s="468"/>
      <c r="K169" s="468"/>
    </row>
    <row r="170" spans="1:11" ht="12.75" customHeight="1" thickTop="1" thickBot="1" x14ac:dyDescent="0.25">
      <c r="A170" s="1519" t="s">
        <v>366</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3542</v>
      </c>
      <c r="D171" s="578">
        <v>0</v>
      </c>
      <c r="E171" s="578">
        <v>0</v>
      </c>
      <c r="F171" s="578">
        <v>0</v>
      </c>
      <c r="G171" s="579">
        <v>0</v>
      </c>
      <c r="H171" s="580">
        <v>0</v>
      </c>
      <c r="I171" s="579">
        <v>0</v>
      </c>
      <c r="J171" s="579">
        <v>0</v>
      </c>
      <c r="K171" s="580">
        <v>0</v>
      </c>
    </row>
    <row r="172" spans="1:11" ht="12.75" customHeight="1" thickTop="1" thickBot="1" x14ac:dyDescent="0.25">
      <c r="A172" s="2289" t="s">
        <v>417</v>
      </c>
      <c r="B172" s="2290"/>
      <c r="C172" s="1736">
        <f t="shared" ref="C172:K172" si="6">SUM(C131,C140,C144,C145:C149,C154,C155:C170,C171)</f>
        <v>647306</v>
      </c>
      <c r="D172" s="1736">
        <f t="shared" si="6"/>
        <v>0</v>
      </c>
      <c r="E172" s="1736">
        <f t="shared" si="6"/>
        <v>0</v>
      </c>
      <c r="F172" s="1736">
        <f t="shared" si="6"/>
        <v>1405568</v>
      </c>
      <c r="G172" s="1736">
        <f t="shared" si="6"/>
        <v>0</v>
      </c>
      <c r="H172" s="1736">
        <f t="shared" si="6"/>
        <v>0</v>
      </c>
      <c r="I172" s="1736">
        <f t="shared" si="6"/>
        <v>0</v>
      </c>
      <c r="J172" s="1736">
        <f t="shared" si="6"/>
        <v>0</v>
      </c>
      <c r="K172" s="1717">
        <f t="shared" si="6"/>
        <v>0</v>
      </c>
    </row>
    <row r="173" spans="1:11" ht="12.75" customHeight="1" thickTop="1" thickBot="1" x14ac:dyDescent="0.25">
      <c r="A173" s="1722" t="s">
        <v>418</v>
      </c>
      <c r="B173" s="1728" t="s">
        <v>595</v>
      </c>
      <c r="C173" s="1729">
        <f>SUM(C121,C172)</f>
        <v>5649673</v>
      </c>
      <c r="D173" s="1729">
        <f>SUM(D121,D172)</f>
        <v>0</v>
      </c>
      <c r="E173" s="1729">
        <f>SUM(E121,E172)</f>
        <v>0</v>
      </c>
      <c r="F173" s="1729">
        <f t="shared" ref="F173:K173" si="7">SUM(F121,F172)</f>
        <v>1405568</v>
      </c>
      <c r="G173" s="1729">
        <f t="shared" si="7"/>
        <v>0</v>
      </c>
      <c r="H173" s="1729">
        <f t="shared" si="7"/>
        <v>0</v>
      </c>
      <c r="I173" s="1729">
        <f t="shared" si="7"/>
        <v>0</v>
      </c>
      <c r="J173" s="1729">
        <f t="shared" si="7"/>
        <v>0</v>
      </c>
      <c r="K173" s="1716">
        <f t="shared" si="7"/>
        <v>0</v>
      </c>
    </row>
    <row r="174" spans="1:11" ht="16.7" customHeight="1" thickTop="1" x14ac:dyDescent="0.2">
      <c r="A174" s="1608" t="s">
        <v>836</v>
      </c>
      <c r="B174" s="1586"/>
      <c r="C174" s="1589"/>
      <c r="D174" s="1590"/>
      <c r="E174" s="1590"/>
      <c r="F174" s="1590"/>
      <c r="G174" s="1590"/>
      <c r="H174" s="1590"/>
      <c r="I174" s="1590"/>
      <c r="J174" s="1590"/>
      <c r="K174" s="1591"/>
    </row>
    <row r="175" spans="1:11" ht="15.75" customHeight="1" x14ac:dyDescent="0.2">
      <c r="A175" s="2291" t="s">
        <v>1571</v>
      </c>
      <c r="B175" s="2292"/>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295" t="s">
        <v>1762</v>
      </c>
      <c r="B178" s="2296"/>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299" t="s">
        <v>1761</v>
      </c>
      <c r="B179" s="2300"/>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297" t="s">
        <v>817</v>
      </c>
      <c r="B184" s="2298"/>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293" t="s">
        <v>1901</v>
      </c>
      <c r="B185" s="2294"/>
      <c r="C185" s="582"/>
      <c r="D185" s="564"/>
      <c r="E185" s="507"/>
      <c r="F185" s="564"/>
      <c r="G185" s="564"/>
      <c r="H185" s="468"/>
      <c r="I185" s="468"/>
      <c r="J185" s="468"/>
      <c r="K185" s="468"/>
    </row>
    <row r="186" spans="1:11" ht="15.75" customHeight="1" x14ac:dyDescent="0.2">
      <c r="A186" s="1622" t="s">
        <v>1690</v>
      </c>
      <c r="B186" s="1623"/>
      <c r="C186" s="520"/>
      <c r="D186" s="519"/>
      <c r="E186" s="507"/>
      <c r="F186" s="519"/>
      <c r="G186" s="519"/>
      <c r="H186" s="468"/>
      <c r="I186" s="468"/>
      <c r="J186" s="468"/>
      <c r="K186" s="468"/>
    </row>
    <row r="187" spans="1:11" ht="12.75" customHeight="1" x14ac:dyDescent="0.2">
      <c r="A187" s="463" t="s">
        <v>1691</v>
      </c>
      <c r="B187" s="470">
        <v>4100</v>
      </c>
      <c r="C187" s="514">
        <v>0</v>
      </c>
      <c r="D187" s="480">
        <v>0</v>
      </c>
      <c r="E187" s="559"/>
      <c r="F187" s="480">
        <v>0</v>
      </c>
      <c r="G187" s="480">
        <v>0</v>
      </c>
      <c r="H187" s="468"/>
      <c r="I187" s="468"/>
      <c r="J187" s="468"/>
      <c r="K187" s="468"/>
    </row>
    <row r="188" spans="1:11" ht="12.75" customHeight="1" x14ac:dyDescent="0.2">
      <c r="A188" s="463" t="s">
        <v>1692</v>
      </c>
      <c r="B188" s="470">
        <v>4105</v>
      </c>
      <c r="C188" s="549">
        <v>0</v>
      </c>
      <c r="D188" s="466">
        <v>0</v>
      </c>
      <c r="E188" s="559"/>
      <c r="F188" s="466">
        <v>0</v>
      </c>
      <c r="G188" s="466">
        <v>0</v>
      </c>
      <c r="H188" s="468"/>
      <c r="I188" s="468"/>
      <c r="J188" s="468"/>
      <c r="K188" s="468"/>
    </row>
    <row r="189" spans="1:11" ht="12.75" customHeight="1" x14ac:dyDescent="0.2">
      <c r="A189" s="463" t="s">
        <v>1694</v>
      </c>
      <c r="B189" s="470">
        <v>4107</v>
      </c>
      <c r="C189" s="549">
        <v>0</v>
      </c>
      <c r="D189" s="466">
        <v>0</v>
      </c>
      <c r="E189" s="559"/>
      <c r="F189" s="466">
        <v>0</v>
      </c>
      <c r="G189" s="466">
        <v>0</v>
      </c>
      <c r="H189" s="468"/>
      <c r="I189" s="468"/>
      <c r="J189" s="468"/>
      <c r="K189" s="468"/>
    </row>
    <row r="190" spans="1:11" ht="12.75" customHeight="1" x14ac:dyDescent="0.2">
      <c r="A190" s="463" t="s">
        <v>1693</v>
      </c>
      <c r="B190" s="470">
        <v>4199</v>
      </c>
      <c r="C190" s="549">
        <v>0</v>
      </c>
      <c r="D190" s="466">
        <v>0</v>
      </c>
      <c r="E190" s="559"/>
      <c r="F190" s="466">
        <v>0</v>
      </c>
      <c r="G190" s="466">
        <v>0</v>
      </c>
      <c r="H190" s="468"/>
      <c r="I190" s="468"/>
      <c r="J190" s="468"/>
      <c r="K190" s="468"/>
    </row>
    <row r="191" spans="1:11" ht="12.75" customHeight="1" thickBot="1" x14ac:dyDescent="0.25">
      <c r="A191" s="1722" t="s">
        <v>1695</v>
      </c>
      <c r="B191" s="1723"/>
      <c r="C191" s="1721">
        <f>SUM(C187:C190)</f>
        <v>0</v>
      </c>
      <c r="D191" s="1721">
        <f>SUM(D187:D190)</f>
        <v>0</v>
      </c>
      <c r="E191" s="559"/>
      <c r="F191" s="1721">
        <f>SUM(F187:F190)</f>
        <v>0</v>
      </c>
      <c r="G191" s="1721">
        <f>SUM(G187:G190)</f>
        <v>0</v>
      </c>
      <c r="H191" s="468"/>
      <c r="I191" s="468"/>
      <c r="J191" s="468"/>
      <c r="K191" s="468"/>
    </row>
    <row r="192" spans="1:11" ht="15.75" customHeight="1" thickTop="1" x14ac:dyDescent="0.2">
      <c r="A192" s="1619" t="s">
        <v>474</v>
      </c>
      <c r="B192" s="1624"/>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317787</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79837</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2" t="s">
        <v>568</v>
      </c>
      <c r="B201" s="1723"/>
      <c r="C201" s="1702">
        <f>SUM(C193:C200)</f>
        <v>397624</v>
      </c>
      <c r="D201" s="468"/>
      <c r="E201" s="468"/>
      <c r="F201" s="468"/>
      <c r="G201" s="1702">
        <f>SUM(G193:G200)</f>
        <v>0</v>
      </c>
      <c r="H201" s="468"/>
      <c r="I201" s="468"/>
      <c r="J201" s="468"/>
      <c r="K201" s="468"/>
    </row>
    <row r="202" spans="1:11" ht="15.75" customHeight="1" thickTop="1" x14ac:dyDescent="0.2">
      <c r="A202" s="1619" t="s">
        <v>1199</v>
      </c>
      <c r="B202" s="1624"/>
      <c r="C202" s="551"/>
      <c r="D202" s="468"/>
      <c r="E202" s="468"/>
      <c r="F202" s="468"/>
      <c r="G202" s="468"/>
      <c r="H202" s="468"/>
      <c r="I202" s="468"/>
      <c r="J202" s="468"/>
      <c r="K202" s="468"/>
    </row>
    <row r="203" spans="1:11" ht="12.75" customHeight="1" x14ac:dyDescent="0.2">
      <c r="A203" s="463" t="s">
        <v>973</v>
      </c>
      <c r="B203" s="470">
        <v>4300</v>
      </c>
      <c r="C203" s="466">
        <v>203159</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2" t="s">
        <v>419</v>
      </c>
      <c r="B211" s="1723"/>
      <c r="C211" s="1721">
        <f>SUM(C203:C210)</f>
        <v>203159</v>
      </c>
      <c r="D211" s="1721">
        <f>SUM(D203:D210)</f>
        <v>0</v>
      </c>
      <c r="E211" s="468"/>
      <c r="F211" s="1721">
        <f>SUM(F203:F210)</f>
        <v>0</v>
      </c>
      <c r="G211" s="1721">
        <f>SUM(G203:G210)</f>
        <v>0</v>
      </c>
      <c r="H211" s="468"/>
      <c r="I211" s="468"/>
      <c r="J211" s="468"/>
      <c r="K211" s="468"/>
    </row>
    <row r="212" spans="1:11" ht="15.75" customHeight="1" thickTop="1" x14ac:dyDescent="0.2">
      <c r="A212" s="1619" t="s">
        <v>1200</v>
      </c>
      <c r="B212" s="1624"/>
      <c r="C212" s="551"/>
      <c r="D212" s="551"/>
      <c r="E212" s="468"/>
      <c r="F212" s="551"/>
      <c r="G212" s="551"/>
      <c r="H212" s="468"/>
      <c r="I212" s="468"/>
      <c r="J212" s="468"/>
      <c r="K212" s="468"/>
    </row>
    <row r="213" spans="1:11" ht="12.75" customHeight="1" x14ac:dyDescent="0.2">
      <c r="A213" s="463" t="s">
        <v>782</v>
      </c>
      <c r="B213" s="470">
        <v>4400</v>
      </c>
      <c r="C213" s="549">
        <v>3833</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2" t="s">
        <v>943</v>
      </c>
      <c r="B216" s="1723"/>
      <c r="C216" s="1721">
        <f>SUM(C213:C215)</f>
        <v>3833</v>
      </c>
      <c r="D216" s="1721">
        <f>SUM(D213:D215)</f>
        <v>0</v>
      </c>
      <c r="E216" s="468" t="s">
        <v>1230</v>
      </c>
      <c r="F216" s="1721">
        <f>SUM(F213:F215)</f>
        <v>0</v>
      </c>
      <c r="G216" s="1721">
        <f>SUM(G213:G215)</f>
        <v>0</v>
      </c>
      <c r="H216" s="468"/>
      <c r="I216" s="468"/>
      <c r="J216" s="468"/>
      <c r="K216" s="468"/>
    </row>
    <row r="217" spans="1:11" ht="15.75" customHeight="1" thickTop="1" x14ac:dyDescent="0.2">
      <c r="A217" s="1619" t="s">
        <v>1153</v>
      </c>
      <c r="B217" s="1624"/>
      <c r="C217" s="551"/>
      <c r="D217" s="551"/>
      <c r="E217" s="468"/>
      <c r="F217" s="551"/>
      <c r="G217" s="551"/>
      <c r="H217" s="468"/>
      <c r="I217" s="468"/>
      <c r="J217" s="468"/>
      <c r="K217" s="468"/>
    </row>
    <row r="218" spans="1:11" ht="12.75" customHeight="1" x14ac:dyDescent="0.2">
      <c r="A218" s="463" t="s">
        <v>1111</v>
      </c>
      <c r="B218" s="470">
        <v>4600</v>
      </c>
      <c r="C218" s="549">
        <v>0</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0</v>
      </c>
      <c r="D220" s="466">
        <v>0</v>
      </c>
      <c r="E220" s="468"/>
      <c r="F220" s="466">
        <v>0</v>
      </c>
      <c r="G220" s="466">
        <v>0</v>
      </c>
      <c r="H220" s="468"/>
      <c r="I220" s="468"/>
      <c r="J220" s="468"/>
      <c r="K220" s="468"/>
    </row>
    <row r="221" spans="1:11" ht="12.75" customHeight="1" x14ac:dyDescent="0.2">
      <c r="A221" s="463" t="s">
        <v>1113</v>
      </c>
      <c r="B221" s="470">
        <v>4625</v>
      </c>
      <c r="C221" s="549">
        <v>0</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2" t="s">
        <v>466</v>
      </c>
      <c r="B224" s="1723"/>
      <c r="C224" s="1721">
        <f>SUM(C218:C223)</f>
        <v>0</v>
      </c>
      <c r="D224" s="1721">
        <f>SUM(D218:D223)</f>
        <v>0</v>
      </c>
      <c r="E224" s="468"/>
      <c r="F224" s="1721">
        <f>SUM(F218:F223)</f>
        <v>0</v>
      </c>
      <c r="G224" s="1721">
        <f>SUM(G218:G223)</f>
        <v>0</v>
      </c>
      <c r="H224" s="468"/>
      <c r="I224" s="468"/>
      <c r="J224" s="468"/>
      <c r="K224" s="468"/>
    </row>
    <row r="225" spans="1:11" ht="15.75" customHeight="1" thickTop="1" x14ac:dyDescent="0.2">
      <c r="A225" s="1619" t="s">
        <v>1154</v>
      </c>
      <c r="B225" s="1624"/>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37" t="s">
        <v>1144</v>
      </c>
      <c r="B228" s="1738"/>
      <c r="C228" s="1721">
        <f>SUM(C226:C227)</f>
        <v>0</v>
      </c>
      <c r="D228" s="1721">
        <f>SUM(D226:D227)</f>
        <v>0</v>
      </c>
      <c r="E228" s="468"/>
      <c r="F228" s="468"/>
      <c r="G228" s="1721">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39" t="s">
        <v>797</v>
      </c>
      <c r="B259" s="1740"/>
      <c r="C259" s="1732">
        <f t="shared" ref="C259:H259" si="9">SUM(C230:C258)</f>
        <v>0</v>
      </c>
      <c r="D259" s="1721">
        <f t="shared" si="9"/>
        <v>0</v>
      </c>
      <c r="E259" s="1721">
        <f t="shared" si="9"/>
        <v>0</v>
      </c>
      <c r="F259" s="1721">
        <f t="shared" si="9"/>
        <v>0</v>
      </c>
      <c r="G259" s="1721">
        <f t="shared" si="9"/>
        <v>0</v>
      </c>
      <c r="H259" s="1721">
        <f t="shared" si="9"/>
        <v>0</v>
      </c>
      <c r="I259" s="551"/>
      <c r="J259" s="1721">
        <f>SUM(J230:J258)</f>
        <v>0</v>
      </c>
      <c r="K259" s="1702">
        <f>SUM(K230:K258)</f>
        <v>0</v>
      </c>
    </row>
    <row r="260" spans="1:11" ht="12.75" customHeight="1" thickTop="1" thickBot="1" x14ac:dyDescent="0.25">
      <c r="A260" s="1521" t="s">
        <v>1492</v>
      </c>
      <c r="B260" s="586">
        <v>4901</v>
      </c>
      <c r="C260" s="587">
        <v>0</v>
      </c>
      <c r="D260" s="469"/>
      <c r="E260" s="468"/>
      <c r="F260" s="468"/>
      <c r="G260" s="468"/>
      <c r="H260" s="468"/>
      <c r="I260" s="468"/>
      <c r="J260" s="468"/>
      <c r="K260" s="468"/>
    </row>
    <row r="261" spans="1:11" ht="12.75" customHeight="1" thickTop="1" thickBot="1" x14ac:dyDescent="0.25">
      <c r="A261" s="1522"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0</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61514</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10326</v>
      </c>
      <c r="D270" s="574">
        <v>0</v>
      </c>
      <c r="E270" s="468"/>
      <c r="F270" s="574">
        <v>0</v>
      </c>
      <c r="G270" s="574">
        <v>0</v>
      </c>
      <c r="H270" s="468"/>
      <c r="I270" s="468"/>
      <c r="J270" s="468"/>
      <c r="K270" s="468"/>
    </row>
    <row r="271" spans="1:11" ht="12.75" customHeight="1" thickTop="1" thickBot="1" x14ac:dyDescent="0.25">
      <c r="A271" s="463" t="s">
        <v>394</v>
      </c>
      <c r="B271" s="470">
        <v>4992</v>
      </c>
      <c r="C271" s="573">
        <v>10040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74743</v>
      </c>
      <c r="D272" s="574">
        <v>0</v>
      </c>
      <c r="E272" s="468"/>
      <c r="F272" s="574">
        <v>0</v>
      </c>
      <c r="G272" s="574">
        <v>0</v>
      </c>
      <c r="H272" s="528">
        <v>0</v>
      </c>
      <c r="I272" s="468"/>
      <c r="J272" s="468"/>
      <c r="K272" s="528">
        <v>0</v>
      </c>
    </row>
    <row r="273" spans="1:11" ht="14.25" thickTop="1" thickBot="1" x14ac:dyDescent="0.25">
      <c r="A273" s="1722" t="s">
        <v>1763</v>
      </c>
      <c r="B273" s="1741"/>
      <c r="C273" s="1729">
        <f t="shared" ref="C273:H273" si="10">SUM(C191,C201,C211,C216,C224,C228,C229,C259:C272)</f>
        <v>761239</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1146</v>
      </c>
      <c r="B274" s="1743" t="s">
        <v>914</v>
      </c>
      <c r="C274" s="1729">
        <f>SUM(C178,C184,C273)</f>
        <v>761239</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16866839</v>
      </c>
      <c r="D275" s="1729">
        <f t="shared" si="12"/>
        <v>1827110</v>
      </c>
      <c r="E275" s="1729">
        <f t="shared" si="12"/>
        <v>2501776</v>
      </c>
      <c r="F275" s="1729">
        <f t="shared" si="12"/>
        <v>2139798</v>
      </c>
      <c r="G275" s="1729">
        <f t="shared" si="12"/>
        <v>701233</v>
      </c>
      <c r="H275" s="1729">
        <f t="shared" si="12"/>
        <v>1132915</v>
      </c>
      <c r="I275" s="1729">
        <f t="shared" si="12"/>
        <v>196164</v>
      </c>
      <c r="J275" s="1729">
        <f t="shared" si="12"/>
        <v>716101</v>
      </c>
      <c r="K275" s="1716">
        <f t="shared" si="12"/>
        <v>27088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X24" sqref="X24"/>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69" t="s">
        <v>1900</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301"/>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307" t="s">
        <v>314</v>
      </c>
      <c r="B3" s="2308"/>
      <c r="C3" s="1567"/>
      <c r="D3" s="1567"/>
      <c r="E3" s="1567"/>
      <c r="F3" s="1567"/>
      <c r="G3" s="1567"/>
      <c r="H3" s="1567"/>
      <c r="I3" s="1567"/>
      <c r="J3" s="1567"/>
      <c r="K3" s="1568"/>
      <c r="L3" s="1569"/>
      <c r="M3" s="608"/>
      <c r="N3" s="608"/>
    </row>
    <row r="4" spans="1:14" s="259" customFormat="1" ht="15.75" customHeight="1" x14ac:dyDescent="0.2">
      <c r="A4" s="1625" t="s">
        <v>46</v>
      </c>
      <c r="B4" s="1626" t="s">
        <v>590</v>
      </c>
      <c r="C4" s="609"/>
      <c r="D4" s="609"/>
      <c r="E4" s="609"/>
      <c r="F4" s="609"/>
      <c r="G4" s="609"/>
      <c r="H4" s="609"/>
      <c r="I4" s="610"/>
      <c r="J4" s="609"/>
      <c r="K4" s="611"/>
      <c r="L4" s="609"/>
      <c r="M4" s="612"/>
      <c r="N4" s="612"/>
    </row>
    <row r="5" spans="1:14" x14ac:dyDescent="0.2">
      <c r="A5" s="1523" t="s">
        <v>1017</v>
      </c>
      <c r="B5" s="613">
        <v>1100</v>
      </c>
      <c r="C5" s="466">
        <v>6963658</v>
      </c>
      <c r="D5" s="466">
        <v>956956</v>
      </c>
      <c r="E5" s="466">
        <v>54335</v>
      </c>
      <c r="F5" s="466">
        <v>215784</v>
      </c>
      <c r="G5" s="466">
        <v>0</v>
      </c>
      <c r="H5" s="466">
        <v>0</v>
      </c>
      <c r="I5" s="467">
        <v>0</v>
      </c>
      <c r="J5" s="467">
        <v>0</v>
      </c>
      <c r="K5" s="1685">
        <f>SUM(C5:J5)</f>
        <v>8190733</v>
      </c>
      <c r="L5" s="466">
        <v>8088571</v>
      </c>
    </row>
    <row r="6" spans="1:14" x14ac:dyDescent="0.2">
      <c r="A6" s="1523" t="s">
        <v>1507</v>
      </c>
      <c r="B6" s="613" t="s">
        <v>1505</v>
      </c>
      <c r="C6" s="476"/>
      <c r="D6" s="476"/>
      <c r="E6" s="466">
        <v>0</v>
      </c>
      <c r="F6" s="476"/>
      <c r="G6" s="476"/>
      <c r="H6" s="476"/>
      <c r="I6" s="476"/>
      <c r="J6" s="476"/>
      <c r="K6" s="1685">
        <f>SUM(C6,E6)</f>
        <v>0</v>
      </c>
      <c r="L6" s="466">
        <v>0</v>
      </c>
    </row>
    <row r="7" spans="1:14" x14ac:dyDescent="0.2">
      <c r="A7" s="1523" t="s">
        <v>165</v>
      </c>
      <c r="B7" s="613" t="s">
        <v>1023</v>
      </c>
      <c r="C7" s="467">
        <v>69610</v>
      </c>
      <c r="D7" s="467">
        <v>5386</v>
      </c>
      <c r="E7" s="467">
        <v>0</v>
      </c>
      <c r="F7" s="467">
        <v>715</v>
      </c>
      <c r="G7" s="467">
        <v>0</v>
      </c>
      <c r="H7" s="467">
        <v>0</v>
      </c>
      <c r="I7" s="467">
        <v>0</v>
      </c>
      <c r="J7" s="467">
        <v>0</v>
      </c>
      <c r="K7" s="1685">
        <f t="shared" ref="K7:K32" si="0">SUM(C7:J7)</f>
        <v>75711</v>
      </c>
      <c r="L7" s="466">
        <v>77473</v>
      </c>
    </row>
    <row r="8" spans="1:14" x14ac:dyDescent="0.2">
      <c r="A8" s="1523" t="s">
        <v>166</v>
      </c>
      <c r="B8" s="613">
        <v>1200</v>
      </c>
      <c r="C8" s="466">
        <v>810574</v>
      </c>
      <c r="D8" s="466">
        <v>132414</v>
      </c>
      <c r="E8" s="466">
        <v>5548</v>
      </c>
      <c r="F8" s="466">
        <v>7573</v>
      </c>
      <c r="G8" s="466">
        <v>0</v>
      </c>
      <c r="H8" s="466">
        <v>3701</v>
      </c>
      <c r="I8" s="467">
        <v>0</v>
      </c>
      <c r="J8" s="467">
        <v>0</v>
      </c>
      <c r="K8" s="1685">
        <f t="shared" si="0"/>
        <v>959810</v>
      </c>
      <c r="L8" s="466">
        <v>915906</v>
      </c>
    </row>
    <row r="9" spans="1:14" x14ac:dyDescent="0.2">
      <c r="A9" s="1523" t="s">
        <v>744</v>
      </c>
      <c r="B9" s="613" t="s">
        <v>1024</v>
      </c>
      <c r="C9" s="467">
        <v>0</v>
      </c>
      <c r="D9" s="467">
        <v>0</v>
      </c>
      <c r="E9" s="467">
        <v>0</v>
      </c>
      <c r="F9" s="467">
        <v>0</v>
      </c>
      <c r="G9" s="467">
        <v>0</v>
      </c>
      <c r="H9" s="467">
        <v>0</v>
      </c>
      <c r="I9" s="467">
        <v>0</v>
      </c>
      <c r="J9" s="467">
        <v>0</v>
      </c>
      <c r="K9" s="1685">
        <f t="shared" si="0"/>
        <v>0</v>
      </c>
      <c r="L9" s="466">
        <v>0</v>
      </c>
    </row>
    <row r="10" spans="1:14" x14ac:dyDescent="0.2">
      <c r="A10" s="1523" t="s">
        <v>745</v>
      </c>
      <c r="B10" s="613">
        <v>1250</v>
      </c>
      <c r="C10" s="466">
        <v>129202</v>
      </c>
      <c r="D10" s="466">
        <v>14573</v>
      </c>
      <c r="E10" s="466">
        <v>0</v>
      </c>
      <c r="F10" s="466">
        <v>0</v>
      </c>
      <c r="G10" s="466">
        <v>0</v>
      </c>
      <c r="H10" s="466">
        <v>0</v>
      </c>
      <c r="I10" s="467">
        <v>0</v>
      </c>
      <c r="J10" s="467">
        <v>0</v>
      </c>
      <c r="K10" s="1685">
        <f t="shared" si="0"/>
        <v>143775</v>
      </c>
      <c r="L10" s="466">
        <v>146277</v>
      </c>
    </row>
    <row r="11" spans="1:14" x14ac:dyDescent="0.2">
      <c r="A11" s="1523" t="s">
        <v>1191</v>
      </c>
      <c r="B11" s="613" t="s">
        <v>163</v>
      </c>
      <c r="C11" s="467">
        <v>0</v>
      </c>
      <c r="D11" s="467">
        <v>0</v>
      </c>
      <c r="E11" s="467">
        <v>0</v>
      </c>
      <c r="F11" s="467">
        <v>0</v>
      </c>
      <c r="G11" s="467">
        <v>0</v>
      </c>
      <c r="H11" s="467">
        <v>0</v>
      </c>
      <c r="I11" s="467">
        <v>0</v>
      </c>
      <c r="J11" s="467">
        <v>0</v>
      </c>
      <c r="K11" s="1685">
        <f t="shared" si="0"/>
        <v>0</v>
      </c>
      <c r="L11" s="466">
        <v>0</v>
      </c>
    </row>
    <row r="12" spans="1:14" x14ac:dyDescent="0.2">
      <c r="A12" s="1523" t="s">
        <v>1018</v>
      </c>
      <c r="B12" s="613">
        <v>1300</v>
      </c>
      <c r="C12" s="466">
        <v>0</v>
      </c>
      <c r="D12" s="466">
        <v>0</v>
      </c>
      <c r="E12" s="466">
        <v>0</v>
      </c>
      <c r="F12" s="466">
        <v>0</v>
      </c>
      <c r="G12" s="466">
        <v>0</v>
      </c>
      <c r="H12" s="466">
        <v>0</v>
      </c>
      <c r="I12" s="467">
        <v>0</v>
      </c>
      <c r="J12" s="467">
        <v>0</v>
      </c>
      <c r="K12" s="1685">
        <f t="shared" si="0"/>
        <v>0</v>
      </c>
      <c r="L12" s="466">
        <v>0</v>
      </c>
    </row>
    <row r="13" spans="1:14" x14ac:dyDescent="0.2">
      <c r="A13" s="1523" t="s">
        <v>746</v>
      </c>
      <c r="B13" s="613">
        <v>1400</v>
      </c>
      <c r="C13" s="467">
        <v>236109</v>
      </c>
      <c r="D13" s="466">
        <v>41152</v>
      </c>
      <c r="E13" s="466">
        <v>3888</v>
      </c>
      <c r="F13" s="466">
        <v>38763</v>
      </c>
      <c r="G13" s="466">
        <v>0</v>
      </c>
      <c r="H13" s="466">
        <v>0</v>
      </c>
      <c r="I13" s="467">
        <v>0</v>
      </c>
      <c r="J13" s="467">
        <v>0</v>
      </c>
      <c r="K13" s="1685">
        <f t="shared" si="0"/>
        <v>319912</v>
      </c>
      <c r="L13" s="466">
        <v>340236</v>
      </c>
    </row>
    <row r="14" spans="1:14" x14ac:dyDescent="0.2">
      <c r="A14" s="1523" t="s">
        <v>1019</v>
      </c>
      <c r="B14" s="613">
        <v>1500</v>
      </c>
      <c r="C14" s="467">
        <v>395241</v>
      </c>
      <c r="D14" s="466">
        <v>6444</v>
      </c>
      <c r="E14" s="466">
        <v>152019</v>
      </c>
      <c r="F14" s="466">
        <v>79636</v>
      </c>
      <c r="G14" s="466">
        <v>0</v>
      </c>
      <c r="H14" s="466">
        <v>10043</v>
      </c>
      <c r="I14" s="467">
        <v>0</v>
      </c>
      <c r="J14" s="467">
        <v>0</v>
      </c>
      <c r="K14" s="1685">
        <f t="shared" si="0"/>
        <v>643383</v>
      </c>
      <c r="L14" s="466">
        <v>730226</v>
      </c>
    </row>
    <row r="15" spans="1:14" x14ac:dyDescent="0.2">
      <c r="A15" s="1523" t="s">
        <v>1020</v>
      </c>
      <c r="B15" s="613">
        <v>1600</v>
      </c>
      <c r="C15" s="466">
        <v>4252</v>
      </c>
      <c r="D15" s="466">
        <v>104</v>
      </c>
      <c r="E15" s="466">
        <v>0</v>
      </c>
      <c r="F15" s="466">
        <v>612</v>
      </c>
      <c r="G15" s="466">
        <v>0</v>
      </c>
      <c r="H15" s="466">
        <v>0</v>
      </c>
      <c r="I15" s="467">
        <v>0</v>
      </c>
      <c r="J15" s="467">
        <v>0</v>
      </c>
      <c r="K15" s="1685">
        <f t="shared" si="0"/>
        <v>4968</v>
      </c>
      <c r="L15" s="466">
        <v>6655</v>
      </c>
    </row>
    <row r="16" spans="1:14" x14ac:dyDescent="0.2">
      <c r="A16" s="1523" t="s">
        <v>1043</v>
      </c>
      <c r="B16" s="613" t="s">
        <v>443</v>
      </c>
      <c r="C16" s="466">
        <v>0</v>
      </c>
      <c r="D16" s="466">
        <v>0</v>
      </c>
      <c r="E16" s="466">
        <v>0</v>
      </c>
      <c r="F16" s="466">
        <v>750</v>
      </c>
      <c r="G16" s="466">
        <v>0</v>
      </c>
      <c r="H16" s="466">
        <v>0</v>
      </c>
      <c r="I16" s="467">
        <v>0</v>
      </c>
      <c r="J16" s="467">
        <v>0</v>
      </c>
      <c r="K16" s="1685">
        <f t="shared" si="0"/>
        <v>750</v>
      </c>
      <c r="L16" s="466">
        <v>1500</v>
      </c>
    </row>
    <row r="17" spans="1:12" x14ac:dyDescent="0.2">
      <c r="A17" s="1523" t="s">
        <v>747</v>
      </c>
      <c r="B17" s="613" t="s">
        <v>164</v>
      </c>
      <c r="C17" s="467">
        <v>132726</v>
      </c>
      <c r="D17" s="467">
        <v>14227</v>
      </c>
      <c r="E17" s="467">
        <v>5281</v>
      </c>
      <c r="F17" s="467">
        <v>1782</v>
      </c>
      <c r="G17" s="467">
        <v>0</v>
      </c>
      <c r="H17" s="467">
        <v>0</v>
      </c>
      <c r="I17" s="467">
        <v>0</v>
      </c>
      <c r="J17" s="467">
        <v>0</v>
      </c>
      <c r="K17" s="1685">
        <f t="shared" si="0"/>
        <v>154016</v>
      </c>
      <c r="L17" s="466">
        <v>147854</v>
      </c>
    </row>
    <row r="18" spans="1:12" x14ac:dyDescent="0.2">
      <c r="A18" s="1523" t="s">
        <v>1147</v>
      </c>
      <c r="B18" s="613">
        <v>1800</v>
      </c>
      <c r="C18" s="466">
        <v>0</v>
      </c>
      <c r="D18" s="466">
        <v>0</v>
      </c>
      <c r="E18" s="466">
        <v>0</v>
      </c>
      <c r="F18" s="466">
        <v>0</v>
      </c>
      <c r="G18" s="466">
        <v>0</v>
      </c>
      <c r="H18" s="466">
        <v>0</v>
      </c>
      <c r="I18" s="467">
        <v>0</v>
      </c>
      <c r="J18" s="467">
        <v>0</v>
      </c>
      <c r="K18" s="1685">
        <f t="shared" si="0"/>
        <v>0</v>
      </c>
      <c r="L18" s="466">
        <v>0</v>
      </c>
    </row>
    <row r="19" spans="1:12" x14ac:dyDescent="0.2">
      <c r="A19" s="1523" t="s">
        <v>136</v>
      </c>
      <c r="B19" s="613">
        <v>1900</v>
      </c>
      <c r="C19" s="466">
        <v>0</v>
      </c>
      <c r="D19" s="466">
        <v>0</v>
      </c>
      <c r="E19" s="466">
        <v>0</v>
      </c>
      <c r="F19" s="466">
        <v>0</v>
      </c>
      <c r="G19" s="466">
        <v>0</v>
      </c>
      <c r="H19" s="466">
        <v>0</v>
      </c>
      <c r="I19" s="467">
        <v>0</v>
      </c>
      <c r="J19" s="467">
        <v>0</v>
      </c>
      <c r="K19" s="1685">
        <f t="shared" si="0"/>
        <v>0</v>
      </c>
      <c r="L19" s="466">
        <v>0</v>
      </c>
    </row>
    <row r="20" spans="1:12" x14ac:dyDescent="0.2">
      <c r="A20" s="1524" t="s">
        <v>761</v>
      </c>
      <c r="B20" s="601" t="s">
        <v>748</v>
      </c>
      <c r="C20" s="476"/>
      <c r="D20" s="476"/>
      <c r="E20" s="476"/>
      <c r="F20" s="476"/>
      <c r="G20" s="476"/>
      <c r="H20" s="467">
        <v>0</v>
      </c>
      <c r="I20" s="615"/>
      <c r="J20" s="475"/>
      <c r="K20" s="1685">
        <f t="shared" si="0"/>
        <v>0</v>
      </c>
      <c r="L20" s="466">
        <v>0</v>
      </c>
    </row>
    <row r="21" spans="1:12" x14ac:dyDescent="0.2">
      <c r="A21" s="1524" t="s">
        <v>762</v>
      </c>
      <c r="B21" s="601" t="s">
        <v>749</v>
      </c>
      <c r="C21" s="476"/>
      <c r="D21" s="476"/>
      <c r="E21" s="476"/>
      <c r="F21" s="476"/>
      <c r="G21" s="476"/>
      <c r="H21" s="474">
        <v>0</v>
      </c>
      <c r="I21" s="615"/>
      <c r="J21" s="476"/>
      <c r="K21" s="1685">
        <f t="shared" si="0"/>
        <v>0</v>
      </c>
      <c r="L21" s="466">
        <v>0</v>
      </c>
    </row>
    <row r="22" spans="1:12" x14ac:dyDescent="0.2">
      <c r="A22" s="1524" t="s">
        <v>763</v>
      </c>
      <c r="B22" s="601" t="s">
        <v>750</v>
      </c>
      <c r="C22" s="476"/>
      <c r="D22" s="476"/>
      <c r="E22" s="476"/>
      <c r="F22" s="476"/>
      <c r="G22" s="476"/>
      <c r="H22" s="474">
        <v>0</v>
      </c>
      <c r="I22" s="615"/>
      <c r="J22" s="476"/>
      <c r="K22" s="1685">
        <f t="shared" si="0"/>
        <v>0</v>
      </c>
      <c r="L22" s="466">
        <v>33000</v>
      </c>
    </row>
    <row r="23" spans="1:12" x14ac:dyDescent="0.2">
      <c r="A23" s="1524" t="s">
        <v>764</v>
      </c>
      <c r="B23" s="601" t="s">
        <v>751</v>
      </c>
      <c r="C23" s="476"/>
      <c r="D23" s="476"/>
      <c r="E23" s="476"/>
      <c r="F23" s="476"/>
      <c r="G23" s="476"/>
      <c r="H23" s="474">
        <v>0</v>
      </c>
      <c r="I23" s="615"/>
      <c r="J23" s="476"/>
      <c r="K23" s="1685">
        <f t="shared" si="0"/>
        <v>0</v>
      </c>
      <c r="L23" s="466">
        <v>0</v>
      </c>
    </row>
    <row r="24" spans="1:12" ht="12.75" customHeight="1" x14ac:dyDescent="0.2">
      <c r="A24" s="1524" t="s">
        <v>765</v>
      </c>
      <c r="B24" s="601" t="s">
        <v>752</v>
      </c>
      <c r="C24" s="476"/>
      <c r="D24" s="476"/>
      <c r="E24" s="476"/>
      <c r="F24" s="476"/>
      <c r="G24" s="476"/>
      <c r="H24" s="474">
        <v>0</v>
      </c>
      <c r="I24" s="615"/>
      <c r="J24" s="476"/>
      <c r="K24" s="1685">
        <f t="shared" si="0"/>
        <v>0</v>
      </c>
      <c r="L24" s="466">
        <v>0</v>
      </c>
    </row>
    <row r="25" spans="1:12" ht="12.75" customHeight="1" x14ac:dyDescent="0.2">
      <c r="A25" s="1524" t="s">
        <v>834</v>
      </c>
      <c r="B25" s="601" t="s">
        <v>753</v>
      </c>
      <c r="C25" s="476"/>
      <c r="D25" s="476"/>
      <c r="E25" s="476"/>
      <c r="F25" s="476"/>
      <c r="G25" s="476"/>
      <c r="H25" s="474">
        <v>0</v>
      </c>
      <c r="I25" s="615"/>
      <c r="J25" s="476"/>
      <c r="K25" s="1685">
        <f t="shared" si="0"/>
        <v>0</v>
      </c>
      <c r="L25" s="466">
        <v>0</v>
      </c>
    </row>
    <row r="26" spans="1:12" x14ac:dyDescent="0.2">
      <c r="A26" s="1524" t="s">
        <v>642</v>
      </c>
      <c r="B26" s="601" t="s">
        <v>754</v>
      </c>
      <c r="C26" s="476"/>
      <c r="D26" s="476"/>
      <c r="E26" s="476"/>
      <c r="F26" s="476"/>
      <c r="G26" s="476"/>
      <c r="H26" s="474">
        <v>0</v>
      </c>
      <c r="I26" s="615"/>
      <c r="J26" s="476"/>
      <c r="K26" s="1685">
        <f t="shared" si="0"/>
        <v>0</v>
      </c>
      <c r="L26" s="466">
        <v>0</v>
      </c>
    </row>
    <row r="27" spans="1:12" x14ac:dyDescent="0.2">
      <c r="A27" s="1524" t="s">
        <v>643</v>
      </c>
      <c r="B27" s="601" t="s">
        <v>755</v>
      </c>
      <c r="C27" s="476"/>
      <c r="D27" s="476"/>
      <c r="E27" s="476"/>
      <c r="F27" s="476"/>
      <c r="G27" s="476"/>
      <c r="H27" s="474">
        <v>0</v>
      </c>
      <c r="I27" s="615"/>
      <c r="J27" s="476"/>
      <c r="K27" s="1685">
        <f t="shared" si="0"/>
        <v>0</v>
      </c>
      <c r="L27" s="466">
        <v>0</v>
      </c>
    </row>
    <row r="28" spans="1:12" x14ac:dyDescent="0.2">
      <c r="A28" s="1524" t="s">
        <v>152</v>
      </c>
      <c r="B28" s="601" t="s">
        <v>756</v>
      </c>
      <c r="C28" s="476"/>
      <c r="D28" s="476"/>
      <c r="E28" s="476"/>
      <c r="F28" s="476"/>
      <c r="G28" s="476"/>
      <c r="H28" s="474">
        <v>0</v>
      </c>
      <c r="I28" s="615"/>
      <c r="J28" s="476"/>
      <c r="K28" s="1685">
        <f t="shared" si="0"/>
        <v>0</v>
      </c>
      <c r="L28" s="466">
        <v>0</v>
      </c>
    </row>
    <row r="29" spans="1:12" x14ac:dyDescent="0.2">
      <c r="A29" s="1524" t="s">
        <v>153</v>
      </c>
      <c r="B29" s="601" t="s">
        <v>757</v>
      </c>
      <c r="C29" s="476"/>
      <c r="D29" s="476"/>
      <c r="E29" s="476"/>
      <c r="F29" s="476"/>
      <c r="G29" s="476"/>
      <c r="H29" s="474">
        <v>0</v>
      </c>
      <c r="I29" s="615"/>
      <c r="J29" s="476"/>
      <c r="K29" s="1685">
        <f t="shared" si="0"/>
        <v>0</v>
      </c>
      <c r="L29" s="466">
        <v>0</v>
      </c>
    </row>
    <row r="30" spans="1:12" x14ac:dyDescent="0.2">
      <c r="A30" s="1524" t="s">
        <v>154</v>
      </c>
      <c r="B30" s="601" t="s">
        <v>758</v>
      </c>
      <c r="C30" s="476"/>
      <c r="D30" s="476"/>
      <c r="E30" s="476"/>
      <c r="F30" s="476"/>
      <c r="G30" s="476"/>
      <c r="H30" s="474">
        <v>0</v>
      </c>
      <c r="I30" s="615"/>
      <c r="J30" s="476"/>
      <c r="K30" s="1685">
        <f t="shared" si="0"/>
        <v>0</v>
      </c>
      <c r="L30" s="466">
        <v>0</v>
      </c>
    </row>
    <row r="31" spans="1:12" x14ac:dyDescent="0.2">
      <c r="A31" s="1524" t="s">
        <v>155</v>
      </c>
      <c r="B31" s="601" t="s">
        <v>759</v>
      </c>
      <c r="C31" s="476"/>
      <c r="D31" s="476"/>
      <c r="E31" s="476"/>
      <c r="F31" s="476"/>
      <c r="G31" s="476"/>
      <c r="H31" s="474">
        <v>0</v>
      </c>
      <c r="I31" s="615"/>
      <c r="J31" s="476"/>
      <c r="K31" s="1685">
        <f t="shared" si="0"/>
        <v>0</v>
      </c>
      <c r="L31" s="466">
        <v>0</v>
      </c>
    </row>
    <row r="32" spans="1:12" x14ac:dyDescent="0.2">
      <c r="A32" s="1525" t="s">
        <v>1190</v>
      </c>
      <c r="B32" s="613" t="s">
        <v>760</v>
      </c>
      <c r="C32" s="476"/>
      <c r="D32" s="476"/>
      <c r="E32" s="476"/>
      <c r="F32" s="476"/>
      <c r="G32" s="476"/>
      <c r="H32" s="474">
        <v>0</v>
      </c>
      <c r="I32" s="615"/>
      <c r="J32" s="479"/>
      <c r="K32" s="1685">
        <f t="shared" si="0"/>
        <v>0</v>
      </c>
      <c r="L32" s="466">
        <v>0</v>
      </c>
    </row>
    <row r="33" spans="1:14" ht="12.75" customHeight="1" thickBot="1" x14ac:dyDescent="0.25">
      <c r="A33" s="1682" t="s">
        <v>1765</v>
      </c>
      <c r="B33" s="1683" t="s">
        <v>590</v>
      </c>
      <c r="C33" s="1684">
        <f>SUM(C5:C32)</f>
        <v>8741372</v>
      </c>
      <c r="D33" s="1684">
        <f t="shared" ref="D33:L33" si="1">SUM(D5:D32)</f>
        <v>1171256</v>
      </c>
      <c r="E33" s="1684">
        <f t="shared" si="1"/>
        <v>221071</v>
      </c>
      <c r="F33" s="1684">
        <f t="shared" si="1"/>
        <v>345615</v>
      </c>
      <c r="G33" s="1684">
        <f t="shared" si="1"/>
        <v>0</v>
      </c>
      <c r="H33" s="1684">
        <f t="shared" si="1"/>
        <v>13744</v>
      </c>
      <c r="I33" s="1684">
        <f t="shared" si="1"/>
        <v>0</v>
      </c>
      <c r="J33" s="1684">
        <f t="shared" si="1"/>
        <v>0</v>
      </c>
      <c r="K33" s="1684">
        <f t="shared" si="1"/>
        <v>10493058</v>
      </c>
      <c r="L33" s="1684">
        <f t="shared" si="1"/>
        <v>10487698</v>
      </c>
    </row>
    <row r="34" spans="1:14" s="619" customFormat="1" ht="15.75" customHeight="1" thickTop="1" x14ac:dyDescent="0.2">
      <c r="A34" s="1627" t="s">
        <v>48</v>
      </c>
      <c r="B34" s="1628"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3" t="s">
        <v>1149</v>
      </c>
      <c r="B36" s="613">
        <v>2110</v>
      </c>
      <c r="C36" s="480">
        <v>148474</v>
      </c>
      <c r="D36" s="480">
        <v>29684</v>
      </c>
      <c r="E36" s="480">
        <v>0</v>
      </c>
      <c r="F36" s="480">
        <v>0</v>
      </c>
      <c r="G36" s="480">
        <v>0</v>
      </c>
      <c r="H36" s="480">
        <v>0</v>
      </c>
      <c r="I36" s="467">
        <v>0</v>
      </c>
      <c r="J36" s="467">
        <v>0</v>
      </c>
      <c r="K36" s="1685">
        <f t="shared" ref="K36:K41" si="2">SUM(C36:J36)</f>
        <v>178158</v>
      </c>
      <c r="L36" s="466">
        <v>184018</v>
      </c>
    </row>
    <row r="37" spans="1:14" x14ac:dyDescent="0.2">
      <c r="A37" s="1523" t="s">
        <v>1150</v>
      </c>
      <c r="B37" s="613">
        <v>2120</v>
      </c>
      <c r="C37" s="466">
        <v>282357</v>
      </c>
      <c r="D37" s="466">
        <v>22761</v>
      </c>
      <c r="E37" s="466">
        <v>299</v>
      </c>
      <c r="F37" s="466">
        <v>95</v>
      </c>
      <c r="G37" s="466">
        <v>0</v>
      </c>
      <c r="H37" s="466">
        <v>0</v>
      </c>
      <c r="I37" s="467">
        <v>0</v>
      </c>
      <c r="J37" s="467">
        <v>0</v>
      </c>
      <c r="K37" s="1685">
        <f t="shared" si="2"/>
        <v>305512</v>
      </c>
      <c r="L37" s="466">
        <v>361700</v>
      </c>
    </row>
    <row r="38" spans="1:14" x14ac:dyDescent="0.2">
      <c r="A38" s="1523" t="s">
        <v>207</v>
      </c>
      <c r="B38" s="613">
        <v>2130</v>
      </c>
      <c r="C38" s="466">
        <v>120306</v>
      </c>
      <c r="D38" s="466">
        <v>33774</v>
      </c>
      <c r="E38" s="466">
        <v>60</v>
      </c>
      <c r="F38" s="466">
        <v>3766</v>
      </c>
      <c r="G38" s="466">
        <v>0</v>
      </c>
      <c r="H38" s="466">
        <v>0</v>
      </c>
      <c r="I38" s="467">
        <v>0</v>
      </c>
      <c r="J38" s="467">
        <v>0</v>
      </c>
      <c r="K38" s="1685">
        <f t="shared" si="2"/>
        <v>157906</v>
      </c>
      <c r="L38" s="466">
        <v>152619</v>
      </c>
    </row>
    <row r="39" spans="1:14" x14ac:dyDescent="0.2">
      <c r="A39" s="1523" t="s">
        <v>208</v>
      </c>
      <c r="B39" s="613">
        <v>2140</v>
      </c>
      <c r="C39" s="466">
        <v>0</v>
      </c>
      <c r="D39" s="466">
        <v>0</v>
      </c>
      <c r="E39" s="466">
        <v>0</v>
      </c>
      <c r="F39" s="466">
        <v>0</v>
      </c>
      <c r="G39" s="466">
        <v>0</v>
      </c>
      <c r="H39" s="466">
        <v>0</v>
      </c>
      <c r="I39" s="467">
        <v>0</v>
      </c>
      <c r="J39" s="467">
        <v>0</v>
      </c>
      <c r="K39" s="1685">
        <f t="shared" si="2"/>
        <v>0</v>
      </c>
      <c r="L39" s="466">
        <v>0</v>
      </c>
    </row>
    <row r="40" spans="1:14" x14ac:dyDescent="0.2">
      <c r="A40" s="1523" t="s">
        <v>209</v>
      </c>
      <c r="B40" s="613">
        <v>2150</v>
      </c>
      <c r="C40" s="466">
        <v>0</v>
      </c>
      <c r="D40" s="466">
        <v>0</v>
      </c>
      <c r="E40" s="466">
        <v>0</v>
      </c>
      <c r="F40" s="466">
        <v>0</v>
      </c>
      <c r="G40" s="466">
        <v>0</v>
      </c>
      <c r="H40" s="466">
        <v>0</v>
      </c>
      <c r="I40" s="467">
        <v>0</v>
      </c>
      <c r="J40" s="467">
        <v>0</v>
      </c>
      <c r="K40" s="1685">
        <f t="shared" si="2"/>
        <v>0</v>
      </c>
      <c r="L40" s="466">
        <v>0</v>
      </c>
    </row>
    <row r="41" spans="1:14" x14ac:dyDescent="0.2">
      <c r="A41" s="1523" t="s">
        <v>1766</v>
      </c>
      <c r="B41" s="613">
        <v>2190</v>
      </c>
      <c r="C41" s="466">
        <v>0</v>
      </c>
      <c r="D41" s="466">
        <v>0</v>
      </c>
      <c r="E41" s="466">
        <v>0</v>
      </c>
      <c r="F41" s="466">
        <v>0</v>
      </c>
      <c r="G41" s="466">
        <v>0</v>
      </c>
      <c r="H41" s="466">
        <v>0</v>
      </c>
      <c r="I41" s="467">
        <v>0</v>
      </c>
      <c r="J41" s="467">
        <v>0</v>
      </c>
      <c r="K41" s="1685">
        <f t="shared" si="2"/>
        <v>0</v>
      </c>
      <c r="L41" s="466">
        <v>0</v>
      </c>
    </row>
    <row r="42" spans="1:14" ht="12.75" customHeight="1" thickBot="1" x14ac:dyDescent="0.25">
      <c r="A42" s="1682" t="s">
        <v>580</v>
      </c>
      <c r="B42" s="1683" t="s">
        <v>739</v>
      </c>
      <c r="C42" s="1684">
        <f>SUM(C36:C41)</f>
        <v>551137</v>
      </c>
      <c r="D42" s="1684">
        <f t="shared" ref="D42:L42" si="3">SUM(D36:D41)</f>
        <v>86219</v>
      </c>
      <c r="E42" s="1684">
        <f t="shared" si="3"/>
        <v>359</v>
      </c>
      <c r="F42" s="1684">
        <f t="shared" si="3"/>
        <v>3861</v>
      </c>
      <c r="G42" s="1684">
        <f t="shared" si="3"/>
        <v>0</v>
      </c>
      <c r="H42" s="1684">
        <f t="shared" si="3"/>
        <v>0</v>
      </c>
      <c r="I42" s="1684">
        <f t="shared" si="3"/>
        <v>0</v>
      </c>
      <c r="J42" s="1684">
        <f t="shared" si="3"/>
        <v>0</v>
      </c>
      <c r="K42" s="1684">
        <f t="shared" si="3"/>
        <v>641576</v>
      </c>
      <c r="L42" s="1684">
        <f t="shared" si="3"/>
        <v>698337</v>
      </c>
    </row>
    <row r="43" spans="1:14" ht="15.75" customHeight="1" thickTop="1" x14ac:dyDescent="0.2">
      <c r="A43" s="623" t="s">
        <v>612</v>
      </c>
      <c r="B43" s="624"/>
      <c r="C43" s="625"/>
      <c r="D43" s="625"/>
      <c r="E43" s="625"/>
      <c r="F43" s="625"/>
      <c r="G43" s="625"/>
      <c r="H43" s="625"/>
      <c r="I43" s="615"/>
      <c r="J43" s="615"/>
      <c r="K43" s="625"/>
      <c r="L43" s="625"/>
    </row>
    <row r="44" spans="1:14" x14ac:dyDescent="0.2">
      <c r="A44" s="1523" t="s">
        <v>867</v>
      </c>
      <c r="B44" s="613">
        <v>2210</v>
      </c>
      <c r="C44" s="480">
        <v>69244</v>
      </c>
      <c r="D44" s="480">
        <v>7198</v>
      </c>
      <c r="E44" s="480">
        <v>92307</v>
      </c>
      <c r="F44" s="480">
        <v>21737</v>
      </c>
      <c r="G44" s="480">
        <v>0</v>
      </c>
      <c r="H44" s="480">
        <v>0</v>
      </c>
      <c r="I44" s="467">
        <v>0</v>
      </c>
      <c r="J44" s="467">
        <v>0</v>
      </c>
      <c r="K44" s="1686">
        <f>SUM(C44:J44)</f>
        <v>190486</v>
      </c>
      <c r="L44" s="480">
        <v>249269</v>
      </c>
    </row>
    <row r="45" spans="1:14" x14ac:dyDescent="0.2">
      <c r="A45" s="1523" t="s">
        <v>868</v>
      </c>
      <c r="B45" s="613">
        <v>2220</v>
      </c>
      <c r="C45" s="467">
        <v>346486</v>
      </c>
      <c r="D45" s="466">
        <v>50968</v>
      </c>
      <c r="E45" s="466">
        <v>17247</v>
      </c>
      <c r="F45" s="466">
        <v>177069</v>
      </c>
      <c r="G45" s="466">
        <v>0</v>
      </c>
      <c r="H45" s="466">
        <v>0</v>
      </c>
      <c r="I45" s="467">
        <v>212161</v>
      </c>
      <c r="J45" s="467">
        <v>0</v>
      </c>
      <c r="K45" s="1686">
        <f>SUM(C45:J45)</f>
        <v>803931</v>
      </c>
      <c r="L45" s="466">
        <v>867868</v>
      </c>
    </row>
    <row r="46" spans="1:14" x14ac:dyDescent="0.2">
      <c r="A46" s="1523" t="s">
        <v>869</v>
      </c>
      <c r="B46" s="613">
        <v>2230</v>
      </c>
      <c r="C46" s="467">
        <v>0</v>
      </c>
      <c r="D46" s="466">
        <v>0</v>
      </c>
      <c r="E46" s="466">
        <v>0</v>
      </c>
      <c r="F46" s="466">
        <v>0</v>
      </c>
      <c r="G46" s="466">
        <v>0</v>
      </c>
      <c r="H46" s="466">
        <v>0</v>
      </c>
      <c r="I46" s="467">
        <v>0</v>
      </c>
      <c r="J46" s="467">
        <v>0</v>
      </c>
      <c r="K46" s="1686">
        <f>SUM(C46:J46)</f>
        <v>0</v>
      </c>
      <c r="L46" s="466">
        <v>0</v>
      </c>
    </row>
    <row r="47" spans="1:14" ht="12.75" customHeight="1" thickBot="1" x14ac:dyDescent="0.25">
      <c r="A47" s="1682" t="s">
        <v>581</v>
      </c>
      <c r="B47" s="1683" t="s">
        <v>32</v>
      </c>
      <c r="C47" s="1684">
        <f>SUM(C44:C46)</f>
        <v>415730</v>
      </c>
      <c r="D47" s="1684">
        <f t="shared" ref="D47:K47" si="4">SUM(D44:D46)</f>
        <v>58166</v>
      </c>
      <c r="E47" s="1684">
        <f t="shared" si="4"/>
        <v>109554</v>
      </c>
      <c r="F47" s="1684">
        <f t="shared" si="4"/>
        <v>198806</v>
      </c>
      <c r="G47" s="1684">
        <f t="shared" si="4"/>
        <v>0</v>
      </c>
      <c r="H47" s="1684">
        <f t="shared" si="4"/>
        <v>0</v>
      </c>
      <c r="I47" s="1684">
        <f t="shared" si="4"/>
        <v>212161</v>
      </c>
      <c r="J47" s="1684">
        <f t="shared" si="4"/>
        <v>0</v>
      </c>
      <c r="K47" s="1684">
        <f t="shared" si="4"/>
        <v>994417</v>
      </c>
      <c r="L47" s="1684">
        <f>SUM(L44:L46)</f>
        <v>1117137</v>
      </c>
    </row>
    <row r="48" spans="1:14" ht="15.75" customHeight="1" thickTop="1" x14ac:dyDescent="0.2">
      <c r="A48" s="623" t="s">
        <v>630</v>
      </c>
      <c r="B48" s="624"/>
      <c r="C48" s="625"/>
      <c r="D48" s="625"/>
      <c r="E48" s="625"/>
      <c r="F48" s="625"/>
      <c r="G48" s="625"/>
      <c r="H48" s="625"/>
      <c r="I48" s="615"/>
      <c r="J48" s="615"/>
      <c r="K48" s="625"/>
      <c r="L48" s="625"/>
    </row>
    <row r="49" spans="1:14" x14ac:dyDescent="0.2">
      <c r="A49" s="1523" t="s">
        <v>870</v>
      </c>
      <c r="B49" s="613">
        <v>2310</v>
      </c>
      <c r="C49" s="480">
        <v>2200</v>
      </c>
      <c r="D49" s="480">
        <v>0</v>
      </c>
      <c r="E49" s="480">
        <v>106704</v>
      </c>
      <c r="F49" s="480">
        <v>4440</v>
      </c>
      <c r="G49" s="480">
        <v>0</v>
      </c>
      <c r="H49" s="480">
        <v>810</v>
      </c>
      <c r="I49" s="467">
        <v>0</v>
      </c>
      <c r="J49" s="467">
        <v>0</v>
      </c>
      <c r="K49" s="1686">
        <f>SUM(C49:J49)</f>
        <v>114154</v>
      </c>
      <c r="L49" s="466">
        <v>115435</v>
      </c>
    </row>
    <row r="50" spans="1:14" x14ac:dyDescent="0.2">
      <c r="A50" s="1523" t="s">
        <v>871</v>
      </c>
      <c r="B50" s="613">
        <v>2320</v>
      </c>
      <c r="C50" s="466">
        <v>218747</v>
      </c>
      <c r="D50" s="466">
        <v>40720</v>
      </c>
      <c r="E50" s="466">
        <v>838</v>
      </c>
      <c r="F50" s="466">
        <v>884</v>
      </c>
      <c r="G50" s="466">
        <v>0</v>
      </c>
      <c r="H50" s="466">
        <v>9011</v>
      </c>
      <c r="I50" s="467">
        <v>0</v>
      </c>
      <c r="J50" s="467">
        <v>0</v>
      </c>
      <c r="K50" s="1686">
        <f>SUM(C50:J50)</f>
        <v>270200</v>
      </c>
      <c r="L50" s="466">
        <v>249251</v>
      </c>
    </row>
    <row r="51" spans="1:14" x14ac:dyDescent="0.2">
      <c r="A51" s="1523" t="s">
        <v>44</v>
      </c>
      <c r="B51" s="613">
        <v>2330</v>
      </c>
      <c r="C51" s="466">
        <v>0</v>
      </c>
      <c r="D51" s="466">
        <v>0</v>
      </c>
      <c r="E51" s="466">
        <v>0</v>
      </c>
      <c r="F51" s="466">
        <v>0</v>
      </c>
      <c r="G51" s="466">
        <v>0</v>
      </c>
      <c r="H51" s="466">
        <v>0</v>
      </c>
      <c r="I51" s="467">
        <v>0</v>
      </c>
      <c r="J51" s="467">
        <v>0</v>
      </c>
      <c r="K51" s="1686">
        <f>SUM(C51:J51)</f>
        <v>0</v>
      </c>
      <c r="L51" s="466">
        <v>0</v>
      </c>
    </row>
    <row r="52" spans="1:14" ht="22.5" x14ac:dyDescent="0.2">
      <c r="A52" s="1524" t="s">
        <v>315</v>
      </c>
      <c r="B52" s="626" t="s">
        <v>383</v>
      </c>
      <c r="C52" s="474">
        <v>0</v>
      </c>
      <c r="D52" s="474">
        <v>0</v>
      </c>
      <c r="E52" s="474">
        <v>0</v>
      </c>
      <c r="F52" s="474">
        <v>0</v>
      </c>
      <c r="G52" s="474">
        <v>0</v>
      </c>
      <c r="H52" s="474">
        <v>0</v>
      </c>
      <c r="I52" s="474">
        <v>0</v>
      </c>
      <c r="J52" s="474">
        <v>0</v>
      </c>
      <c r="K52" s="1686">
        <f>SUM(C52:J52)</f>
        <v>0</v>
      </c>
      <c r="L52" s="466">
        <v>0</v>
      </c>
    </row>
    <row r="53" spans="1:14" ht="12.75" customHeight="1" thickBot="1" x14ac:dyDescent="0.25">
      <c r="A53" s="1682" t="s">
        <v>740</v>
      </c>
      <c r="B53" s="1683" t="s">
        <v>33</v>
      </c>
      <c r="C53" s="1684">
        <f>SUM(C49:C52)</f>
        <v>220947</v>
      </c>
      <c r="D53" s="1684">
        <f t="shared" ref="D53:L53" si="5">SUM(D49:D52)</f>
        <v>40720</v>
      </c>
      <c r="E53" s="1684">
        <f t="shared" si="5"/>
        <v>107542</v>
      </c>
      <c r="F53" s="1684">
        <f t="shared" si="5"/>
        <v>5324</v>
      </c>
      <c r="G53" s="1684">
        <f t="shared" si="5"/>
        <v>0</v>
      </c>
      <c r="H53" s="1684">
        <f t="shared" si="5"/>
        <v>9821</v>
      </c>
      <c r="I53" s="1684">
        <f t="shared" si="5"/>
        <v>0</v>
      </c>
      <c r="J53" s="1684">
        <f t="shared" si="5"/>
        <v>0</v>
      </c>
      <c r="K53" s="1684">
        <f t="shared" si="5"/>
        <v>384354</v>
      </c>
      <c r="L53" s="1684">
        <f t="shared" si="5"/>
        <v>364686</v>
      </c>
    </row>
    <row r="54" spans="1:14" ht="15.75" customHeight="1" thickTop="1" x14ac:dyDescent="0.2">
      <c r="A54" s="623" t="s">
        <v>631</v>
      </c>
      <c r="B54" s="624"/>
      <c r="C54" s="625"/>
      <c r="D54" s="625"/>
      <c r="E54" s="625"/>
      <c r="F54" s="625"/>
      <c r="G54" s="625"/>
      <c r="H54" s="625"/>
      <c r="I54" s="615"/>
      <c r="J54" s="615"/>
      <c r="K54" s="625"/>
      <c r="L54" s="625"/>
    </row>
    <row r="55" spans="1:14" x14ac:dyDescent="0.2">
      <c r="A55" s="1523" t="s">
        <v>1126</v>
      </c>
      <c r="B55" s="613">
        <v>2410</v>
      </c>
      <c r="C55" s="480">
        <v>1080576</v>
      </c>
      <c r="D55" s="480">
        <v>274129</v>
      </c>
      <c r="E55" s="480">
        <v>13832</v>
      </c>
      <c r="F55" s="480">
        <v>6894</v>
      </c>
      <c r="G55" s="480">
        <v>0</v>
      </c>
      <c r="H55" s="480">
        <v>4187</v>
      </c>
      <c r="I55" s="467">
        <v>0</v>
      </c>
      <c r="J55" s="467">
        <v>0</v>
      </c>
      <c r="K55" s="1686">
        <f>SUM(C55:J55)</f>
        <v>1379618</v>
      </c>
      <c r="L55" s="480">
        <v>1421606</v>
      </c>
    </row>
    <row r="56" spans="1:14" ht="12.75" customHeight="1" x14ac:dyDescent="0.2">
      <c r="A56" s="1527" t="s">
        <v>393</v>
      </c>
      <c r="B56" s="627">
        <v>2490</v>
      </c>
      <c r="C56" s="466">
        <v>0</v>
      </c>
      <c r="D56" s="466">
        <v>0</v>
      </c>
      <c r="E56" s="466">
        <v>0</v>
      </c>
      <c r="F56" s="466">
        <v>0</v>
      </c>
      <c r="G56" s="466">
        <v>0</v>
      </c>
      <c r="H56" s="466">
        <v>0</v>
      </c>
      <c r="I56" s="467">
        <v>0</v>
      </c>
      <c r="J56" s="467">
        <v>0</v>
      </c>
      <c r="K56" s="1686">
        <f>SUM(C56:J56)</f>
        <v>0</v>
      </c>
      <c r="L56" s="466">
        <v>0</v>
      </c>
    </row>
    <row r="57" spans="1:14" s="343" customFormat="1" ht="12.75" customHeight="1" thickBot="1" x14ac:dyDescent="0.25">
      <c r="A57" s="1682" t="s">
        <v>281</v>
      </c>
      <c r="B57" s="1687" t="s">
        <v>34</v>
      </c>
      <c r="C57" s="1688">
        <f>SUM(C55:C56)</f>
        <v>1080576</v>
      </c>
      <c r="D57" s="1688">
        <f t="shared" ref="D57:K57" si="6">SUM(D55:D56)</f>
        <v>274129</v>
      </c>
      <c r="E57" s="1688">
        <f t="shared" si="6"/>
        <v>13832</v>
      </c>
      <c r="F57" s="1688">
        <f t="shared" si="6"/>
        <v>6894</v>
      </c>
      <c r="G57" s="1688">
        <f t="shared" si="6"/>
        <v>0</v>
      </c>
      <c r="H57" s="1688">
        <f t="shared" si="6"/>
        <v>4187</v>
      </c>
      <c r="I57" s="1688">
        <f t="shared" si="6"/>
        <v>0</v>
      </c>
      <c r="J57" s="1688">
        <f t="shared" si="6"/>
        <v>0</v>
      </c>
      <c r="K57" s="1688">
        <f t="shared" si="6"/>
        <v>1379618</v>
      </c>
      <c r="L57" s="1684">
        <f>SUM(L55:L56)</f>
        <v>1421606</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3" t="s">
        <v>1127</v>
      </c>
      <c r="B59" s="613">
        <v>2510</v>
      </c>
      <c r="C59" s="480">
        <v>0</v>
      </c>
      <c r="D59" s="480">
        <v>0</v>
      </c>
      <c r="E59" s="480">
        <v>0</v>
      </c>
      <c r="F59" s="480">
        <v>0</v>
      </c>
      <c r="G59" s="480">
        <v>0</v>
      </c>
      <c r="H59" s="480">
        <v>0</v>
      </c>
      <c r="I59" s="467">
        <v>0</v>
      </c>
      <c r="J59" s="467">
        <v>0</v>
      </c>
      <c r="K59" s="1686">
        <f t="shared" ref="K59:K64" si="7">SUM(C59:J59)</f>
        <v>0</v>
      </c>
      <c r="L59" s="480">
        <v>0</v>
      </c>
      <c r="M59" s="608"/>
      <c r="N59" s="608"/>
    </row>
    <row r="60" spans="1:14" s="343" customFormat="1" x14ac:dyDescent="0.2">
      <c r="A60" s="1523" t="s">
        <v>482</v>
      </c>
      <c r="B60" s="613">
        <v>2520</v>
      </c>
      <c r="C60" s="466">
        <v>266918</v>
      </c>
      <c r="D60" s="466">
        <v>52497</v>
      </c>
      <c r="E60" s="466">
        <v>87453</v>
      </c>
      <c r="F60" s="466">
        <v>16598</v>
      </c>
      <c r="G60" s="466">
        <v>0</v>
      </c>
      <c r="H60" s="466">
        <v>966</v>
      </c>
      <c r="I60" s="467">
        <v>0</v>
      </c>
      <c r="J60" s="467">
        <v>0</v>
      </c>
      <c r="K60" s="1686">
        <f t="shared" si="7"/>
        <v>424432</v>
      </c>
      <c r="L60" s="466">
        <v>480741</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86">
        <f t="shared" si="7"/>
        <v>0</v>
      </c>
      <c r="L61" s="466">
        <v>0</v>
      </c>
      <c r="M61" s="608"/>
      <c r="N61" s="608"/>
    </row>
    <row r="62" spans="1:14" s="343" customFormat="1" x14ac:dyDescent="0.2">
      <c r="A62" s="1523" t="s">
        <v>1009</v>
      </c>
      <c r="B62" s="613">
        <v>2550</v>
      </c>
      <c r="C62" s="467">
        <v>0</v>
      </c>
      <c r="D62" s="466">
        <v>0</v>
      </c>
      <c r="E62" s="466">
        <v>51884</v>
      </c>
      <c r="F62" s="466">
        <v>0</v>
      </c>
      <c r="G62" s="466">
        <v>0</v>
      </c>
      <c r="H62" s="466">
        <v>0</v>
      </c>
      <c r="I62" s="467">
        <v>0</v>
      </c>
      <c r="J62" s="467">
        <v>0</v>
      </c>
      <c r="K62" s="1686">
        <f t="shared" si="7"/>
        <v>51884</v>
      </c>
      <c r="L62" s="466">
        <v>59740</v>
      </c>
      <c r="M62" s="608"/>
      <c r="N62" s="608"/>
    </row>
    <row r="63" spans="1:14" s="608" customFormat="1" x14ac:dyDescent="0.2">
      <c r="A63" s="1523" t="s">
        <v>102</v>
      </c>
      <c r="B63" s="613">
        <v>2560</v>
      </c>
      <c r="C63" s="466">
        <v>444333</v>
      </c>
      <c r="D63" s="466">
        <v>60201</v>
      </c>
      <c r="E63" s="466">
        <v>10093</v>
      </c>
      <c r="F63" s="466">
        <v>575897</v>
      </c>
      <c r="G63" s="466">
        <v>50008</v>
      </c>
      <c r="H63" s="466">
        <v>4499</v>
      </c>
      <c r="I63" s="467">
        <v>1618</v>
      </c>
      <c r="J63" s="467">
        <v>0</v>
      </c>
      <c r="K63" s="1686">
        <f t="shared" si="7"/>
        <v>1146649</v>
      </c>
      <c r="L63" s="466">
        <v>1153013</v>
      </c>
    </row>
    <row r="64" spans="1:14" s="608" customFormat="1" x14ac:dyDescent="0.2">
      <c r="A64" s="1528" t="s">
        <v>103</v>
      </c>
      <c r="B64" s="629">
        <v>2570</v>
      </c>
      <c r="C64" s="480">
        <v>0</v>
      </c>
      <c r="D64" s="480">
        <v>0</v>
      </c>
      <c r="E64" s="480">
        <v>0</v>
      </c>
      <c r="F64" s="480">
        <v>0</v>
      </c>
      <c r="G64" s="480">
        <v>0</v>
      </c>
      <c r="H64" s="480">
        <v>0</v>
      </c>
      <c r="I64" s="467">
        <v>0</v>
      </c>
      <c r="J64" s="467">
        <v>0</v>
      </c>
      <c r="K64" s="1686">
        <f t="shared" si="7"/>
        <v>0</v>
      </c>
      <c r="L64" s="480">
        <v>0</v>
      </c>
    </row>
    <row r="65" spans="1:14" s="343" customFormat="1" ht="12.75" customHeight="1" thickBot="1" x14ac:dyDescent="0.25">
      <c r="A65" s="1682" t="s">
        <v>742</v>
      </c>
      <c r="B65" s="1683" t="s">
        <v>35</v>
      </c>
      <c r="C65" s="1684">
        <f>SUM(C59:C64)</f>
        <v>711251</v>
      </c>
      <c r="D65" s="1684">
        <f t="shared" ref="D65:L65" si="8">SUM(D59:D64)</f>
        <v>112698</v>
      </c>
      <c r="E65" s="1684">
        <f t="shared" si="8"/>
        <v>149430</v>
      </c>
      <c r="F65" s="1684">
        <f t="shared" si="8"/>
        <v>592495</v>
      </c>
      <c r="G65" s="1684">
        <f t="shared" si="8"/>
        <v>50008</v>
      </c>
      <c r="H65" s="1684">
        <f t="shared" si="8"/>
        <v>5465</v>
      </c>
      <c r="I65" s="1684">
        <f t="shared" si="8"/>
        <v>1618</v>
      </c>
      <c r="J65" s="1684">
        <f t="shared" si="8"/>
        <v>0</v>
      </c>
      <c r="K65" s="1684">
        <f t="shared" si="8"/>
        <v>1622965</v>
      </c>
      <c r="L65" s="1684">
        <f t="shared" si="8"/>
        <v>1693494</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3" t="s">
        <v>1119</v>
      </c>
      <c r="B67" s="613">
        <v>2610</v>
      </c>
      <c r="C67" s="466">
        <v>0</v>
      </c>
      <c r="D67" s="466">
        <v>0</v>
      </c>
      <c r="E67" s="466">
        <v>0</v>
      </c>
      <c r="F67" s="466">
        <v>0</v>
      </c>
      <c r="G67" s="466">
        <v>0</v>
      </c>
      <c r="H67" s="466">
        <v>0</v>
      </c>
      <c r="I67" s="467">
        <v>0</v>
      </c>
      <c r="J67" s="467">
        <v>0</v>
      </c>
      <c r="K67" s="1686">
        <f>SUM(C67:J67)</f>
        <v>0</v>
      </c>
      <c r="L67" s="480">
        <v>0</v>
      </c>
      <c r="M67" s="608"/>
      <c r="N67" s="608"/>
    </row>
    <row r="68" spans="1:14" s="343" customFormat="1" x14ac:dyDescent="0.2">
      <c r="A68" s="1523" t="s">
        <v>627</v>
      </c>
      <c r="B68" s="613">
        <v>2620</v>
      </c>
      <c r="C68" s="466">
        <v>0</v>
      </c>
      <c r="D68" s="466">
        <v>0</v>
      </c>
      <c r="E68" s="466">
        <v>0</v>
      </c>
      <c r="F68" s="466">
        <v>0</v>
      </c>
      <c r="G68" s="466">
        <v>0</v>
      </c>
      <c r="H68" s="466">
        <v>0</v>
      </c>
      <c r="I68" s="467">
        <v>0</v>
      </c>
      <c r="J68" s="467">
        <v>0</v>
      </c>
      <c r="K68" s="1686">
        <f>SUM(C68:J68)</f>
        <v>0</v>
      </c>
      <c r="L68" s="466">
        <v>0</v>
      </c>
      <c r="M68" s="608"/>
      <c r="N68" s="608"/>
    </row>
    <row r="69" spans="1:14" s="343" customFormat="1" x14ac:dyDescent="0.2">
      <c r="A69" s="1523" t="s">
        <v>1120</v>
      </c>
      <c r="B69" s="613">
        <v>2630</v>
      </c>
      <c r="C69" s="466">
        <v>0</v>
      </c>
      <c r="D69" s="466">
        <v>0</v>
      </c>
      <c r="E69" s="466">
        <v>26000</v>
      </c>
      <c r="F69" s="466">
        <v>548</v>
      </c>
      <c r="G69" s="466">
        <v>0</v>
      </c>
      <c r="H69" s="466">
        <v>0</v>
      </c>
      <c r="I69" s="467">
        <v>0</v>
      </c>
      <c r="J69" s="467">
        <v>0</v>
      </c>
      <c r="K69" s="1686">
        <f>SUM(C69:J69)</f>
        <v>26548</v>
      </c>
      <c r="L69" s="466">
        <v>26584</v>
      </c>
      <c r="M69" s="608"/>
      <c r="N69" s="608"/>
    </row>
    <row r="70" spans="1:14" s="343" customFormat="1" x14ac:dyDescent="0.2">
      <c r="A70" s="1523" t="s">
        <v>422</v>
      </c>
      <c r="B70" s="613">
        <v>2640</v>
      </c>
      <c r="C70" s="466">
        <v>0</v>
      </c>
      <c r="D70" s="466">
        <v>0</v>
      </c>
      <c r="E70" s="466">
        <v>0</v>
      </c>
      <c r="F70" s="466">
        <v>0</v>
      </c>
      <c r="G70" s="466">
        <v>0</v>
      </c>
      <c r="H70" s="466">
        <v>0</v>
      </c>
      <c r="I70" s="467">
        <v>0</v>
      </c>
      <c r="J70" s="467">
        <v>0</v>
      </c>
      <c r="K70" s="1686">
        <f>SUM(C70:J70)</f>
        <v>0</v>
      </c>
      <c r="L70" s="466">
        <v>0</v>
      </c>
      <c r="M70" s="608"/>
      <c r="N70" s="608"/>
    </row>
    <row r="71" spans="1:14" s="343" customFormat="1" x14ac:dyDescent="0.2">
      <c r="A71" s="1523" t="s">
        <v>423</v>
      </c>
      <c r="B71" s="613">
        <v>2660</v>
      </c>
      <c r="C71" s="466">
        <v>0</v>
      </c>
      <c r="D71" s="466">
        <v>0</v>
      </c>
      <c r="E71" s="466">
        <v>51284</v>
      </c>
      <c r="F71" s="466">
        <v>2541</v>
      </c>
      <c r="G71" s="466">
        <v>0</v>
      </c>
      <c r="H71" s="466">
        <v>0</v>
      </c>
      <c r="I71" s="467">
        <v>0</v>
      </c>
      <c r="J71" s="467">
        <v>0</v>
      </c>
      <c r="K71" s="1686">
        <f>SUM(C71:J71)</f>
        <v>53825</v>
      </c>
      <c r="L71" s="466">
        <v>60560</v>
      </c>
      <c r="M71" s="608"/>
      <c r="N71" s="608"/>
    </row>
    <row r="72" spans="1:14" s="343" customFormat="1" ht="12.75" customHeight="1" thickBot="1" x14ac:dyDescent="0.25">
      <c r="A72" s="1682" t="s">
        <v>37</v>
      </c>
      <c r="B72" s="1689" t="s">
        <v>36</v>
      </c>
      <c r="C72" s="1684">
        <f>SUM(C67:C71)</f>
        <v>0</v>
      </c>
      <c r="D72" s="1684">
        <f t="shared" ref="D72:K72" si="9">SUM(D67:D71)</f>
        <v>0</v>
      </c>
      <c r="E72" s="1684">
        <f t="shared" si="9"/>
        <v>77284</v>
      </c>
      <c r="F72" s="1684">
        <f t="shared" si="9"/>
        <v>3089</v>
      </c>
      <c r="G72" s="1684">
        <f t="shared" si="9"/>
        <v>0</v>
      </c>
      <c r="H72" s="1684">
        <f t="shared" si="9"/>
        <v>0</v>
      </c>
      <c r="I72" s="1684">
        <f t="shared" si="9"/>
        <v>0</v>
      </c>
      <c r="J72" s="1684">
        <f t="shared" si="9"/>
        <v>0</v>
      </c>
      <c r="K72" s="1684">
        <f t="shared" si="9"/>
        <v>80373</v>
      </c>
      <c r="L72" s="1684">
        <f>SUM(L67:L71)</f>
        <v>87144</v>
      </c>
      <c r="M72" s="608"/>
      <c r="N72" s="608"/>
    </row>
    <row r="73" spans="1:14" s="343" customFormat="1" ht="14.25" thickTop="1" thickBot="1" x14ac:dyDescent="0.25">
      <c r="A73" s="1529" t="s">
        <v>1036</v>
      </c>
      <c r="B73" s="631" t="s">
        <v>594</v>
      </c>
      <c r="C73" s="571">
        <v>77758</v>
      </c>
      <c r="D73" s="571">
        <v>3134</v>
      </c>
      <c r="E73" s="571">
        <v>138</v>
      </c>
      <c r="F73" s="571">
        <v>4493</v>
      </c>
      <c r="G73" s="571">
        <v>0</v>
      </c>
      <c r="H73" s="571">
        <v>0</v>
      </c>
      <c r="I73" s="529">
        <v>0</v>
      </c>
      <c r="J73" s="529">
        <v>0</v>
      </c>
      <c r="K73" s="1684">
        <f>SUM(C73:J73)</f>
        <v>85523</v>
      </c>
      <c r="L73" s="574">
        <v>98898</v>
      </c>
      <c r="M73" s="608"/>
      <c r="N73" s="608"/>
    </row>
    <row r="74" spans="1:14" ht="12.75" customHeight="1" thickTop="1" thickBot="1" x14ac:dyDescent="0.25">
      <c r="A74" s="1682" t="s">
        <v>864</v>
      </c>
      <c r="B74" s="1690">
        <v>2000</v>
      </c>
      <c r="C74" s="1691">
        <f>SUM(C42,C47,C53,C57,C65,C72,C73)</f>
        <v>3057399</v>
      </c>
      <c r="D74" s="1691">
        <f t="shared" ref="D74:K74" si="10">SUM(D42,D47,D53,D57,D65,D72,D73)</f>
        <v>575066</v>
      </c>
      <c r="E74" s="1691">
        <f t="shared" si="10"/>
        <v>458139</v>
      </c>
      <c r="F74" s="1691">
        <f t="shared" si="10"/>
        <v>814962</v>
      </c>
      <c r="G74" s="1691">
        <f t="shared" si="10"/>
        <v>50008</v>
      </c>
      <c r="H74" s="1691">
        <f t="shared" si="10"/>
        <v>19473</v>
      </c>
      <c r="I74" s="1691">
        <f t="shared" si="10"/>
        <v>213779</v>
      </c>
      <c r="J74" s="1691">
        <f t="shared" si="10"/>
        <v>0</v>
      </c>
      <c r="K74" s="1691">
        <f t="shared" si="10"/>
        <v>5188826</v>
      </c>
      <c r="L74" s="1691">
        <f>SUM(L42,L47,L53,L57,L65,L72,L73)</f>
        <v>5481302</v>
      </c>
    </row>
    <row r="75" spans="1:14" s="259" customFormat="1" ht="15.75" customHeight="1" thickTop="1" thickBot="1" x14ac:dyDescent="0.25">
      <c r="A75" s="1629" t="s">
        <v>49</v>
      </c>
      <c r="B75" s="1630" t="s">
        <v>595</v>
      </c>
      <c r="C75" s="571">
        <v>118356</v>
      </c>
      <c r="D75" s="571">
        <v>11040</v>
      </c>
      <c r="E75" s="571">
        <v>2691</v>
      </c>
      <c r="F75" s="571">
        <v>11011</v>
      </c>
      <c r="G75" s="571">
        <v>0</v>
      </c>
      <c r="H75" s="571">
        <v>0</v>
      </c>
      <c r="I75" s="529">
        <v>0</v>
      </c>
      <c r="J75" s="529">
        <v>0</v>
      </c>
      <c r="K75" s="1684">
        <f>SUM(C75:J75)</f>
        <v>143098</v>
      </c>
      <c r="L75" s="574">
        <v>163851</v>
      </c>
      <c r="M75" s="612"/>
      <c r="N75" s="612"/>
    </row>
    <row r="76" spans="1:14" s="632" customFormat="1" ht="15.75" customHeight="1" thickTop="1" x14ac:dyDescent="0.2">
      <c r="A76" s="1631" t="s">
        <v>382</v>
      </c>
      <c r="B76" s="1628"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3" t="s">
        <v>516</v>
      </c>
      <c r="B78" s="613">
        <v>4110</v>
      </c>
      <c r="C78" s="615"/>
      <c r="D78" s="615"/>
      <c r="E78" s="480">
        <v>0</v>
      </c>
      <c r="F78" s="615"/>
      <c r="G78" s="615"/>
      <c r="H78" s="633">
        <v>0</v>
      </c>
      <c r="I78" s="476"/>
      <c r="J78" s="476"/>
      <c r="K78" s="1685">
        <f t="shared" ref="K78:K83" si="11">SUM(C78:J78)</f>
        <v>0</v>
      </c>
      <c r="L78" s="480">
        <v>0</v>
      </c>
    </row>
    <row r="79" spans="1:14" x14ac:dyDescent="0.2">
      <c r="A79" s="1523" t="s">
        <v>321</v>
      </c>
      <c r="B79" s="613">
        <v>4120</v>
      </c>
      <c r="C79" s="615"/>
      <c r="D79" s="615"/>
      <c r="E79" s="466">
        <v>0</v>
      </c>
      <c r="F79" s="615"/>
      <c r="G79" s="615"/>
      <c r="H79" s="466">
        <v>0</v>
      </c>
      <c r="I79" s="476"/>
      <c r="J79" s="476"/>
      <c r="K79" s="1685">
        <f t="shared" si="11"/>
        <v>0</v>
      </c>
      <c r="L79" s="466">
        <v>0</v>
      </c>
    </row>
    <row r="80" spans="1:14" x14ac:dyDescent="0.2">
      <c r="A80" s="1523" t="s">
        <v>322</v>
      </c>
      <c r="B80" s="613">
        <v>4130</v>
      </c>
      <c r="C80" s="615"/>
      <c r="D80" s="615"/>
      <c r="E80" s="466">
        <v>0</v>
      </c>
      <c r="F80" s="615"/>
      <c r="G80" s="615"/>
      <c r="H80" s="466">
        <v>0</v>
      </c>
      <c r="I80" s="476"/>
      <c r="J80" s="476"/>
      <c r="K80" s="1685">
        <f t="shared" si="11"/>
        <v>0</v>
      </c>
      <c r="L80" s="466">
        <v>0</v>
      </c>
    </row>
    <row r="81" spans="1:12" x14ac:dyDescent="0.2">
      <c r="A81" s="1523" t="s">
        <v>720</v>
      </c>
      <c r="B81" s="613">
        <v>4140</v>
      </c>
      <c r="C81" s="615"/>
      <c r="D81" s="615"/>
      <c r="E81" s="466">
        <v>0</v>
      </c>
      <c r="F81" s="615"/>
      <c r="G81" s="615"/>
      <c r="H81" s="466">
        <v>0</v>
      </c>
      <c r="I81" s="476"/>
      <c r="J81" s="476"/>
      <c r="K81" s="1685">
        <f t="shared" si="11"/>
        <v>0</v>
      </c>
      <c r="L81" s="466">
        <v>0</v>
      </c>
    </row>
    <row r="82" spans="1:12" x14ac:dyDescent="0.2">
      <c r="A82" s="1523" t="s">
        <v>88</v>
      </c>
      <c r="B82" s="613">
        <v>4170</v>
      </c>
      <c r="C82" s="615"/>
      <c r="D82" s="615"/>
      <c r="E82" s="466">
        <v>0</v>
      </c>
      <c r="F82" s="615"/>
      <c r="G82" s="615"/>
      <c r="H82" s="466">
        <v>0</v>
      </c>
      <c r="I82" s="476"/>
      <c r="J82" s="476"/>
      <c r="K82" s="1685">
        <f t="shared" si="11"/>
        <v>0</v>
      </c>
      <c r="L82" s="466">
        <v>0</v>
      </c>
    </row>
    <row r="83" spans="1:12" x14ac:dyDescent="0.2">
      <c r="A83" s="1527" t="s">
        <v>721</v>
      </c>
      <c r="B83" s="627">
        <v>4190</v>
      </c>
      <c r="C83" s="615"/>
      <c r="D83" s="615"/>
      <c r="E83" s="466">
        <v>0</v>
      </c>
      <c r="F83" s="615"/>
      <c r="G83" s="615"/>
      <c r="H83" s="466">
        <v>9098</v>
      </c>
      <c r="I83" s="476"/>
      <c r="J83" s="476"/>
      <c r="K83" s="1685">
        <f t="shared" si="11"/>
        <v>9098</v>
      </c>
      <c r="L83" s="466">
        <v>10000</v>
      </c>
    </row>
    <row r="84" spans="1:12" ht="13.5" thickBot="1" x14ac:dyDescent="0.25">
      <c r="A84" s="1682" t="s">
        <v>1564</v>
      </c>
      <c r="B84" s="1692">
        <v>4100</v>
      </c>
      <c r="C84" s="615"/>
      <c r="D84" s="615"/>
      <c r="E84" s="1684">
        <f>SUM(E78:E83)</f>
        <v>0</v>
      </c>
      <c r="F84" s="615"/>
      <c r="G84" s="615"/>
      <c r="H84" s="1684">
        <f>SUM(H78:H83)</f>
        <v>9098</v>
      </c>
      <c r="I84" s="476"/>
      <c r="J84" s="476"/>
      <c r="K84" s="1684">
        <f>SUM(K78:K83)</f>
        <v>9098</v>
      </c>
      <c r="L84" s="1684">
        <f>SUM(L78:L83)</f>
        <v>10000</v>
      </c>
    </row>
    <row r="85" spans="1:12" ht="12.75" customHeight="1" thickTop="1" thickBot="1" x14ac:dyDescent="0.25">
      <c r="A85" s="1530" t="s">
        <v>273</v>
      </c>
      <c r="B85" s="634">
        <v>4210</v>
      </c>
      <c r="C85" s="615"/>
      <c r="D85" s="615"/>
      <c r="E85" s="635"/>
      <c r="F85" s="615"/>
      <c r="G85" s="615"/>
      <c r="H85" s="533">
        <v>0</v>
      </c>
      <c r="I85" s="476"/>
      <c r="J85" s="476"/>
      <c r="K85" s="1691">
        <f>H85</f>
        <v>0</v>
      </c>
      <c r="L85" s="528">
        <v>7070</v>
      </c>
    </row>
    <row r="86" spans="1:12" ht="12.75" customHeight="1" thickTop="1" thickBot="1" x14ac:dyDescent="0.25">
      <c r="A86" s="1531" t="s">
        <v>722</v>
      </c>
      <c r="B86" s="636">
        <v>4220</v>
      </c>
      <c r="C86" s="615"/>
      <c r="D86" s="615"/>
      <c r="E86" s="637"/>
      <c r="F86" s="615"/>
      <c r="G86" s="615"/>
      <c r="H86" s="467">
        <v>1223042</v>
      </c>
      <c r="I86" s="476"/>
      <c r="J86" s="476"/>
      <c r="K86" s="1691">
        <f t="shared" ref="K86:K98" si="12">H86</f>
        <v>1223042</v>
      </c>
      <c r="L86" s="528">
        <v>1350000</v>
      </c>
    </row>
    <row r="87" spans="1:12" ht="14.25" thickTop="1" thickBot="1" x14ac:dyDescent="0.25">
      <c r="A87" s="1532" t="s">
        <v>723</v>
      </c>
      <c r="B87" s="638">
        <v>4230</v>
      </c>
      <c r="C87" s="615"/>
      <c r="D87" s="615"/>
      <c r="E87" s="637"/>
      <c r="F87" s="615"/>
      <c r="G87" s="615"/>
      <c r="H87" s="467">
        <v>0</v>
      </c>
      <c r="I87" s="476"/>
      <c r="J87" s="476"/>
      <c r="K87" s="1691">
        <f t="shared" si="12"/>
        <v>0</v>
      </c>
      <c r="L87" s="528">
        <v>0</v>
      </c>
    </row>
    <row r="88" spans="1:12" ht="12.75" customHeight="1" thickTop="1" thickBot="1" x14ac:dyDescent="0.25">
      <c r="A88" s="1532" t="s">
        <v>788</v>
      </c>
      <c r="B88" s="638">
        <v>4240</v>
      </c>
      <c r="C88" s="615"/>
      <c r="D88" s="615"/>
      <c r="E88" s="637"/>
      <c r="F88" s="615"/>
      <c r="G88" s="615"/>
      <c r="H88" s="467">
        <v>0</v>
      </c>
      <c r="I88" s="476"/>
      <c r="J88" s="476"/>
      <c r="K88" s="1691">
        <f t="shared" si="12"/>
        <v>0</v>
      </c>
      <c r="L88" s="528">
        <v>0</v>
      </c>
    </row>
    <row r="89" spans="1:12" ht="12.75" customHeight="1" thickTop="1" thickBot="1" x14ac:dyDescent="0.25">
      <c r="A89" s="1532" t="s">
        <v>724</v>
      </c>
      <c r="B89" s="638">
        <v>4270</v>
      </c>
      <c r="C89" s="615"/>
      <c r="D89" s="615"/>
      <c r="E89" s="637"/>
      <c r="F89" s="615"/>
      <c r="G89" s="615"/>
      <c r="H89" s="467">
        <v>0</v>
      </c>
      <c r="I89" s="476"/>
      <c r="J89" s="476"/>
      <c r="K89" s="1691">
        <f t="shared" si="12"/>
        <v>0</v>
      </c>
      <c r="L89" s="528">
        <v>0</v>
      </c>
    </row>
    <row r="90" spans="1:12" ht="12.75" customHeight="1" thickTop="1" thickBot="1" x14ac:dyDescent="0.25">
      <c r="A90" s="1532" t="s">
        <v>709</v>
      </c>
      <c r="B90" s="638">
        <v>4280</v>
      </c>
      <c r="C90" s="615"/>
      <c r="D90" s="615"/>
      <c r="E90" s="637"/>
      <c r="F90" s="615"/>
      <c r="G90" s="615"/>
      <c r="H90" s="467">
        <v>0</v>
      </c>
      <c r="I90" s="476"/>
      <c r="J90" s="476"/>
      <c r="K90" s="1691">
        <f t="shared" si="12"/>
        <v>0</v>
      </c>
      <c r="L90" s="528">
        <v>0</v>
      </c>
    </row>
    <row r="91" spans="1:12" ht="12.75" customHeight="1" thickTop="1" thickBot="1" x14ac:dyDescent="0.25">
      <c r="A91" s="1532" t="s">
        <v>710</v>
      </c>
      <c r="B91" s="638">
        <v>4290</v>
      </c>
      <c r="C91" s="615"/>
      <c r="D91" s="615"/>
      <c r="E91" s="637"/>
      <c r="F91" s="615"/>
      <c r="G91" s="615"/>
      <c r="H91" s="467">
        <v>0</v>
      </c>
      <c r="I91" s="476"/>
      <c r="J91" s="476"/>
      <c r="K91" s="1691">
        <f t="shared" si="12"/>
        <v>0</v>
      </c>
      <c r="L91" s="528">
        <v>0</v>
      </c>
    </row>
    <row r="92" spans="1:12" ht="14.25" thickTop="1" thickBot="1" x14ac:dyDescent="0.25">
      <c r="A92" s="1694" t="s">
        <v>1639</v>
      </c>
      <c r="B92" s="1692">
        <v>4200</v>
      </c>
      <c r="C92" s="615"/>
      <c r="D92" s="615"/>
      <c r="E92" s="637"/>
      <c r="F92" s="615"/>
      <c r="G92" s="615"/>
      <c r="H92" s="1684">
        <f>SUM(H85:H91)</f>
        <v>1223042</v>
      </c>
      <c r="I92" s="476"/>
      <c r="J92" s="476"/>
      <c r="K92" s="1691">
        <f t="shared" si="12"/>
        <v>1223042</v>
      </c>
      <c r="L92" s="1684">
        <f>SUM(L85:L91)</f>
        <v>1357070</v>
      </c>
    </row>
    <row r="93" spans="1:12" ht="14.25" thickTop="1" thickBot="1" x14ac:dyDescent="0.25">
      <c r="A93" s="1531" t="s">
        <v>711</v>
      </c>
      <c r="B93" s="639">
        <v>4310</v>
      </c>
      <c r="C93" s="615"/>
      <c r="D93" s="615"/>
      <c r="E93" s="637"/>
      <c r="F93" s="615"/>
      <c r="G93" s="615"/>
      <c r="H93" s="640">
        <v>0</v>
      </c>
      <c r="I93" s="476"/>
      <c r="J93" s="476"/>
      <c r="K93" s="1691">
        <f t="shared" si="12"/>
        <v>0</v>
      </c>
      <c r="L93" s="530">
        <v>0</v>
      </c>
    </row>
    <row r="94" spans="1:12" ht="12.75" customHeight="1" thickTop="1" thickBot="1" x14ac:dyDescent="0.25">
      <c r="A94" s="1532" t="s">
        <v>712</v>
      </c>
      <c r="B94" s="638">
        <v>4320</v>
      </c>
      <c r="C94" s="615"/>
      <c r="D94" s="615"/>
      <c r="E94" s="637"/>
      <c r="F94" s="615"/>
      <c r="G94" s="615"/>
      <c r="H94" s="467">
        <v>0</v>
      </c>
      <c r="I94" s="476"/>
      <c r="J94" s="476"/>
      <c r="K94" s="1691">
        <f t="shared" si="12"/>
        <v>0</v>
      </c>
      <c r="L94" s="528">
        <v>0</v>
      </c>
    </row>
    <row r="95" spans="1:12" ht="15" customHeight="1" thickTop="1" thickBot="1" x14ac:dyDescent="0.25">
      <c r="A95" s="1532" t="s">
        <v>1567</v>
      </c>
      <c r="B95" s="638">
        <v>4330</v>
      </c>
      <c r="C95" s="615"/>
      <c r="D95" s="615"/>
      <c r="E95" s="637"/>
      <c r="F95" s="615"/>
      <c r="G95" s="615"/>
      <c r="H95" s="467">
        <v>0</v>
      </c>
      <c r="I95" s="476"/>
      <c r="J95" s="476"/>
      <c r="K95" s="1691">
        <f t="shared" si="12"/>
        <v>0</v>
      </c>
      <c r="L95" s="528">
        <v>0</v>
      </c>
    </row>
    <row r="96" spans="1:12" ht="14.25" thickTop="1" thickBot="1" x14ac:dyDescent="0.25">
      <c r="A96" s="1532" t="s">
        <v>713</v>
      </c>
      <c r="B96" s="638">
        <v>4340</v>
      </c>
      <c r="C96" s="615"/>
      <c r="D96" s="615"/>
      <c r="E96" s="637"/>
      <c r="F96" s="615"/>
      <c r="G96" s="615"/>
      <c r="H96" s="467">
        <v>0</v>
      </c>
      <c r="I96" s="476"/>
      <c r="J96" s="476"/>
      <c r="K96" s="1691">
        <f t="shared" si="12"/>
        <v>0</v>
      </c>
      <c r="L96" s="528">
        <v>0</v>
      </c>
    </row>
    <row r="97" spans="1:14" ht="12.75" customHeight="1" thickTop="1" thickBot="1" x14ac:dyDescent="0.25">
      <c r="A97" s="1532" t="s">
        <v>786</v>
      </c>
      <c r="B97" s="638">
        <v>4370</v>
      </c>
      <c r="C97" s="615"/>
      <c r="D97" s="615"/>
      <c r="E97" s="637"/>
      <c r="F97" s="615"/>
      <c r="G97" s="615"/>
      <c r="H97" s="467">
        <v>0</v>
      </c>
      <c r="I97" s="476"/>
      <c r="J97" s="476"/>
      <c r="K97" s="1691">
        <f t="shared" si="12"/>
        <v>0</v>
      </c>
      <c r="L97" s="528">
        <v>0</v>
      </c>
    </row>
    <row r="98" spans="1:14" ht="14.25" thickTop="1" thickBot="1" x14ac:dyDescent="0.25">
      <c r="A98" s="1532" t="s">
        <v>787</v>
      </c>
      <c r="B98" s="638">
        <v>4380</v>
      </c>
      <c r="C98" s="615"/>
      <c r="D98" s="615"/>
      <c r="E98" s="641"/>
      <c r="F98" s="615"/>
      <c r="G98" s="615"/>
      <c r="H98" s="467">
        <v>0</v>
      </c>
      <c r="I98" s="476"/>
      <c r="J98" s="476"/>
      <c r="K98" s="1691">
        <f t="shared" si="12"/>
        <v>0</v>
      </c>
      <c r="L98" s="528">
        <v>0</v>
      </c>
    </row>
    <row r="99" spans="1:14" ht="14.25" thickTop="1" thickBot="1" x14ac:dyDescent="0.25">
      <c r="A99" s="1532" t="s">
        <v>384</v>
      </c>
      <c r="B99" s="638">
        <v>4390</v>
      </c>
      <c r="C99" s="615"/>
      <c r="D99" s="615"/>
      <c r="E99" s="530">
        <v>0</v>
      </c>
      <c r="F99" s="615"/>
      <c r="G99" s="615"/>
      <c r="H99" s="467">
        <v>0</v>
      </c>
      <c r="I99" s="476"/>
      <c r="J99" s="476"/>
      <c r="K99" s="1691">
        <f>SUM(E99,H99)</f>
        <v>0</v>
      </c>
      <c r="L99" s="528">
        <v>0</v>
      </c>
    </row>
    <row r="100" spans="1:14" ht="14.25" thickTop="1" thickBot="1" x14ac:dyDescent="0.25">
      <c r="A100" s="1694" t="s">
        <v>1565</v>
      </c>
      <c r="B100" s="1695">
        <v>4300</v>
      </c>
      <c r="C100" s="615"/>
      <c r="D100" s="615"/>
      <c r="E100" s="1691">
        <f>SUM(E93:E99)</f>
        <v>0</v>
      </c>
      <c r="F100" s="615"/>
      <c r="G100" s="615"/>
      <c r="H100" s="1691">
        <f>SUM(H93:H99)</f>
        <v>0</v>
      </c>
      <c r="I100" s="476"/>
      <c r="J100" s="476"/>
      <c r="K100" s="1691">
        <f>SUM(K93:K99)</f>
        <v>0</v>
      </c>
      <c r="L100" s="1691">
        <f>SUM(L93:L99)</f>
        <v>0</v>
      </c>
    </row>
    <row r="101" spans="1:14" ht="12.75" customHeight="1" thickTop="1" thickBot="1" x14ac:dyDescent="0.25">
      <c r="A101" s="1529" t="s">
        <v>1568</v>
      </c>
      <c r="B101" s="642" t="s">
        <v>987</v>
      </c>
      <c r="C101" s="615"/>
      <c r="D101" s="615"/>
      <c r="E101" s="529">
        <v>0</v>
      </c>
      <c r="F101" s="615"/>
      <c r="G101" s="615"/>
      <c r="H101" s="529">
        <v>0</v>
      </c>
      <c r="I101" s="476"/>
      <c r="J101" s="476"/>
      <c r="K101" s="1693">
        <f>SUM(C101:J101)</f>
        <v>0</v>
      </c>
      <c r="L101" s="528">
        <v>0</v>
      </c>
    </row>
    <row r="102" spans="1:14" ht="12.75" customHeight="1" thickTop="1" thickBot="1" x14ac:dyDescent="0.25">
      <c r="A102" s="1682" t="s">
        <v>1566</v>
      </c>
      <c r="B102" s="1692">
        <v>4000</v>
      </c>
      <c r="C102" s="615"/>
      <c r="D102" s="615"/>
      <c r="E102" s="1691">
        <f>SUM(E84,E92,E100,E101)</f>
        <v>0</v>
      </c>
      <c r="F102" s="615"/>
      <c r="G102" s="615"/>
      <c r="H102" s="1691">
        <f>SUM(H84,H92,H100,H101)</f>
        <v>1232140</v>
      </c>
      <c r="I102" s="476"/>
      <c r="J102" s="476"/>
      <c r="K102" s="1691">
        <f>SUM(K84,K92,K100,K101)</f>
        <v>1232140</v>
      </c>
      <c r="L102" s="1691">
        <f>SUM(L84,L92,L100,L101)</f>
        <v>1367070</v>
      </c>
    </row>
    <row r="103" spans="1:14" s="632" customFormat="1" ht="15.75" customHeight="1" thickTop="1" x14ac:dyDescent="0.2">
      <c r="A103" s="1631" t="s">
        <v>533</v>
      </c>
      <c r="B103" s="1628"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85">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85">
        <f>H106</f>
        <v>0</v>
      </c>
      <c r="L106" s="466">
        <v>0</v>
      </c>
      <c r="M106" s="210"/>
      <c r="N106" s="210"/>
    </row>
    <row r="107" spans="1:14" s="596" customFormat="1" ht="12.75" customHeight="1" x14ac:dyDescent="0.2">
      <c r="A107" s="1523" t="s">
        <v>1231</v>
      </c>
      <c r="B107" s="613">
        <v>5130</v>
      </c>
      <c r="C107" s="615"/>
      <c r="D107" s="615"/>
      <c r="E107" s="615"/>
      <c r="F107" s="615"/>
      <c r="G107" s="615"/>
      <c r="H107" s="466">
        <v>0</v>
      </c>
      <c r="I107" s="468"/>
      <c r="J107" s="468"/>
      <c r="K107" s="1685">
        <f>H107</f>
        <v>0</v>
      </c>
      <c r="L107" s="466">
        <v>0</v>
      </c>
      <c r="M107" s="210"/>
      <c r="N107" s="210"/>
    </row>
    <row r="108" spans="1:14" s="596" customFormat="1" x14ac:dyDescent="0.2">
      <c r="A108" s="1523" t="s">
        <v>91</v>
      </c>
      <c r="B108" s="613" t="s">
        <v>609</v>
      </c>
      <c r="C108" s="615"/>
      <c r="D108" s="615"/>
      <c r="E108" s="615"/>
      <c r="F108" s="615"/>
      <c r="G108" s="615"/>
      <c r="H108" s="466">
        <v>0</v>
      </c>
      <c r="I108" s="468"/>
      <c r="J108" s="468"/>
      <c r="K108" s="1685">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85">
        <f>H109</f>
        <v>0</v>
      </c>
      <c r="L109" s="466">
        <v>0</v>
      </c>
      <c r="M109" s="210"/>
      <c r="N109" s="210"/>
    </row>
    <row r="110" spans="1:14" s="596" customFormat="1" ht="12.75" customHeight="1" thickBot="1" x14ac:dyDescent="0.25">
      <c r="A110" s="1682" t="s">
        <v>1163</v>
      </c>
      <c r="B110" s="1689" t="s">
        <v>741</v>
      </c>
      <c r="C110" s="615"/>
      <c r="D110" s="615"/>
      <c r="E110" s="615"/>
      <c r="F110" s="615"/>
      <c r="G110" s="615"/>
      <c r="H110" s="1684">
        <f>SUM(H105:H109)</f>
        <v>0</v>
      </c>
      <c r="I110" s="468"/>
      <c r="J110" s="468"/>
      <c r="K110" s="1684">
        <f>SUM(K105:K109)</f>
        <v>0</v>
      </c>
      <c r="L110" s="1684">
        <f>SUM(L105:L109)</f>
        <v>0</v>
      </c>
      <c r="M110" s="210"/>
      <c r="N110" s="210"/>
    </row>
    <row r="111" spans="1:14" s="596" customFormat="1" ht="12.75" customHeight="1" thickTop="1" thickBot="1" x14ac:dyDescent="0.25">
      <c r="A111" s="1533" t="s">
        <v>385</v>
      </c>
      <c r="B111" s="646" t="s">
        <v>38</v>
      </c>
      <c r="C111" s="615"/>
      <c r="D111" s="615"/>
      <c r="E111" s="615"/>
      <c r="F111" s="615"/>
      <c r="G111" s="615"/>
      <c r="H111" s="533">
        <v>0</v>
      </c>
      <c r="I111" s="468"/>
      <c r="J111" s="468"/>
      <c r="K111" s="1697">
        <f>H111</f>
        <v>0</v>
      </c>
      <c r="L111" s="530">
        <v>0</v>
      </c>
      <c r="M111" s="210"/>
      <c r="N111" s="210"/>
    </row>
    <row r="112" spans="1:14" s="596" customFormat="1" ht="12.75" customHeight="1" thickTop="1" thickBot="1" x14ac:dyDescent="0.25">
      <c r="A112" s="1682" t="s">
        <v>658</v>
      </c>
      <c r="B112" s="1683" t="s">
        <v>512</v>
      </c>
      <c r="C112" s="615"/>
      <c r="D112" s="615"/>
      <c r="E112" s="615"/>
      <c r="F112" s="615"/>
      <c r="G112" s="615"/>
      <c r="H112" s="1684">
        <f>SUM(H110:H111)</f>
        <v>0</v>
      </c>
      <c r="I112" s="468"/>
      <c r="J112" s="468"/>
      <c r="K112" s="1684">
        <f>SUM(K110:K111)</f>
        <v>0</v>
      </c>
      <c r="L112" s="1691">
        <f>SUM(L110,L111)</f>
        <v>0</v>
      </c>
      <c r="M112" s="210"/>
      <c r="N112" s="210"/>
    </row>
    <row r="113" spans="1:14" s="259" customFormat="1" ht="15.75" customHeight="1" thickTop="1" thickBot="1" x14ac:dyDescent="0.25">
      <c r="A113" s="1625" t="s">
        <v>534</v>
      </c>
      <c r="B113" s="1632" t="s">
        <v>915</v>
      </c>
      <c r="C113" s="622"/>
      <c r="D113" s="622"/>
      <c r="E113" s="615"/>
      <c r="F113" s="615"/>
      <c r="G113" s="615"/>
      <c r="H113" s="622"/>
      <c r="I113" s="468"/>
      <c r="J113" s="468"/>
      <c r="K113" s="622"/>
      <c r="L113" s="529">
        <v>0</v>
      </c>
      <c r="M113" s="612"/>
      <c r="N113" s="612"/>
    </row>
    <row r="114" spans="1:14" ht="12.75" customHeight="1" thickTop="1" thickBot="1" x14ac:dyDescent="0.25">
      <c r="A114" s="1682" t="s">
        <v>50</v>
      </c>
      <c r="B114" s="1696"/>
      <c r="C114" s="1684">
        <f>SUM(C33,C74,C75,C102,C112,C113)</f>
        <v>11917127</v>
      </c>
      <c r="D114" s="1684">
        <f t="shared" ref="D114:K114" si="13">SUM(D33,D74,D75,D102,D112,D113)</f>
        <v>1757362</v>
      </c>
      <c r="E114" s="1684">
        <f t="shared" si="13"/>
        <v>681901</v>
      </c>
      <c r="F114" s="1684">
        <f t="shared" si="13"/>
        <v>1171588</v>
      </c>
      <c r="G114" s="1684">
        <f t="shared" si="13"/>
        <v>50008</v>
      </c>
      <c r="H114" s="1684">
        <f>SUM(H33,H74,H75,H102,H112,H113)</f>
        <v>1265357</v>
      </c>
      <c r="I114" s="1684">
        <f t="shared" si="13"/>
        <v>213779</v>
      </c>
      <c r="J114" s="1684">
        <f t="shared" si="13"/>
        <v>0</v>
      </c>
      <c r="K114" s="1684">
        <f t="shared" si="13"/>
        <v>17057122</v>
      </c>
      <c r="L114" s="1684">
        <f>SUM(L33,L74,L75,L102,L112,L113)</f>
        <v>17499921</v>
      </c>
    </row>
    <row r="115" spans="1:14" ht="13.5" thickTop="1" x14ac:dyDescent="0.2">
      <c r="A115" s="2326" t="s">
        <v>1052</v>
      </c>
      <c r="B115" s="2327"/>
      <c r="C115" s="617"/>
      <c r="D115" s="617"/>
      <c r="E115" s="617"/>
      <c r="F115" s="617"/>
      <c r="G115" s="617"/>
      <c r="H115" s="617"/>
      <c r="I115" s="617"/>
      <c r="J115" s="617"/>
      <c r="K115" s="1698">
        <f>'Revenues 9-14'!C275-'Expenditures 15-22'!K114</f>
        <v>-190283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04" t="s">
        <v>313</v>
      </c>
      <c r="B117" s="2305"/>
      <c r="C117" s="1645"/>
      <c r="D117" s="1646"/>
      <c r="E117" s="1646"/>
      <c r="F117" s="1646"/>
      <c r="G117" s="1646"/>
      <c r="H117" s="1646"/>
      <c r="I117" s="1646"/>
      <c r="J117" s="1646"/>
      <c r="K117" s="1646"/>
      <c r="L117" s="1647"/>
      <c r="M117" s="175"/>
      <c r="N117" s="175"/>
    </row>
    <row r="118" spans="1:14" ht="15.75" customHeight="1" x14ac:dyDescent="0.2">
      <c r="A118" s="1633" t="s">
        <v>1094</v>
      </c>
      <c r="B118" s="1634"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85">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3" t="s">
        <v>1127</v>
      </c>
      <c r="B122" s="613">
        <v>2510</v>
      </c>
      <c r="C122" s="466">
        <v>0</v>
      </c>
      <c r="D122" s="466">
        <v>0</v>
      </c>
      <c r="E122" s="466">
        <v>0</v>
      </c>
      <c r="F122" s="466">
        <v>0</v>
      </c>
      <c r="G122" s="466">
        <v>0</v>
      </c>
      <c r="H122" s="466">
        <v>0</v>
      </c>
      <c r="I122" s="467">
        <v>0</v>
      </c>
      <c r="J122" s="467">
        <v>0</v>
      </c>
      <c r="K122" s="1684">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4">
        <f>SUM(C123:J123)</f>
        <v>0</v>
      </c>
      <c r="L123" s="466">
        <v>10100</v>
      </c>
    </row>
    <row r="124" spans="1:14" ht="14.25" thickTop="1" thickBot="1" x14ac:dyDescent="0.25">
      <c r="A124" s="1523" t="s">
        <v>206</v>
      </c>
      <c r="B124" s="613">
        <v>2540</v>
      </c>
      <c r="C124" s="466">
        <v>912154</v>
      </c>
      <c r="D124" s="466">
        <v>141282</v>
      </c>
      <c r="E124" s="466">
        <v>259695</v>
      </c>
      <c r="F124" s="466">
        <v>694678</v>
      </c>
      <c r="G124" s="466">
        <v>80340</v>
      </c>
      <c r="H124" s="466">
        <v>0</v>
      </c>
      <c r="I124" s="467">
        <v>0</v>
      </c>
      <c r="J124" s="467">
        <v>0</v>
      </c>
      <c r="K124" s="1684">
        <f>SUM(C124:J124)</f>
        <v>2088149</v>
      </c>
      <c r="L124" s="466">
        <v>2180220</v>
      </c>
    </row>
    <row r="125" spans="1:14" ht="14.25" thickTop="1" thickBot="1" x14ac:dyDescent="0.25">
      <c r="A125" s="1523" t="s">
        <v>1009</v>
      </c>
      <c r="B125" s="613">
        <v>2550</v>
      </c>
      <c r="C125" s="466">
        <v>0</v>
      </c>
      <c r="D125" s="466">
        <v>0</v>
      </c>
      <c r="E125" s="466">
        <v>0</v>
      </c>
      <c r="F125" s="466">
        <v>0</v>
      </c>
      <c r="G125" s="466">
        <v>0</v>
      </c>
      <c r="H125" s="466">
        <v>0</v>
      </c>
      <c r="I125" s="467">
        <v>0</v>
      </c>
      <c r="J125" s="467">
        <v>0</v>
      </c>
      <c r="K125" s="1684">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4">
        <f>SUM(C126:J126)</f>
        <v>0</v>
      </c>
      <c r="L126" s="466">
        <v>0</v>
      </c>
    </row>
    <row r="127" spans="1:14" ht="12.75" customHeight="1" thickTop="1" thickBot="1" x14ac:dyDescent="0.25">
      <c r="A127" s="1682" t="s">
        <v>742</v>
      </c>
      <c r="B127" s="1683" t="s">
        <v>35</v>
      </c>
      <c r="C127" s="1684">
        <f>SUM(C122:C126)</f>
        <v>912154</v>
      </c>
      <c r="D127" s="1684">
        <f t="shared" ref="D127:L127" si="14">SUM(D122:D126)</f>
        <v>141282</v>
      </c>
      <c r="E127" s="1684">
        <f t="shared" si="14"/>
        <v>259695</v>
      </c>
      <c r="F127" s="1684">
        <f t="shared" si="14"/>
        <v>694678</v>
      </c>
      <c r="G127" s="1684">
        <f t="shared" si="14"/>
        <v>80340</v>
      </c>
      <c r="H127" s="1684">
        <f t="shared" si="14"/>
        <v>0</v>
      </c>
      <c r="I127" s="1684">
        <f t="shared" si="14"/>
        <v>0</v>
      </c>
      <c r="J127" s="1684">
        <f t="shared" si="14"/>
        <v>0</v>
      </c>
      <c r="K127" s="1684">
        <f t="shared" si="14"/>
        <v>2088149</v>
      </c>
      <c r="L127" s="1684">
        <f t="shared" si="14"/>
        <v>2190320</v>
      </c>
    </row>
    <row r="128" spans="1:14" ht="12.75" customHeight="1" thickTop="1" x14ac:dyDescent="0.2">
      <c r="A128" s="1530" t="s">
        <v>1036</v>
      </c>
      <c r="B128" s="654" t="s">
        <v>594</v>
      </c>
      <c r="C128" s="655">
        <v>0</v>
      </c>
      <c r="D128" s="655">
        <v>0</v>
      </c>
      <c r="E128" s="655">
        <v>0</v>
      </c>
      <c r="F128" s="655">
        <v>0</v>
      </c>
      <c r="G128" s="655">
        <v>0</v>
      </c>
      <c r="H128" s="655">
        <v>0</v>
      </c>
      <c r="I128" s="533">
        <v>0</v>
      </c>
      <c r="J128" s="533">
        <v>0</v>
      </c>
      <c r="K128" s="1699">
        <f>SUM(C128:J128)</f>
        <v>0</v>
      </c>
      <c r="L128" s="655">
        <v>0</v>
      </c>
    </row>
    <row r="129" spans="1:14" ht="12.75" customHeight="1" thickBot="1" x14ac:dyDescent="0.25">
      <c r="A129" s="1700" t="s">
        <v>864</v>
      </c>
      <c r="B129" s="1701" t="s">
        <v>589</v>
      </c>
      <c r="C129" s="1691">
        <f>SUM(C120,C127,C128)</f>
        <v>912154</v>
      </c>
      <c r="D129" s="1691">
        <f t="shared" ref="D129:L129" si="15">SUM(D120,D127,D128)</f>
        <v>141282</v>
      </c>
      <c r="E129" s="1691">
        <f t="shared" si="15"/>
        <v>259695</v>
      </c>
      <c r="F129" s="1691">
        <f t="shared" si="15"/>
        <v>694678</v>
      </c>
      <c r="G129" s="1691">
        <f t="shared" si="15"/>
        <v>80340</v>
      </c>
      <c r="H129" s="1691">
        <f t="shared" si="15"/>
        <v>0</v>
      </c>
      <c r="I129" s="1691">
        <f t="shared" si="15"/>
        <v>0</v>
      </c>
      <c r="J129" s="1691">
        <f t="shared" si="15"/>
        <v>0</v>
      </c>
      <c r="K129" s="1691">
        <f t="shared" si="15"/>
        <v>2088149</v>
      </c>
      <c r="L129" s="1691">
        <f t="shared" si="15"/>
        <v>2190320</v>
      </c>
    </row>
    <row r="130" spans="1:14" ht="15.75" customHeight="1" thickTop="1" thickBot="1" x14ac:dyDescent="0.25">
      <c r="A130" s="1629" t="s">
        <v>1095</v>
      </c>
      <c r="B130" s="1630" t="s">
        <v>595</v>
      </c>
      <c r="C130" s="574">
        <v>0</v>
      </c>
      <c r="D130" s="574">
        <v>0</v>
      </c>
      <c r="E130" s="574">
        <v>0</v>
      </c>
      <c r="F130" s="574">
        <v>0</v>
      </c>
      <c r="G130" s="574">
        <v>0</v>
      </c>
      <c r="H130" s="574">
        <v>0</v>
      </c>
      <c r="I130" s="529">
        <v>0</v>
      </c>
      <c r="J130" s="529">
        <v>0</v>
      </c>
      <c r="K130" s="1684">
        <f>SUM(C130:J130)</f>
        <v>0</v>
      </c>
      <c r="L130" s="574">
        <v>0</v>
      </c>
    </row>
    <row r="131" spans="1:14" ht="15.75" customHeight="1" thickTop="1" x14ac:dyDescent="0.2">
      <c r="A131" s="1635" t="s">
        <v>636</v>
      </c>
      <c r="B131" s="1628"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09" t="s">
        <v>516</v>
      </c>
      <c r="B133" s="1856" t="s">
        <v>1951</v>
      </c>
      <c r="C133" s="468"/>
      <c r="D133" s="468"/>
      <c r="E133" s="640">
        <v>0</v>
      </c>
      <c r="F133" s="468"/>
      <c r="G133" s="468"/>
      <c r="H133" s="640">
        <v>0</v>
      </c>
      <c r="I133" s="468"/>
      <c r="J133" s="468"/>
      <c r="K133" s="1836">
        <f>SUM(E133,H133)</f>
        <v>0</v>
      </c>
      <c r="L133" s="640">
        <v>0</v>
      </c>
      <c r="M133" s="206"/>
      <c r="N133" s="206"/>
    </row>
    <row r="134" spans="1:14" x14ac:dyDescent="0.2">
      <c r="A134" s="1523" t="s">
        <v>321</v>
      </c>
      <c r="B134" s="613">
        <v>4120</v>
      </c>
      <c r="C134" s="615"/>
      <c r="D134" s="615"/>
      <c r="E134" s="477">
        <v>0</v>
      </c>
      <c r="F134" s="615"/>
      <c r="G134" s="615"/>
      <c r="H134" s="480">
        <v>0</v>
      </c>
      <c r="I134" s="476"/>
      <c r="J134" s="615"/>
      <c r="K134" s="1686">
        <f>SUM(E134,H134)</f>
        <v>0</v>
      </c>
      <c r="L134" s="640">
        <v>0</v>
      </c>
    </row>
    <row r="135" spans="1:14" x14ac:dyDescent="0.2">
      <c r="A135" s="1523" t="s">
        <v>720</v>
      </c>
      <c r="B135" s="613">
        <v>4140</v>
      </c>
      <c r="C135" s="615"/>
      <c r="D135" s="615"/>
      <c r="E135" s="467">
        <v>0</v>
      </c>
      <c r="F135" s="615"/>
      <c r="G135" s="615"/>
      <c r="H135" s="466">
        <v>0</v>
      </c>
      <c r="I135" s="476"/>
      <c r="J135" s="615"/>
      <c r="K135" s="1686">
        <f>SUM(E135,H135)</f>
        <v>0</v>
      </c>
      <c r="L135" s="466">
        <v>0</v>
      </c>
    </row>
    <row r="136" spans="1:14" x14ac:dyDescent="0.2">
      <c r="A136" s="1527" t="s">
        <v>721</v>
      </c>
      <c r="B136" s="627">
        <v>4190</v>
      </c>
      <c r="C136" s="615"/>
      <c r="D136" s="615"/>
      <c r="E136" s="467">
        <v>0</v>
      </c>
      <c r="F136" s="615"/>
      <c r="G136" s="615"/>
      <c r="H136" s="466">
        <v>0</v>
      </c>
      <c r="I136" s="476"/>
      <c r="J136" s="615"/>
      <c r="K136" s="1686">
        <f>SUM(E136,H136)</f>
        <v>0</v>
      </c>
      <c r="L136" s="466">
        <v>0</v>
      </c>
    </row>
    <row r="137" spans="1:14" ht="12.75" customHeight="1" thickBot="1" x14ac:dyDescent="0.25">
      <c r="A137" s="1682" t="s">
        <v>500</v>
      </c>
      <c r="B137" s="1692">
        <v>4100</v>
      </c>
      <c r="C137" s="615"/>
      <c r="D137" s="615"/>
      <c r="E137" s="1684">
        <f>SUM(E133:E136)</f>
        <v>0</v>
      </c>
      <c r="F137" s="615"/>
      <c r="G137" s="615"/>
      <c r="H137" s="1684">
        <f>SUM(H133:H136)</f>
        <v>0</v>
      </c>
      <c r="I137" s="476"/>
      <c r="J137" s="615"/>
      <c r="K137" s="1684">
        <f>SUM(K133:K136)</f>
        <v>0</v>
      </c>
      <c r="L137" s="1684">
        <f>SUM(L133:L136)</f>
        <v>0</v>
      </c>
    </row>
    <row r="138" spans="1:14" ht="12.75" customHeight="1" thickTop="1" thickBot="1" x14ac:dyDescent="0.25">
      <c r="A138" s="1529" t="s">
        <v>98</v>
      </c>
      <c r="B138" s="642" t="s">
        <v>987</v>
      </c>
      <c r="C138" s="615"/>
      <c r="D138" s="615"/>
      <c r="E138" s="478">
        <v>0</v>
      </c>
      <c r="F138" s="615"/>
      <c r="G138" s="615"/>
      <c r="H138" s="574">
        <v>0</v>
      </c>
      <c r="I138" s="476"/>
      <c r="J138" s="615"/>
      <c r="K138" s="1686">
        <f>SUM(E138,H138)</f>
        <v>0</v>
      </c>
      <c r="L138" s="574">
        <v>0</v>
      </c>
    </row>
    <row r="139" spans="1:14" ht="12.75" customHeight="1" thickTop="1" thickBot="1" x14ac:dyDescent="0.25">
      <c r="A139" s="1682" t="s">
        <v>1566</v>
      </c>
      <c r="B139" s="1692">
        <v>4000</v>
      </c>
      <c r="C139" s="615"/>
      <c r="D139" s="615"/>
      <c r="E139" s="1684">
        <f>SUM(E137,E138)</f>
        <v>0</v>
      </c>
      <c r="F139" s="615"/>
      <c r="G139" s="615"/>
      <c r="H139" s="1693">
        <f>SUM(H137:H138)</f>
        <v>0</v>
      </c>
      <c r="I139" s="476"/>
      <c r="J139" s="615"/>
      <c r="K139" s="1686">
        <f>SUM(K137,K138)</f>
        <v>0</v>
      </c>
      <c r="L139" s="1693">
        <f>SUM(L137,L138)</f>
        <v>0</v>
      </c>
    </row>
    <row r="140" spans="1:14" ht="15.75" customHeight="1" thickTop="1" x14ac:dyDescent="0.2">
      <c r="A140" s="1631" t="s">
        <v>1096</v>
      </c>
      <c r="B140" s="1632"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86">
        <f>SUM(H142)</f>
        <v>0</v>
      </c>
      <c r="L142" s="480">
        <v>0</v>
      </c>
    </row>
    <row r="143" spans="1:14" x14ac:dyDescent="0.2">
      <c r="A143" s="1523" t="s">
        <v>90</v>
      </c>
      <c r="B143" s="613">
        <v>5120</v>
      </c>
      <c r="C143" s="615"/>
      <c r="D143" s="615"/>
      <c r="E143" s="615"/>
      <c r="F143" s="615"/>
      <c r="G143" s="615"/>
      <c r="H143" s="466">
        <v>0</v>
      </c>
      <c r="I143" s="468"/>
      <c r="J143" s="615"/>
      <c r="K143" s="1686">
        <f>SUM(H143)</f>
        <v>0</v>
      </c>
      <c r="L143" s="466">
        <v>0</v>
      </c>
    </row>
    <row r="144" spans="1:14" ht="12.75" customHeight="1" x14ac:dyDescent="0.2">
      <c r="A144" s="1523" t="s">
        <v>1231</v>
      </c>
      <c r="B144" s="627" t="s">
        <v>637</v>
      </c>
      <c r="C144" s="615"/>
      <c r="D144" s="615"/>
      <c r="E144" s="615"/>
      <c r="F144" s="615"/>
      <c r="G144" s="615"/>
      <c r="H144" s="466">
        <v>0</v>
      </c>
      <c r="I144" s="468"/>
      <c r="J144" s="615"/>
      <c r="K144" s="1686">
        <f>SUM(H144)</f>
        <v>0</v>
      </c>
      <c r="L144" s="466">
        <v>0</v>
      </c>
    </row>
    <row r="145" spans="1:14" x14ac:dyDescent="0.2">
      <c r="A145" s="1523" t="s">
        <v>91</v>
      </c>
      <c r="B145" s="613" t="s">
        <v>609</v>
      </c>
      <c r="C145" s="615"/>
      <c r="D145" s="615"/>
      <c r="E145" s="615"/>
      <c r="F145" s="615"/>
      <c r="G145" s="615"/>
      <c r="H145" s="466">
        <v>0</v>
      </c>
      <c r="I145" s="468"/>
      <c r="J145" s="615"/>
      <c r="K145" s="1686">
        <f>SUM(H145)</f>
        <v>0</v>
      </c>
      <c r="L145" s="466">
        <v>0</v>
      </c>
    </row>
    <row r="146" spans="1:14" ht="12.75" customHeight="1" x14ac:dyDescent="0.2">
      <c r="A146" s="1523" t="s">
        <v>639</v>
      </c>
      <c r="B146" s="613" t="s">
        <v>638</v>
      </c>
      <c r="C146" s="615"/>
      <c r="D146" s="615"/>
      <c r="E146" s="615"/>
      <c r="F146" s="615"/>
      <c r="G146" s="615"/>
      <c r="H146" s="466">
        <v>0</v>
      </c>
      <c r="I146" s="468"/>
      <c r="J146" s="615"/>
      <c r="K146" s="1686">
        <f>SUM(H146)</f>
        <v>0</v>
      </c>
      <c r="L146" s="466">
        <v>0</v>
      </c>
    </row>
    <row r="147" spans="1:14" ht="12.75" customHeight="1" thickBot="1" x14ac:dyDescent="0.25">
      <c r="A147" s="1534" t="s">
        <v>646</v>
      </c>
      <c r="B147" s="658" t="s">
        <v>741</v>
      </c>
      <c r="C147" s="615"/>
      <c r="D147" s="615"/>
      <c r="E147" s="615"/>
      <c r="F147" s="615"/>
      <c r="G147" s="615"/>
      <c r="H147" s="1702">
        <f>SUM(H142:H146)</f>
        <v>0</v>
      </c>
      <c r="I147" s="468"/>
      <c r="J147" s="615"/>
      <c r="K147" s="1684">
        <f>SUM(K142:K146)</f>
        <v>0</v>
      </c>
      <c r="L147" s="1702">
        <f>SUM(L142:L146)</f>
        <v>0</v>
      </c>
    </row>
    <row r="148" spans="1:14" ht="15.75" customHeight="1" thickTop="1" x14ac:dyDescent="0.2">
      <c r="A148" s="659" t="s">
        <v>1164</v>
      </c>
      <c r="B148" s="660" t="s">
        <v>38</v>
      </c>
      <c r="C148" s="615"/>
      <c r="D148" s="615"/>
      <c r="E148" s="615"/>
      <c r="F148" s="615"/>
      <c r="G148" s="615"/>
      <c r="H148" s="478">
        <v>0</v>
      </c>
      <c r="I148" s="468"/>
      <c r="J148" s="615"/>
      <c r="K148" s="1686">
        <f>SUM(H148)</f>
        <v>0</v>
      </c>
      <c r="L148" s="490">
        <v>0</v>
      </c>
    </row>
    <row r="149" spans="1:14" ht="12.75" customHeight="1" thickBot="1" x14ac:dyDescent="0.25">
      <c r="A149" s="1526" t="s">
        <v>658</v>
      </c>
      <c r="B149" s="616" t="s">
        <v>512</v>
      </c>
      <c r="C149" s="615"/>
      <c r="D149" s="615"/>
      <c r="E149" s="615"/>
      <c r="F149" s="615"/>
      <c r="G149" s="615"/>
      <c r="H149" s="1684">
        <f>SUM(H147,H148)</f>
        <v>0</v>
      </c>
      <c r="I149" s="468"/>
      <c r="J149" s="615"/>
      <c r="K149" s="1684">
        <f>SUM(K147:K148)</f>
        <v>0</v>
      </c>
      <c r="L149" s="1684">
        <f>SUM(L142:L146,L148)</f>
        <v>0</v>
      </c>
    </row>
    <row r="150" spans="1:14" ht="15.75" customHeight="1" thickTop="1" thickBot="1" x14ac:dyDescent="0.25">
      <c r="A150" s="1625" t="s">
        <v>1097</v>
      </c>
      <c r="B150" s="1632" t="s">
        <v>915</v>
      </c>
      <c r="C150" s="615"/>
      <c r="D150" s="615"/>
      <c r="E150" s="615"/>
      <c r="F150" s="615"/>
      <c r="G150" s="615"/>
      <c r="H150" s="661"/>
      <c r="I150" s="519"/>
      <c r="J150" s="615"/>
      <c r="K150" s="622"/>
      <c r="L150" s="571">
        <v>0</v>
      </c>
    </row>
    <row r="151" spans="1:14" ht="12.75" customHeight="1" thickTop="1" thickBot="1" x14ac:dyDescent="0.25">
      <c r="A151" s="2316" t="s">
        <v>640</v>
      </c>
      <c r="B151" s="2298"/>
      <c r="C151" s="1684">
        <f>SUM(C129,C130,C139,C149,C150)</f>
        <v>912154</v>
      </c>
      <c r="D151" s="1684">
        <f t="shared" ref="D151:K151" si="16">SUM(D129,D130,D139,D149,D150)</f>
        <v>141282</v>
      </c>
      <c r="E151" s="1684">
        <f t="shared" si="16"/>
        <v>259695</v>
      </c>
      <c r="F151" s="1684">
        <f t="shared" si="16"/>
        <v>694678</v>
      </c>
      <c r="G151" s="1684">
        <f t="shared" si="16"/>
        <v>80340</v>
      </c>
      <c r="H151" s="1684">
        <f t="shared" si="16"/>
        <v>0</v>
      </c>
      <c r="I151" s="1684">
        <f t="shared" si="16"/>
        <v>0</v>
      </c>
      <c r="J151" s="1684">
        <f t="shared" si="16"/>
        <v>0</v>
      </c>
      <c r="K151" s="1684">
        <f t="shared" si="16"/>
        <v>2088149</v>
      </c>
      <c r="L151" s="1684">
        <f>SUM(L129,L130,L139,L149,L150)</f>
        <v>2190320</v>
      </c>
    </row>
    <row r="152" spans="1:14" ht="12.75" customHeight="1" thickTop="1" x14ac:dyDescent="0.2">
      <c r="A152" s="2319" t="s">
        <v>1239</v>
      </c>
      <c r="B152" s="2320"/>
      <c r="C152" s="617"/>
      <c r="D152" s="617"/>
      <c r="E152" s="617"/>
      <c r="F152" s="617"/>
      <c r="G152" s="617"/>
      <c r="H152" s="617"/>
      <c r="I152" s="617"/>
      <c r="J152" s="615"/>
      <c r="K152" s="1698">
        <f>'Revenues 9-14'!D275-'Expenditures 15-22'!K151</f>
        <v>-261039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04" t="s">
        <v>641</v>
      </c>
      <c r="B154" s="2306"/>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914</v>
      </c>
      <c r="C155" s="615"/>
      <c r="D155" s="615"/>
      <c r="E155" s="615"/>
      <c r="F155" s="615"/>
      <c r="G155" s="615"/>
      <c r="H155" s="1857"/>
      <c r="I155" s="615"/>
      <c r="J155" s="615"/>
      <c r="K155" s="1840"/>
      <c r="L155" s="1857"/>
      <c r="M155" s="618"/>
      <c r="N155" s="618"/>
    </row>
    <row r="156" spans="1:14" s="619" customFormat="1" ht="15.75" customHeight="1" thickTop="1" x14ac:dyDescent="0.2">
      <c r="A156" s="1837" t="s">
        <v>1952</v>
      </c>
      <c r="B156" s="1838"/>
      <c r="C156" s="615"/>
      <c r="D156" s="615"/>
      <c r="E156" s="615"/>
      <c r="F156" s="615"/>
      <c r="G156" s="615"/>
      <c r="H156" s="1858"/>
      <c r="I156" s="615"/>
      <c r="J156" s="615"/>
      <c r="K156" s="1839"/>
      <c r="L156" s="1858"/>
      <c r="M156" s="618"/>
      <c r="N156" s="618"/>
    </row>
    <row r="157" spans="1:14" s="619" customFormat="1" ht="12" x14ac:dyDescent="0.2">
      <c r="A157" s="1841" t="s">
        <v>516</v>
      </c>
      <c r="B157" s="1842" t="s">
        <v>1951</v>
      </c>
      <c r="C157" s="615"/>
      <c r="D157" s="615"/>
      <c r="E157" s="615"/>
      <c r="F157" s="615"/>
      <c r="G157" s="615"/>
      <c r="H157" s="640">
        <v>0</v>
      </c>
      <c r="I157" s="615"/>
      <c r="J157" s="615"/>
      <c r="K157" s="1685">
        <f>H157</f>
        <v>0</v>
      </c>
      <c r="L157" s="640">
        <v>0</v>
      </c>
      <c r="M157" s="618"/>
      <c r="N157" s="618"/>
    </row>
    <row r="158" spans="1:14" s="619" customFormat="1" ht="12" x14ac:dyDescent="0.2">
      <c r="A158" s="1841" t="s">
        <v>321</v>
      </c>
      <c r="B158" s="1842" t="s">
        <v>1953</v>
      </c>
      <c r="C158" s="615"/>
      <c r="D158" s="615"/>
      <c r="E158" s="615"/>
      <c r="F158" s="615"/>
      <c r="G158" s="615"/>
      <c r="H158" s="467">
        <v>0</v>
      </c>
      <c r="I158" s="615"/>
      <c r="J158" s="615"/>
      <c r="K158" s="1685">
        <f>H158</f>
        <v>0</v>
      </c>
      <c r="L158" s="467">
        <v>0</v>
      </c>
      <c r="M158" s="618"/>
      <c r="N158" s="618"/>
    </row>
    <row r="159" spans="1:14" s="619" customFormat="1" ht="12" x14ac:dyDescent="0.2">
      <c r="A159" s="1841" t="s">
        <v>1954</v>
      </c>
      <c r="B159" s="1842" t="s">
        <v>578</v>
      </c>
      <c r="C159" s="615"/>
      <c r="D159" s="615"/>
      <c r="E159" s="615"/>
      <c r="F159" s="615"/>
      <c r="G159" s="615"/>
      <c r="H159" s="467">
        <v>0</v>
      </c>
      <c r="I159" s="615"/>
      <c r="J159" s="615"/>
      <c r="K159" s="1685">
        <f>H159</f>
        <v>0</v>
      </c>
      <c r="L159" s="467">
        <v>0</v>
      </c>
      <c r="M159" s="618"/>
      <c r="N159" s="618"/>
    </row>
    <row r="160" spans="1:14" s="619" customFormat="1" ht="15.75" customHeight="1" thickBot="1" x14ac:dyDescent="0.25">
      <c r="A160" s="1843" t="s">
        <v>1955</v>
      </c>
      <c r="B160" s="1844" t="s">
        <v>914</v>
      </c>
      <c r="C160" s="615"/>
      <c r="D160" s="615"/>
      <c r="E160" s="615"/>
      <c r="F160" s="615"/>
      <c r="G160" s="615"/>
      <c r="H160" s="1702">
        <f>SUM(H157:H159)</f>
        <v>0</v>
      </c>
      <c r="I160" s="615"/>
      <c r="J160" s="615"/>
      <c r="K160" s="1684">
        <f>SUM(K157:K159)</f>
        <v>0</v>
      </c>
      <c r="L160" s="1702">
        <f>SUM(L157:L159)</f>
        <v>0</v>
      </c>
      <c r="M160" s="618"/>
      <c r="N160" s="618"/>
    </row>
    <row r="161" spans="1:14" s="259" customFormat="1" ht="15.75" customHeight="1" thickTop="1" x14ac:dyDescent="0.2">
      <c r="A161" s="1631" t="s">
        <v>84</v>
      </c>
      <c r="B161" s="1632"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85">
        <f>SUM(C163:J163)</f>
        <v>0</v>
      </c>
      <c r="L163" s="640">
        <v>0</v>
      </c>
    </row>
    <row r="164" spans="1:14" x14ac:dyDescent="0.2">
      <c r="A164" s="1523" t="s">
        <v>90</v>
      </c>
      <c r="B164" s="613">
        <v>5120</v>
      </c>
      <c r="C164" s="615"/>
      <c r="D164" s="615"/>
      <c r="E164" s="615"/>
      <c r="F164" s="615"/>
      <c r="G164" s="615"/>
      <c r="H164" s="466">
        <v>0</v>
      </c>
      <c r="I164" s="615"/>
      <c r="J164" s="615"/>
      <c r="K164" s="1685">
        <f>SUM(C164:J164)</f>
        <v>0</v>
      </c>
      <c r="L164" s="466">
        <v>0</v>
      </c>
    </row>
    <row r="165" spans="1:14" ht="12.75" customHeight="1" x14ac:dyDescent="0.2">
      <c r="A165" s="1523" t="s">
        <v>1231</v>
      </c>
      <c r="B165" s="613" t="s">
        <v>637</v>
      </c>
      <c r="C165" s="615"/>
      <c r="D165" s="615"/>
      <c r="E165" s="615"/>
      <c r="F165" s="615"/>
      <c r="G165" s="615"/>
      <c r="H165" s="466">
        <v>0</v>
      </c>
      <c r="I165" s="615"/>
      <c r="J165" s="615"/>
      <c r="K165" s="1685">
        <f>SUM(C165:J165)</f>
        <v>0</v>
      </c>
      <c r="L165" s="466">
        <v>0</v>
      </c>
    </row>
    <row r="166" spans="1:14" x14ac:dyDescent="0.2">
      <c r="A166" s="1523" t="s">
        <v>91</v>
      </c>
      <c r="B166" s="627" t="s">
        <v>609</v>
      </c>
      <c r="C166" s="615"/>
      <c r="D166" s="615"/>
      <c r="E166" s="615"/>
      <c r="F166" s="615"/>
      <c r="G166" s="615"/>
      <c r="H166" s="466">
        <v>0</v>
      </c>
      <c r="I166" s="615"/>
      <c r="J166" s="615"/>
      <c r="K166" s="1685">
        <f>SUM(C166:J166)</f>
        <v>0</v>
      </c>
      <c r="L166" s="466">
        <v>0</v>
      </c>
    </row>
    <row r="167" spans="1:14" ht="12.75" customHeight="1" x14ac:dyDescent="0.2">
      <c r="A167" s="1523" t="s">
        <v>639</v>
      </c>
      <c r="B167" s="613" t="s">
        <v>638</v>
      </c>
      <c r="C167" s="615"/>
      <c r="D167" s="615"/>
      <c r="E167" s="615"/>
      <c r="F167" s="615"/>
      <c r="G167" s="615"/>
      <c r="H167" s="466">
        <v>0</v>
      </c>
      <c r="I167" s="615"/>
      <c r="J167" s="615"/>
      <c r="K167" s="1685">
        <f>SUM(C167:J167)</f>
        <v>0</v>
      </c>
      <c r="L167" s="466">
        <v>0</v>
      </c>
    </row>
    <row r="168" spans="1:14" ht="13.5" thickBot="1" x14ac:dyDescent="0.25">
      <c r="A168" s="1682" t="s">
        <v>293</v>
      </c>
      <c r="B168" s="1689" t="s">
        <v>741</v>
      </c>
      <c r="C168" s="615"/>
      <c r="D168" s="615"/>
      <c r="E168" s="615"/>
      <c r="F168" s="615"/>
      <c r="G168" s="615"/>
      <c r="H168" s="1684">
        <f>SUM(H163:H167)</f>
        <v>0</v>
      </c>
      <c r="I168" s="615"/>
      <c r="J168" s="615"/>
      <c r="K168" s="1684">
        <f>SUM(K163:K167)</f>
        <v>0</v>
      </c>
      <c r="L168" s="1684">
        <f>SUM(L163:L167)</f>
        <v>0</v>
      </c>
    </row>
    <row r="169" spans="1:14" ht="15.75" customHeight="1" thickTop="1" x14ac:dyDescent="0.2">
      <c r="A169" s="668" t="s">
        <v>85</v>
      </c>
      <c r="B169" s="669" t="s">
        <v>38</v>
      </c>
      <c r="C169" s="615"/>
      <c r="D169" s="615"/>
      <c r="E169" s="615"/>
      <c r="F169" s="615"/>
      <c r="G169" s="615"/>
      <c r="H169" s="655">
        <v>1424182</v>
      </c>
      <c r="I169" s="615"/>
      <c r="J169" s="615"/>
      <c r="K169" s="1685">
        <f>SUM(C169:H169)</f>
        <v>1424182</v>
      </c>
      <c r="L169" s="655">
        <v>3215698</v>
      </c>
    </row>
    <row r="170" spans="1:14" ht="33.75" customHeight="1" x14ac:dyDescent="0.2">
      <c r="A170" s="668" t="s">
        <v>1767</v>
      </c>
      <c r="B170" s="670" t="s">
        <v>31</v>
      </c>
      <c r="C170" s="615"/>
      <c r="D170" s="615"/>
      <c r="E170" s="615"/>
      <c r="F170" s="615"/>
      <c r="G170" s="615"/>
      <c r="H170" s="567">
        <v>1813211</v>
      </c>
      <c r="I170" s="615"/>
      <c r="J170" s="615"/>
      <c r="K170" s="1685">
        <f>SUM(C170:J170)</f>
        <v>1813211</v>
      </c>
      <c r="L170" s="567">
        <v>0</v>
      </c>
    </row>
    <row r="171" spans="1:14" ht="15.75" customHeight="1" x14ac:dyDescent="0.2">
      <c r="A171" s="620" t="s">
        <v>789</v>
      </c>
      <c r="B171" s="671" t="s">
        <v>86</v>
      </c>
      <c r="C171" s="615"/>
      <c r="D171" s="615"/>
      <c r="E171" s="466">
        <v>0</v>
      </c>
      <c r="F171" s="615"/>
      <c r="G171" s="615"/>
      <c r="H171" s="567">
        <v>954</v>
      </c>
      <c r="I171" s="476"/>
      <c r="J171" s="615"/>
      <c r="K171" s="1685">
        <f>SUM(C171:J171)</f>
        <v>954</v>
      </c>
      <c r="L171" s="567">
        <v>0</v>
      </c>
    </row>
    <row r="172" spans="1:14" ht="12.75" customHeight="1" thickBot="1" x14ac:dyDescent="0.25">
      <c r="A172" s="1682" t="s">
        <v>658</v>
      </c>
      <c r="B172" s="1683" t="s">
        <v>512</v>
      </c>
      <c r="C172" s="615"/>
      <c r="D172" s="615"/>
      <c r="E172" s="1691">
        <f>SUM(E168,E169,E170,E171)</f>
        <v>0</v>
      </c>
      <c r="F172" s="615"/>
      <c r="G172" s="615"/>
      <c r="H172" s="1691">
        <f>SUM(H168,H169,H170,H171)</f>
        <v>3238347</v>
      </c>
      <c r="I172" s="637"/>
      <c r="J172" s="615"/>
      <c r="K172" s="1691">
        <f>SUM(K168,K169,K170,K171)</f>
        <v>3238347</v>
      </c>
      <c r="L172" s="1691">
        <f>SUM(L168,L169,L170,L171)</f>
        <v>3215698</v>
      </c>
    </row>
    <row r="173" spans="1:14" ht="15.75" customHeight="1" thickTop="1" thickBot="1" x14ac:dyDescent="0.25">
      <c r="A173" s="1638" t="s">
        <v>87</v>
      </c>
      <c r="B173" s="1630" t="s">
        <v>915</v>
      </c>
      <c r="C173" s="615"/>
      <c r="D173" s="615"/>
      <c r="E173" s="622"/>
      <c r="F173" s="615"/>
      <c r="G173" s="615"/>
      <c r="H173" s="625"/>
      <c r="I173" s="637"/>
      <c r="J173" s="615"/>
      <c r="K173" s="622"/>
      <c r="L173" s="574">
        <v>0</v>
      </c>
    </row>
    <row r="174" spans="1:14" ht="12.75" customHeight="1" thickTop="1" thickBot="1" x14ac:dyDescent="0.25">
      <c r="A174" s="1703" t="s">
        <v>92</v>
      </c>
      <c r="B174" s="1704"/>
      <c r="C174" s="615"/>
      <c r="D174" s="615"/>
      <c r="E174" s="1691">
        <f>SUM(E155,E172,E173)</f>
        <v>0</v>
      </c>
      <c r="F174" s="615"/>
      <c r="G174" s="615"/>
      <c r="H174" s="1691">
        <f>SUM(H160,H172,H173)</f>
        <v>3238347</v>
      </c>
      <c r="I174" s="637"/>
      <c r="J174" s="615"/>
      <c r="K174" s="1691">
        <f>SUM(K160,K172,K173)</f>
        <v>3238347</v>
      </c>
      <c r="L174" s="1691">
        <f>SUM(L160,L172,L173)</f>
        <v>3215698</v>
      </c>
    </row>
    <row r="175" spans="1:14" ht="13.5" thickTop="1" x14ac:dyDescent="0.2">
      <c r="A175" s="2326" t="s">
        <v>1052</v>
      </c>
      <c r="B175" s="2327"/>
      <c r="C175" s="615"/>
      <c r="D175" s="615"/>
      <c r="E175" s="615"/>
      <c r="F175" s="615"/>
      <c r="G175" s="615"/>
      <c r="H175" s="617"/>
      <c r="I175" s="615"/>
      <c r="J175" s="615"/>
      <c r="K175" s="1698">
        <f>'Revenues 9-14'!E275-'Expenditures 15-22'!K174</f>
        <v>-736571</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993</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994</v>
      </c>
      <c r="B178" s="1640"/>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85">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3" t="s">
        <v>1009</v>
      </c>
      <c r="B182" s="613">
        <v>2550</v>
      </c>
      <c r="C182" s="467">
        <v>14486</v>
      </c>
      <c r="D182" s="467">
        <v>0</v>
      </c>
      <c r="E182" s="467">
        <v>1702289</v>
      </c>
      <c r="F182" s="467">
        <v>148647</v>
      </c>
      <c r="G182" s="467">
        <v>0</v>
      </c>
      <c r="H182" s="466">
        <v>12759</v>
      </c>
      <c r="I182" s="467">
        <v>0</v>
      </c>
      <c r="J182" s="467">
        <v>0</v>
      </c>
      <c r="K182" s="1685">
        <f>SUM(C182:J182)</f>
        <v>1878181</v>
      </c>
      <c r="L182" s="466">
        <v>1944690</v>
      </c>
    </row>
    <row r="183" spans="1:14" ht="12.75" customHeight="1" thickBot="1" x14ac:dyDescent="0.25">
      <c r="A183" s="1528" t="s">
        <v>1036</v>
      </c>
      <c r="B183" s="676">
        <v>2900</v>
      </c>
      <c r="C183" s="571">
        <v>0</v>
      </c>
      <c r="D183" s="571">
        <v>0</v>
      </c>
      <c r="E183" s="571">
        <v>0</v>
      </c>
      <c r="F183" s="571">
        <v>0</v>
      </c>
      <c r="G183" s="571">
        <v>0</v>
      </c>
      <c r="H183" s="571">
        <v>0</v>
      </c>
      <c r="I183" s="530">
        <v>0</v>
      </c>
      <c r="J183" s="530">
        <v>0</v>
      </c>
      <c r="K183" s="1691">
        <f>SUM(C183:J183)</f>
        <v>0</v>
      </c>
      <c r="L183" s="571">
        <v>0</v>
      </c>
    </row>
    <row r="184" spans="1:14" ht="12.75" customHeight="1" thickTop="1" thickBot="1" x14ac:dyDescent="0.25">
      <c r="A184" s="1705" t="s">
        <v>864</v>
      </c>
      <c r="B184" s="1683" t="s">
        <v>589</v>
      </c>
      <c r="C184" s="1691">
        <f>SUM(C180,C182,C183)</f>
        <v>14486</v>
      </c>
      <c r="D184" s="1691">
        <f t="shared" ref="D184:J184" si="17">SUM(D180,D182,D183)</f>
        <v>0</v>
      </c>
      <c r="E184" s="1691">
        <f t="shared" si="17"/>
        <v>1702289</v>
      </c>
      <c r="F184" s="1691">
        <f t="shared" si="17"/>
        <v>148647</v>
      </c>
      <c r="G184" s="1691">
        <f t="shared" si="17"/>
        <v>0</v>
      </c>
      <c r="H184" s="1691">
        <f t="shared" si="17"/>
        <v>12759</v>
      </c>
      <c r="I184" s="1691">
        <f t="shared" si="17"/>
        <v>0</v>
      </c>
      <c r="J184" s="1691">
        <f t="shared" si="17"/>
        <v>0</v>
      </c>
      <c r="K184" s="1691">
        <f>SUM(K180,K182,K183)</f>
        <v>1878181</v>
      </c>
      <c r="L184" s="1691">
        <f>SUM(L180, L182:L183)</f>
        <v>1944690</v>
      </c>
    </row>
    <row r="185" spans="1:14" ht="15.75" customHeight="1" thickTop="1" thickBot="1" x14ac:dyDescent="0.25">
      <c r="A185" s="1641" t="s">
        <v>995</v>
      </c>
      <c r="B185" s="1630">
        <v>3000</v>
      </c>
      <c r="C185" s="574">
        <v>0</v>
      </c>
      <c r="D185" s="574">
        <v>0</v>
      </c>
      <c r="E185" s="574">
        <v>0</v>
      </c>
      <c r="F185" s="574">
        <v>0</v>
      </c>
      <c r="G185" s="574">
        <v>0</v>
      </c>
      <c r="H185" s="574">
        <v>0</v>
      </c>
      <c r="I185" s="529">
        <v>0</v>
      </c>
      <c r="J185" s="529">
        <v>0</v>
      </c>
      <c r="K185" s="1684">
        <f>SUM(C185:J185)</f>
        <v>0</v>
      </c>
      <c r="L185" s="574">
        <v>0</v>
      </c>
    </row>
    <row r="186" spans="1:14" s="673" customFormat="1" ht="15.75" customHeight="1" thickTop="1" x14ac:dyDescent="0.2">
      <c r="A186" s="1625" t="s">
        <v>93</v>
      </c>
      <c r="B186" s="1628"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3" t="s">
        <v>516</v>
      </c>
      <c r="B188" s="613">
        <v>4110</v>
      </c>
      <c r="C188" s="615"/>
      <c r="D188" s="615"/>
      <c r="E188" s="466">
        <v>0</v>
      </c>
      <c r="F188" s="615"/>
      <c r="G188" s="615"/>
      <c r="H188" s="466">
        <v>0</v>
      </c>
      <c r="I188" s="476"/>
      <c r="J188" s="615"/>
      <c r="K188" s="1685">
        <f t="shared" ref="K188:K193" si="18">SUM(E188,H188)</f>
        <v>0</v>
      </c>
      <c r="L188" s="466">
        <v>0</v>
      </c>
    </row>
    <row r="189" spans="1:14" x14ac:dyDescent="0.2">
      <c r="A189" s="1523" t="s">
        <v>321</v>
      </c>
      <c r="B189" s="613">
        <v>4120</v>
      </c>
      <c r="C189" s="615"/>
      <c r="D189" s="615"/>
      <c r="E189" s="466">
        <v>0</v>
      </c>
      <c r="F189" s="615"/>
      <c r="G189" s="615"/>
      <c r="H189" s="466">
        <v>0</v>
      </c>
      <c r="I189" s="476"/>
      <c r="J189" s="615"/>
      <c r="K189" s="1685">
        <f t="shared" si="18"/>
        <v>0</v>
      </c>
      <c r="L189" s="466">
        <v>0</v>
      </c>
    </row>
    <row r="190" spans="1:14" x14ac:dyDescent="0.2">
      <c r="A190" s="1523" t="s">
        <v>322</v>
      </c>
      <c r="B190" s="627">
        <v>4130</v>
      </c>
      <c r="C190" s="615"/>
      <c r="D190" s="615"/>
      <c r="E190" s="466">
        <v>0</v>
      </c>
      <c r="F190" s="615"/>
      <c r="G190" s="615"/>
      <c r="H190" s="466">
        <v>0</v>
      </c>
      <c r="I190" s="476"/>
      <c r="J190" s="615"/>
      <c r="K190" s="1685">
        <f t="shared" si="18"/>
        <v>0</v>
      </c>
      <c r="L190" s="466">
        <v>0</v>
      </c>
    </row>
    <row r="191" spans="1:14" x14ac:dyDescent="0.2">
      <c r="A191" s="1523" t="s">
        <v>720</v>
      </c>
      <c r="B191" s="613">
        <v>4140</v>
      </c>
      <c r="C191" s="615"/>
      <c r="D191" s="615"/>
      <c r="E191" s="466">
        <v>0</v>
      </c>
      <c r="F191" s="615"/>
      <c r="G191" s="615"/>
      <c r="H191" s="466">
        <v>0</v>
      </c>
      <c r="I191" s="476"/>
      <c r="J191" s="615"/>
      <c r="K191" s="1685">
        <f t="shared" si="18"/>
        <v>0</v>
      </c>
      <c r="L191" s="466">
        <v>0</v>
      </c>
    </row>
    <row r="192" spans="1:14" x14ac:dyDescent="0.2">
      <c r="A192" s="1523" t="s">
        <v>88</v>
      </c>
      <c r="B192" s="613">
        <v>4170</v>
      </c>
      <c r="C192" s="615"/>
      <c r="D192" s="615"/>
      <c r="E192" s="466">
        <v>0</v>
      </c>
      <c r="F192" s="615"/>
      <c r="G192" s="615"/>
      <c r="H192" s="466">
        <v>0</v>
      </c>
      <c r="I192" s="476"/>
      <c r="J192" s="615"/>
      <c r="K192" s="1685">
        <f t="shared" si="18"/>
        <v>0</v>
      </c>
      <c r="L192" s="466">
        <v>0</v>
      </c>
    </row>
    <row r="193" spans="1:14" x14ac:dyDescent="0.2">
      <c r="A193" s="1527" t="s">
        <v>721</v>
      </c>
      <c r="B193" s="627">
        <v>4190</v>
      </c>
      <c r="C193" s="615"/>
      <c r="D193" s="615"/>
      <c r="E193" s="466">
        <v>0</v>
      </c>
      <c r="F193" s="615"/>
      <c r="G193" s="615"/>
      <c r="H193" s="466">
        <v>0</v>
      </c>
      <c r="I193" s="476"/>
      <c r="J193" s="615"/>
      <c r="K193" s="1685">
        <f t="shared" si="18"/>
        <v>0</v>
      </c>
      <c r="L193" s="466">
        <v>0</v>
      </c>
    </row>
    <row r="194" spans="1:14" ht="12.75" customHeight="1" thickBot="1" x14ac:dyDescent="0.25">
      <c r="A194" s="1682" t="s">
        <v>1201</v>
      </c>
      <c r="B194" s="1683" t="s">
        <v>579</v>
      </c>
      <c r="C194" s="615"/>
      <c r="D194" s="615"/>
      <c r="E194" s="1684">
        <f>SUM(E188:E193)</f>
        <v>0</v>
      </c>
      <c r="F194" s="615"/>
      <c r="G194" s="615"/>
      <c r="H194" s="1684">
        <f>SUM(H188:H193)</f>
        <v>0</v>
      </c>
      <c r="I194" s="476"/>
      <c r="J194" s="615"/>
      <c r="K194" s="1684">
        <f>SUM(K188:K193)</f>
        <v>0</v>
      </c>
      <c r="L194" s="1684">
        <f>SUM(L188:L193)</f>
        <v>0</v>
      </c>
    </row>
    <row r="195" spans="1:14" ht="15.75" customHeight="1" thickTop="1" x14ac:dyDescent="0.2">
      <c r="A195" s="668" t="s">
        <v>94</v>
      </c>
      <c r="B195" s="677" t="s">
        <v>987</v>
      </c>
      <c r="C195" s="615"/>
      <c r="D195" s="615"/>
      <c r="E195" s="655">
        <v>0</v>
      </c>
      <c r="F195" s="615"/>
      <c r="G195" s="615"/>
      <c r="H195" s="655">
        <v>0</v>
      </c>
      <c r="I195" s="476"/>
      <c r="J195" s="615"/>
      <c r="K195" s="1699">
        <f>SUM(E195,H195)</f>
        <v>0</v>
      </c>
      <c r="L195" s="655">
        <v>0</v>
      </c>
    </row>
    <row r="196" spans="1:14" ht="12.75" customHeight="1" thickBot="1" x14ac:dyDescent="0.25">
      <c r="A196" s="1682" t="s">
        <v>1566</v>
      </c>
      <c r="B196" s="1683" t="s">
        <v>914</v>
      </c>
      <c r="C196" s="615"/>
      <c r="D196" s="615"/>
      <c r="E196" s="1691">
        <f>SUM(E194,E195)</f>
        <v>0</v>
      </c>
      <c r="F196" s="615"/>
      <c r="G196" s="615"/>
      <c r="H196" s="1691">
        <f>SUM(H194,H195)</f>
        <v>0</v>
      </c>
      <c r="I196" s="476"/>
      <c r="J196" s="615"/>
      <c r="K196" s="1691">
        <f>SUM(K194,K195)</f>
        <v>0</v>
      </c>
      <c r="L196" s="1691">
        <f>SUM(L194,L195)</f>
        <v>0</v>
      </c>
    </row>
    <row r="197" spans="1:14" s="673" customFormat="1" ht="15.75" customHeight="1" thickTop="1" x14ac:dyDescent="0.2">
      <c r="A197" s="1631" t="s">
        <v>996</v>
      </c>
      <c r="B197" s="1628"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85">
        <f>SUM(H199)</f>
        <v>0</v>
      </c>
      <c r="L199" s="466">
        <v>0</v>
      </c>
    </row>
    <row r="200" spans="1:14" x14ac:dyDescent="0.2">
      <c r="A200" s="1523" t="s">
        <v>90</v>
      </c>
      <c r="B200" s="613">
        <v>5120</v>
      </c>
      <c r="C200" s="615"/>
      <c r="D200" s="615"/>
      <c r="E200" s="615"/>
      <c r="F200" s="615"/>
      <c r="G200" s="615"/>
      <c r="H200" s="466">
        <v>0</v>
      </c>
      <c r="I200" s="615"/>
      <c r="J200" s="615"/>
      <c r="K200" s="1685">
        <f>SUM(H200)</f>
        <v>0</v>
      </c>
      <c r="L200" s="466">
        <v>0</v>
      </c>
    </row>
    <row r="201" spans="1:14" ht="12.75" customHeight="1" x14ac:dyDescent="0.2">
      <c r="A201" s="1523" t="s">
        <v>1231</v>
      </c>
      <c r="B201" s="627" t="s">
        <v>637</v>
      </c>
      <c r="C201" s="615"/>
      <c r="D201" s="615"/>
      <c r="E201" s="615"/>
      <c r="F201" s="615"/>
      <c r="G201" s="615"/>
      <c r="H201" s="466">
        <v>0</v>
      </c>
      <c r="I201" s="615"/>
      <c r="J201" s="615"/>
      <c r="K201" s="1685">
        <f>SUM(H201)</f>
        <v>0</v>
      </c>
      <c r="L201" s="466">
        <v>0</v>
      </c>
    </row>
    <row r="202" spans="1:14" x14ac:dyDescent="0.2">
      <c r="A202" s="1523" t="s">
        <v>91</v>
      </c>
      <c r="B202" s="613" t="s">
        <v>609</v>
      </c>
      <c r="C202" s="615"/>
      <c r="D202" s="615"/>
      <c r="E202" s="615"/>
      <c r="F202" s="615"/>
      <c r="G202" s="615"/>
      <c r="H202" s="466">
        <v>0</v>
      </c>
      <c r="I202" s="615"/>
      <c r="J202" s="615"/>
      <c r="K202" s="1685">
        <f>SUM(H202)</f>
        <v>0</v>
      </c>
      <c r="L202" s="466">
        <v>0</v>
      </c>
    </row>
    <row r="203" spans="1:14" x14ac:dyDescent="0.2">
      <c r="A203" s="1535" t="s">
        <v>639</v>
      </c>
      <c r="B203" s="613" t="s">
        <v>638</v>
      </c>
      <c r="C203" s="615"/>
      <c r="D203" s="615"/>
      <c r="E203" s="615"/>
      <c r="F203" s="615"/>
      <c r="G203" s="615"/>
      <c r="H203" s="471">
        <v>0</v>
      </c>
      <c r="I203" s="615"/>
      <c r="J203" s="615"/>
      <c r="K203" s="1685">
        <f>SUM(H203)</f>
        <v>0</v>
      </c>
      <c r="L203" s="471">
        <v>0</v>
      </c>
    </row>
    <row r="204" spans="1:14" ht="13.5" thickBot="1" x14ac:dyDescent="0.25">
      <c r="A204" s="1682" t="s">
        <v>293</v>
      </c>
      <c r="B204" s="1683" t="s">
        <v>741</v>
      </c>
      <c r="C204" s="615"/>
      <c r="D204" s="615"/>
      <c r="E204" s="615"/>
      <c r="F204" s="615"/>
      <c r="G204" s="615"/>
      <c r="H204" s="1684">
        <f>SUM(H199:H203)</f>
        <v>0</v>
      </c>
      <c r="I204" s="615"/>
      <c r="J204" s="615"/>
      <c r="K204" s="1684">
        <f>SUM(K199:K203)</f>
        <v>0</v>
      </c>
      <c r="L204" s="1684">
        <f>SUM(L199:L203)</f>
        <v>0</v>
      </c>
    </row>
    <row r="205" spans="1:14" ht="15.75" customHeight="1" thickTop="1" x14ac:dyDescent="0.2">
      <c r="A205" s="678" t="s">
        <v>85</v>
      </c>
      <c r="B205" s="679" t="s">
        <v>38</v>
      </c>
      <c r="C205" s="615"/>
      <c r="D205" s="615"/>
      <c r="E205" s="615"/>
      <c r="F205" s="615"/>
      <c r="G205" s="615"/>
      <c r="H205" s="533">
        <v>0</v>
      </c>
      <c r="I205" s="615"/>
      <c r="J205" s="615"/>
      <c r="K205" s="1699">
        <f>SUM(H205)</f>
        <v>0</v>
      </c>
      <c r="L205" s="533">
        <v>0</v>
      </c>
    </row>
    <row r="206" spans="1:14" ht="30" customHeight="1" x14ac:dyDescent="0.2">
      <c r="A206" s="680" t="s">
        <v>1768</v>
      </c>
      <c r="B206" s="671" t="s">
        <v>31</v>
      </c>
      <c r="C206" s="615"/>
      <c r="D206" s="615"/>
      <c r="E206" s="615"/>
      <c r="F206" s="615"/>
      <c r="G206" s="615"/>
      <c r="H206" s="466">
        <v>0</v>
      </c>
      <c r="I206" s="615"/>
      <c r="J206" s="615"/>
      <c r="K206" s="1685">
        <f>SUM(H206)</f>
        <v>0</v>
      </c>
      <c r="L206" s="466">
        <v>0</v>
      </c>
    </row>
    <row r="207" spans="1:14" ht="15.75" customHeight="1" x14ac:dyDescent="0.2">
      <c r="A207" s="620" t="s">
        <v>789</v>
      </c>
      <c r="B207" s="671" t="s">
        <v>86</v>
      </c>
      <c r="C207" s="615"/>
      <c r="D207" s="615"/>
      <c r="E207" s="615"/>
      <c r="F207" s="615"/>
      <c r="G207" s="615"/>
      <c r="H207" s="467">
        <v>0</v>
      </c>
      <c r="I207" s="615"/>
      <c r="J207" s="615"/>
      <c r="K207" s="1685">
        <f>H207</f>
        <v>0</v>
      </c>
      <c r="L207" s="466">
        <v>0</v>
      </c>
    </row>
    <row r="208" spans="1:14" ht="12.75" customHeight="1" thickBot="1" x14ac:dyDescent="0.25">
      <c r="A208" s="1700" t="s">
        <v>658</v>
      </c>
      <c r="B208" s="1701" t="s">
        <v>512</v>
      </c>
      <c r="C208" s="615"/>
      <c r="D208" s="615"/>
      <c r="E208" s="615"/>
      <c r="F208" s="615"/>
      <c r="G208" s="615"/>
      <c r="H208" s="1691">
        <f>SUM(H204,H205,H206,H207)</f>
        <v>0</v>
      </c>
      <c r="I208" s="615"/>
      <c r="J208" s="615"/>
      <c r="K208" s="1691">
        <f>SUM(K204,K205,K206,K207)</f>
        <v>0</v>
      </c>
      <c r="L208" s="1691">
        <f>SUM(L204,L205,L206,L207)</f>
        <v>0</v>
      </c>
    </row>
    <row r="209" spans="1:14" ht="15.75" customHeight="1" thickTop="1" thickBot="1" x14ac:dyDescent="0.25">
      <c r="A209" s="1625" t="s">
        <v>926</v>
      </c>
      <c r="B209" s="1632" t="s">
        <v>915</v>
      </c>
      <c r="C209" s="622"/>
      <c r="D209" s="622"/>
      <c r="E209" s="622"/>
      <c r="F209" s="622"/>
      <c r="G209" s="622"/>
      <c r="H209" s="622"/>
      <c r="I209" s="615"/>
      <c r="J209" s="615"/>
      <c r="K209" s="622"/>
      <c r="L209" s="574">
        <v>0</v>
      </c>
    </row>
    <row r="210" spans="1:14" ht="12.75" customHeight="1" thickTop="1" thickBot="1" x14ac:dyDescent="0.25">
      <c r="A210" s="1706" t="s">
        <v>294</v>
      </c>
      <c r="B210" s="1707"/>
      <c r="C210" s="1684">
        <f>SUM(C184,C185)</f>
        <v>14486</v>
      </c>
      <c r="D210" s="1684">
        <f>SUM(D184,D185)</f>
        <v>0</v>
      </c>
      <c r="E210" s="1684">
        <f>SUM(E184,E185,E196)</f>
        <v>1702289</v>
      </c>
      <c r="F210" s="1684">
        <f>SUM(F184,F185)</f>
        <v>148647</v>
      </c>
      <c r="G210" s="1684">
        <f>SUM(G184,G185)</f>
        <v>0</v>
      </c>
      <c r="H210" s="1684">
        <f>SUM(H184,H185,H196,H208,H209)</f>
        <v>12759</v>
      </c>
      <c r="I210" s="1684">
        <f>SUM(I184,I185)</f>
        <v>0</v>
      </c>
      <c r="J210" s="1684">
        <f>SUM(J184,J185)</f>
        <v>0</v>
      </c>
      <c r="K210" s="1685">
        <f>SUM(K184,K185,K196,K208,K209)</f>
        <v>1878181</v>
      </c>
      <c r="L210" s="1684">
        <f>SUM(L184,L185,L196,L208,L209)</f>
        <v>1944690</v>
      </c>
    </row>
    <row r="211" spans="1:14" ht="13.5" thickTop="1" x14ac:dyDescent="0.2">
      <c r="A211" s="2326" t="s">
        <v>1052</v>
      </c>
      <c r="B211" s="2327"/>
      <c r="C211" s="617"/>
      <c r="D211" s="617"/>
      <c r="E211" s="617"/>
      <c r="F211" s="617"/>
      <c r="G211" s="617"/>
      <c r="H211" s="617"/>
      <c r="I211" s="615"/>
      <c r="J211" s="615"/>
      <c r="K211" s="1698">
        <f>'Revenues 9-14'!F275-'Expenditures 15-22'!K210</f>
        <v>261617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21" t="s">
        <v>1021</v>
      </c>
      <c r="B213" s="2322"/>
      <c r="C213" s="1570"/>
      <c r="D213" s="1571"/>
      <c r="E213" s="1571"/>
      <c r="F213" s="1571"/>
      <c r="G213" s="1571"/>
      <c r="H213" s="1571"/>
      <c r="I213" s="1571"/>
      <c r="J213" s="1571"/>
      <c r="K213" s="1571"/>
      <c r="L213" s="1572"/>
      <c r="M213" s="608"/>
      <c r="N213" s="608"/>
    </row>
    <row r="214" spans="1:14" s="673" customFormat="1" ht="15.75" customHeight="1" x14ac:dyDescent="0.2">
      <c r="A214" s="1642" t="s">
        <v>927</v>
      </c>
      <c r="B214" s="1634" t="s">
        <v>590</v>
      </c>
      <c r="C214" s="615"/>
      <c r="D214" s="622"/>
      <c r="E214" s="615"/>
      <c r="F214" s="615"/>
      <c r="G214" s="615"/>
      <c r="H214" s="615"/>
      <c r="I214" s="615"/>
      <c r="J214" s="615"/>
      <c r="K214" s="622"/>
      <c r="L214" s="622"/>
      <c r="M214" s="664"/>
      <c r="N214" s="664"/>
    </row>
    <row r="215" spans="1:14" x14ac:dyDescent="0.2">
      <c r="A215" s="1523" t="s">
        <v>1017</v>
      </c>
      <c r="B215" s="613">
        <v>1100</v>
      </c>
      <c r="C215" s="615"/>
      <c r="D215" s="466">
        <v>116564</v>
      </c>
      <c r="E215" s="615"/>
      <c r="F215" s="615"/>
      <c r="G215" s="615"/>
      <c r="H215" s="615"/>
      <c r="I215" s="615"/>
      <c r="J215" s="615"/>
      <c r="K215" s="1685">
        <f>D215</f>
        <v>116564</v>
      </c>
      <c r="L215" s="466">
        <v>87719</v>
      </c>
    </row>
    <row r="216" spans="1:14" x14ac:dyDescent="0.2">
      <c r="A216" s="1523" t="s">
        <v>165</v>
      </c>
      <c r="B216" s="613" t="s">
        <v>1023</v>
      </c>
      <c r="C216" s="615"/>
      <c r="D216" s="467">
        <v>3917</v>
      </c>
      <c r="E216" s="615"/>
      <c r="F216" s="615"/>
      <c r="G216" s="615"/>
      <c r="H216" s="615"/>
      <c r="I216" s="615"/>
      <c r="J216" s="615"/>
      <c r="K216" s="1685">
        <f t="shared" ref="K216:K228" si="19">D216</f>
        <v>3917</v>
      </c>
      <c r="L216" s="466">
        <v>40633</v>
      </c>
    </row>
    <row r="217" spans="1:14" x14ac:dyDescent="0.2">
      <c r="A217" s="1523" t="s">
        <v>166</v>
      </c>
      <c r="B217" s="613">
        <v>1200</v>
      </c>
      <c r="C217" s="615"/>
      <c r="D217" s="466">
        <v>33186</v>
      </c>
      <c r="E217" s="615"/>
      <c r="F217" s="615"/>
      <c r="G217" s="615"/>
      <c r="H217" s="615"/>
      <c r="I217" s="615"/>
      <c r="J217" s="615"/>
      <c r="K217" s="1685">
        <f t="shared" si="19"/>
        <v>33186</v>
      </c>
      <c r="L217" s="466">
        <v>38976</v>
      </c>
    </row>
    <row r="218" spans="1:14" x14ac:dyDescent="0.2">
      <c r="A218" s="1523" t="s">
        <v>295</v>
      </c>
      <c r="B218" s="613" t="s">
        <v>1024</v>
      </c>
      <c r="C218" s="615"/>
      <c r="D218" s="467">
        <v>0</v>
      </c>
      <c r="E218" s="615"/>
      <c r="F218" s="615"/>
      <c r="G218" s="615"/>
      <c r="H218" s="615"/>
      <c r="I218" s="615"/>
      <c r="J218" s="615"/>
      <c r="K218" s="1685">
        <f t="shared" si="19"/>
        <v>0</v>
      </c>
      <c r="L218" s="466">
        <v>0</v>
      </c>
    </row>
    <row r="219" spans="1:14" x14ac:dyDescent="0.2">
      <c r="A219" s="1523" t="s">
        <v>296</v>
      </c>
      <c r="B219" s="613">
        <v>1250</v>
      </c>
      <c r="C219" s="615"/>
      <c r="D219" s="466">
        <v>13814</v>
      </c>
      <c r="E219" s="615"/>
      <c r="F219" s="615"/>
      <c r="G219" s="615"/>
      <c r="H219" s="615"/>
      <c r="I219" s="615"/>
      <c r="J219" s="615"/>
      <c r="K219" s="1685">
        <f t="shared" si="19"/>
        <v>13814</v>
      </c>
      <c r="L219" s="466">
        <v>15251</v>
      </c>
    </row>
    <row r="220" spans="1:14" x14ac:dyDescent="0.2">
      <c r="A220" s="1523" t="s">
        <v>297</v>
      </c>
      <c r="B220" s="613" t="s">
        <v>163</v>
      </c>
      <c r="C220" s="615"/>
      <c r="D220" s="467">
        <v>0</v>
      </c>
      <c r="E220" s="615"/>
      <c r="F220" s="615"/>
      <c r="G220" s="615"/>
      <c r="H220" s="615"/>
      <c r="I220" s="615"/>
      <c r="J220" s="615"/>
      <c r="K220" s="1685">
        <f t="shared" si="19"/>
        <v>0</v>
      </c>
      <c r="L220" s="466">
        <v>0</v>
      </c>
    </row>
    <row r="221" spans="1:14" x14ac:dyDescent="0.2">
      <c r="A221" s="1523" t="s">
        <v>1018</v>
      </c>
      <c r="B221" s="613">
        <v>1300</v>
      </c>
      <c r="C221" s="615"/>
      <c r="D221" s="466">
        <v>0</v>
      </c>
      <c r="E221" s="615"/>
      <c r="F221" s="615"/>
      <c r="G221" s="615"/>
      <c r="H221" s="615"/>
      <c r="I221" s="615"/>
      <c r="J221" s="615"/>
      <c r="K221" s="1685">
        <f t="shared" si="19"/>
        <v>0</v>
      </c>
      <c r="L221" s="466">
        <v>0</v>
      </c>
    </row>
    <row r="222" spans="1:14" x14ac:dyDescent="0.2">
      <c r="A222" s="1523" t="s">
        <v>746</v>
      </c>
      <c r="B222" s="613">
        <v>1400</v>
      </c>
      <c r="C222" s="615"/>
      <c r="D222" s="466">
        <v>3230</v>
      </c>
      <c r="E222" s="615"/>
      <c r="F222" s="615"/>
      <c r="G222" s="615"/>
      <c r="H222" s="615"/>
      <c r="I222" s="615"/>
      <c r="J222" s="615"/>
      <c r="K222" s="1685">
        <f t="shared" si="19"/>
        <v>3230</v>
      </c>
      <c r="L222" s="466">
        <v>3362</v>
      </c>
    </row>
    <row r="223" spans="1:14" x14ac:dyDescent="0.2">
      <c r="A223" s="1523" t="s">
        <v>1019</v>
      </c>
      <c r="B223" s="613">
        <v>1500</v>
      </c>
      <c r="C223" s="615"/>
      <c r="D223" s="466">
        <v>11708</v>
      </c>
      <c r="E223" s="615"/>
      <c r="F223" s="615"/>
      <c r="G223" s="615"/>
      <c r="H223" s="615"/>
      <c r="I223" s="615"/>
      <c r="J223" s="615"/>
      <c r="K223" s="1685">
        <f t="shared" si="19"/>
        <v>11708</v>
      </c>
      <c r="L223" s="466">
        <v>13784</v>
      </c>
    </row>
    <row r="224" spans="1:14" x14ac:dyDescent="0.2">
      <c r="A224" s="1523" t="s">
        <v>1020</v>
      </c>
      <c r="B224" s="613">
        <v>1600</v>
      </c>
      <c r="C224" s="615"/>
      <c r="D224" s="466">
        <v>252</v>
      </c>
      <c r="E224" s="615"/>
      <c r="F224" s="615"/>
      <c r="G224" s="615"/>
      <c r="H224" s="615"/>
      <c r="I224" s="615"/>
      <c r="J224" s="615"/>
      <c r="K224" s="1685">
        <f t="shared" si="19"/>
        <v>252</v>
      </c>
      <c r="L224" s="466">
        <v>155</v>
      </c>
    </row>
    <row r="225" spans="1:12" x14ac:dyDescent="0.2">
      <c r="A225" s="1523" t="s">
        <v>1043</v>
      </c>
      <c r="B225" s="613">
        <v>1650</v>
      </c>
      <c r="C225" s="615"/>
      <c r="D225" s="466">
        <v>0</v>
      </c>
      <c r="E225" s="615"/>
      <c r="F225" s="615"/>
      <c r="G225" s="615"/>
      <c r="H225" s="615"/>
      <c r="I225" s="615"/>
      <c r="J225" s="615"/>
      <c r="K225" s="1685">
        <f t="shared" si="19"/>
        <v>0</v>
      </c>
      <c r="L225" s="466">
        <v>0</v>
      </c>
    </row>
    <row r="226" spans="1:12" x14ac:dyDescent="0.2">
      <c r="A226" s="1523" t="s">
        <v>747</v>
      </c>
      <c r="B226" s="613" t="s">
        <v>164</v>
      </c>
      <c r="C226" s="615"/>
      <c r="D226" s="467">
        <v>1855</v>
      </c>
      <c r="E226" s="615"/>
      <c r="F226" s="615"/>
      <c r="G226" s="615"/>
      <c r="H226" s="615"/>
      <c r="I226" s="615"/>
      <c r="J226" s="615"/>
      <c r="K226" s="1685">
        <f t="shared" si="19"/>
        <v>1855</v>
      </c>
      <c r="L226" s="466">
        <v>2311</v>
      </c>
    </row>
    <row r="227" spans="1:12" x14ac:dyDescent="0.2">
      <c r="A227" s="1523" t="s">
        <v>1147</v>
      </c>
      <c r="B227" s="613">
        <v>1800</v>
      </c>
      <c r="C227" s="615"/>
      <c r="D227" s="466">
        <v>0</v>
      </c>
      <c r="E227" s="615"/>
      <c r="F227" s="615"/>
      <c r="G227" s="615"/>
      <c r="H227" s="615"/>
      <c r="I227" s="615"/>
      <c r="J227" s="615"/>
      <c r="K227" s="1685">
        <f t="shared" si="19"/>
        <v>0</v>
      </c>
      <c r="L227" s="466">
        <v>0</v>
      </c>
    </row>
    <row r="228" spans="1:12" x14ac:dyDescent="0.2">
      <c r="A228" s="1523" t="s">
        <v>1148</v>
      </c>
      <c r="B228" s="613">
        <v>1900</v>
      </c>
      <c r="C228" s="615"/>
      <c r="D228" s="466">
        <v>0</v>
      </c>
      <c r="E228" s="615"/>
      <c r="F228" s="615"/>
      <c r="G228" s="615"/>
      <c r="H228" s="615"/>
      <c r="I228" s="615"/>
      <c r="J228" s="615"/>
      <c r="K228" s="1685">
        <f t="shared" si="19"/>
        <v>0</v>
      </c>
      <c r="L228" s="466">
        <v>0</v>
      </c>
    </row>
    <row r="229" spans="1:12" ht="12.75" customHeight="1" thickBot="1" x14ac:dyDescent="0.25">
      <c r="A229" s="1682" t="s">
        <v>738</v>
      </c>
      <c r="B229" s="1689" t="s">
        <v>590</v>
      </c>
      <c r="C229" s="615"/>
      <c r="D229" s="1684">
        <f>SUM(D215:D228)</f>
        <v>184526</v>
      </c>
      <c r="E229" s="615"/>
      <c r="F229" s="615"/>
      <c r="G229" s="615"/>
      <c r="H229" s="615"/>
      <c r="I229" s="615"/>
      <c r="J229" s="615"/>
      <c r="K229" s="1684">
        <f>SUM(K215:K228)</f>
        <v>184526</v>
      </c>
      <c r="L229" s="1684">
        <f>SUM(L215:L228)</f>
        <v>202191</v>
      </c>
    </row>
    <row r="230" spans="1:12" ht="15.75" customHeight="1" thickTop="1" x14ac:dyDescent="0.2">
      <c r="A230" s="1631" t="s">
        <v>928</v>
      </c>
      <c r="B230" s="1632"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3" t="s">
        <v>1149</v>
      </c>
      <c r="B232" s="613">
        <v>2110</v>
      </c>
      <c r="C232" s="615"/>
      <c r="D232" s="466">
        <v>2756</v>
      </c>
      <c r="E232" s="615"/>
      <c r="F232" s="615"/>
      <c r="G232" s="615"/>
      <c r="H232" s="615"/>
      <c r="I232" s="615"/>
      <c r="J232" s="615"/>
      <c r="K232" s="1685">
        <f t="shared" ref="K232:K237" si="20">D232</f>
        <v>2756</v>
      </c>
      <c r="L232" s="466">
        <v>3151</v>
      </c>
    </row>
    <row r="233" spans="1:12" x14ac:dyDescent="0.2">
      <c r="A233" s="1523" t="s">
        <v>1150</v>
      </c>
      <c r="B233" s="613">
        <v>2120</v>
      </c>
      <c r="C233" s="615"/>
      <c r="D233" s="466">
        <v>3996</v>
      </c>
      <c r="E233" s="615"/>
      <c r="F233" s="615"/>
      <c r="G233" s="615"/>
      <c r="H233" s="615"/>
      <c r="I233" s="615"/>
      <c r="J233" s="615"/>
      <c r="K233" s="1685">
        <f t="shared" si="20"/>
        <v>3996</v>
      </c>
      <c r="L233" s="466">
        <v>5568</v>
      </c>
    </row>
    <row r="234" spans="1:12" x14ac:dyDescent="0.2">
      <c r="A234" s="1523" t="s">
        <v>207</v>
      </c>
      <c r="B234" s="613">
        <v>2130</v>
      </c>
      <c r="C234" s="615"/>
      <c r="D234" s="466">
        <v>22144</v>
      </c>
      <c r="E234" s="615"/>
      <c r="F234" s="615"/>
      <c r="G234" s="615"/>
      <c r="H234" s="615"/>
      <c r="I234" s="615"/>
      <c r="J234" s="615"/>
      <c r="K234" s="1685">
        <f t="shared" si="20"/>
        <v>22144</v>
      </c>
      <c r="L234" s="466">
        <v>27436</v>
      </c>
    </row>
    <row r="235" spans="1:12" x14ac:dyDescent="0.2">
      <c r="A235" s="1523" t="s">
        <v>208</v>
      </c>
      <c r="B235" s="613">
        <v>2140</v>
      </c>
      <c r="C235" s="615"/>
      <c r="D235" s="466">
        <v>0</v>
      </c>
      <c r="E235" s="615"/>
      <c r="F235" s="615"/>
      <c r="G235" s="615"/>
      <c r="H235" s="615"/>
      <c r="I235" s="615"/>
      <c r="J235" s="615"/>
      <c r="K235" s="1685">
        <f t="shared" si="20"/>
        <v>0</v>
      </c>
      <c r="L235" s="466">
        <v>0</v>
      </c>
    </row>
    <row r="236" spans="1:12" x14ac:dyDescent="0.2">
      <c r="A236" s="1523" t="s">
        <v>209</v>
      </c>
      <c r="B236" s="613">
        <v>2150</v>
      </c>
      <c r="C236" s="615"/>
      <c r="D236" s="466">
        <v>0</v>
      </c>
      <c r="E236" s="615"/>
      <c r="F236" s="615"/>
      <c r="G236" s="615"/>
      <c r="H236" s="615"/>
      <c r="I236" s="615"/>
      <c r="J236" s="615"/>
      <c r="K236" s="1685">
        <f t="shared" si="20"/>
        <v>0</v>
      </c>
      <c r="L236" s="466">
        <v>0</v>
      </c>
    </row>
    <row r="237" spans="1:12" x14ac:dyDescent="0.2">
      <c r="A237" s="1523" t="s">
        <v>167</v>
      </c>
      <c r="B237" s="613">
        <v>2190</v>
      </c>
      <c r="C237" s="615"/>
      <c r="D237" s="466">
        <v>0</v>
      </c>
      <c r="E237" s="615"/>
      <c r="F237" s="615"/>
      <c r="G237" s="615"/>
      <c r="H237" s="615"/>
      <c r="I237" s="615"/>
      <c r="J237" s="615"/>
      <c r="K237" s="1685">
        <f t="shared" si="20"/>
        <v>0</v>
      </c>
      <c r="L237" s="466">
        <v>0</v>
      </c>
    </row>
    <row r="238" spans="1:12" ht="12.75" customHeight="1" thickBot="1" x14ac:dyDescent="0.25">
      <c r="A238" s="1682" t="s">
        <v>580</v>
      </c>
      <c r="B238" s="1689" t="s">
        <v>739</v>
      </c>
      <c r="C238" s="615"/>
      <c r="D238" s="1684">
        <f>SUM(D232:D237)</f>
        <v>28896</v>
      </c>
      <c r="E238" s="615"/>
      <c r="F238" s="615"/>
      <c r="G238" s="615"/>
      <c r="H238" s="615"/>
      <c r="I238" s="615"/>
      <c r="J238" s="615"/>
      <c r="K238" s="1684">
        <f>SUM(K232:K237)</f>
        <v>28896</v>
      </c>
      <c r="L238" s="1684">
        <f>SUM(L232:L237)</f>
        <v>36155</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3" t="s">
        <v>867</v>
      </c>
      <c r="B240" s="613">
        <v>2210</v>
      </c>
      <c r="C240" s="615"/>
      <c r="D240" s="480">
        <v>8998</v>
      </c>
      <c r="E240" s="615"/>
      <c r="F240" s="615"/>
      <c r="G240" s="615"/>
      <c r="H240" s="615"/>
      <c r="I240" s="615"/>
      <c r="J240" s="615"/>
      <c r="K240" s="1686">
        <f>D240</f>
        <v>8998</v>
      </c>
      <c r="L240" s="480">
        <v>10936</v>
      </c>
    </row>
    <row r="241" spans="1:12" x14ac:dyDescent="0.2">
      <c r="A241" s="1523" t="s">
        <v>868</v>
      </c>
      <c r="B241" s="613">
        <v>2220</v>
      </c>
      <c r="C241" s="615"/>
      <c r="D241" s="466">
        <v>25383</v>
      </c>
      <c r="E241" s="615"/>
      <c r="F241" s="615"/>
      <c r="G241" s="615"/>
      <c r="H241" s="615"/>
      <c r="I241" s="615"/>
      <c r="J241" s="615"/>
      <c r="K241" s="1686">
        <f>D241</f>
        <v>25383</v>
      </c>
      <c r="L241" s="466">
        <v>36914</v>
      </c>
    </row>
    <row r="242" spans="1:12" x14ac:dyDescent="0.2">
      <c r="A242" s="1523" t="s">
        <v>869</v>
      </c>
      <c r="B242" s="613">
        <v>2230</v>
      </c>
      <c r="C242" s="615"/>
      <c r="D242" s="466">
        <v>0</v>
      </c>
      <c r="E242" s="615"/>
      <c r="F242" s="615"/>
      <c r="G242" s="615"/>
      <c r="H242" s="615"/>
      <c r="I242" s="615"/>
      <c r="J242" s="615"/>
      <c r="K242" s="1686">
        <f>D242</f>
        <v>0</v>
      </c>
      <c r="L242" s="466">
        <v>0</v>
      </c>
    </row>
    <row r="243" spans="1:12" ht="12.75" customHeight="1" thickBot="1" x14ac:dyDescent="0.25">
      <c r="A243" s="1708" t="s">
        <v>581</v>
      </c>
      <c r="B243" s="1709">
        <v>2200</v>
      </c>
      <c r="C243" s="615"/>
      <c r="D243" s="1684">
        <f>SUM(D240:D242)</f>
        <v>34381</v>
      </c>
      <c r="E243" s="615"/>
      <c r="F243" s="615"/>
      <c r="G243" s="615"/>
      <c r="H243" s="615"/>
      <c r="I243" s="615"/>
      <c r="J243" s="615"/>
      <c r="K243" s="1684">
        <f>SUM(K240:K242)</f>
        <v>34381</v>
      </c>
      <c r="L243" s="1684">
        <f>SUM(L240:L242)</f>
        <v>47850</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3" t="s">
        <v>870</v>
      </c>
      <c r="B245" s="613">
        <v>2310</v>
      </c>
      <c r="C245" s="615"/>
      <c r="D245" s="480">
        <v>410</v>
      </c>
      <c r="E245" s="615"/>
      <c r="F245" s="615"/>
      <c r="G245" s="615"/>
      <c r="H245" s="615"/>
      <c r="I245" s="615"/>
      <c r="J245" s="615"/>
      <c r="K245" s="1686">
        <f>D245</f>
        <v>410</v>
      </c>
      <c r="L245" s="480">
        <v>455</v>
      </c>
    </row>
    <row r="246" spans="1:12" x14ac:dyDescent="0.2">
      <c r="A246" s="1523" t="s">
        <v>871</v>
      </c>
      <c r="B246" s="613">
        <v>2320</v>
      </c>
      <c r="C246" s="615"/>
      <c r="D246" s="466">
        <v>3177</v>
      </c>
      <c r="E246" s="615"/>
      <c r="F246" s="615"/>
      <c r="G246" s="615"/>
      <c r="H246" s="615"/>
      <c r="I246" s="615"/>
      <c r="J246" s="615"/>
      <c r="K246" s="1686">
        <f t="shared" ref="K246:K256" si="21">D246</f>
        <v>3177</v>
      </c>
      <c r="L246" s="466">
        <v>3389</v>
      </c>
    </row>
    <row r="247" spans="1:12" x14ac:dyDescent="0.2">
      <c r="A247" s="1523" t="s">
        <v>872</v>
      </c>
      <c r="B247" s="613">
        <v>2330</v>
      </c>
      <c r="C247" s="615"/>
      <c r="D247" s="466">
        <v>0</v>
      </c>
      <c r="E247" s="615"/>
      <c r="F247" s="615"/>
      <c r="G247" s="615"/>
      <c r="H247" s="615"/>
      <c r="I247" s="615"/>
      <c r="J247" s="615"/>
      <c r="K247" s="1686">
        <f t="shared" si="21"/>
        <v>0</v>
      </c>
      <c r="L247" s="466">
        <v>0</v>
      </c>
    </row>
    <row r="248" spans="1:12" x14ac:dyDescent="0.2">
      <c r="A248" s="1524" t="s">
        <v>316</v>
      </c>
      <c r="B248" s="601" t="s">
        <v>298</v>
      </c>
      <c r="C248" s="615"/>
      <c r="D248" s="474">
        <v>0</v>
      </c>
      <c r="E248" s="615"/>
      <c r="F248" s="615"/>
      <c r="G248" s="615"/>
      <c r="H248" s="615"/>
      <c r="I248" s="615"/>
      <c r="J248" s="615"/>
      <c r="K248" s="1686">
        <f t="shared" si="21"/>
        <v>0</v>
      </c>
      <c r="L248" s="466">
        <v>0</v>
      </c>
    </row>
    <row r="249" spans="1:12" x14ac:dyDescent="0.2">
      <c r="A249" s="1525" t="s">
        <v>1903</v>
      </c>
      <c r="B249" s="682" t="s">
        <v>299</v>
      </c>
      <c r="C249" s="615"/>
      <c r="D249" s="474">
        <v>0</v>
      </c>
      <c r="E249" s="615"/>
      <c r="F249" s="615"/>
      <c r="G249" s="615"/>
      <c r="H249" s="615"/>
      <c r="I249" s="615"/>
      <c r="J249" s="615"/>
      <c r="K249" s="1686">
        <f t="shared" si="21"/>
        <v>0</v>
      </c>
      <c r="L249" s="466">
        <v>0</v>
      </c>
    </row>
    <row r="250" spans="1:12" x14ac:dyDescent="0.2">
      <c r="A250" s="1524" t="s">
        <v>1904</v>
      </c>
      <c r="B250" s="601" t="s">
        <v>300</v>
      </c>
      <c r="C250" s="615"/>
      <c r="D250" s="474">
        <v>0</v>
      </c>
      <c r="E250" s="615"/>
      <c r="F250" s="615"/>
      <c r="G250" s="615"/>
      <c r="H250" s="615"/>
      <c r="I250" s="615"/>
      <c r="J250" s="615"/>
      <c r="K250" s="1686">
        <f t="shared" si="21"/>
        <v>0</v>
      </c>
      <c r="L250" s="466">
        <v>0</v>
      </c>
    </row>
    <row r="251" spans="1:12" x14ac:dyDescent="0.2">
      <c r="A251" s="1524" t="s">
        <v>256</v>
      </c>
      <c r="B251" s="601" t="s">
        <v>301</v>
      </c>
      <c r="C251" s="615"/>
      <c r="D251" s="474">
        <v>0</v>
      </c>
      <c r="E251" s="615"/>
      <c r="F251" s="615"/>
      <c r="G251" s="615"/>
      <c r="H251" s="615"/>
      <c r="I251" s="615"/>
      <c r="J251" s="615"/>
      <c r="K251" s="1686">
        <f t="shared" si="21"/>
        <v>0</v>
      </c>
      <c r="L251" s="466">
        <v>0</v>
      </c>
    </row>
    <row r="252" spans="1:12" x14ac:dyDescent="0.2">
      <c r="A252" s="1524" t="s">
        <v>725</v>
      </c>
      <c r="B252" s="601" t="s">
        <v>302</v>
      </c>
      <c r="C252" s="615"/>
      <c r="D252" s="474">
        <v>0</v>
      </c>
      <c r="E252" s="615"/>
      <c r="F252" s="615"/>
      <c r="G252" s="615"/>
      <c r="H252" s="615"/>
      <c r="I252" s="615"/>
      <c r="J252" s="615"/>
      <c r="K252" s="1686">
        <f t="shared" si="21"/>
        <v>0</v>
      </c>
      <c r="L252" s="466">
        <v>657</v>
      </c>
    </row>
    <row r="253" spans="1:12" x14ac:dyDescent="0.2">
      <c r="A253" s="1524" t="s">
        <v>257</v>
      </c>
      <c r="B253" s="601" t="s">
        <v>303</v>
      </c>
      <c r="C253" s="615"/>
      <c r="D253" s="474">
        <v>0</v>
      </c>
      <c r="E253" s="615"/>
      <c r="F253" s="615"/>
      <c r="G253" s="615"/>
      <c r="H253" s="615"/>
      <c r="I253" s="615"/>
      <c r="J253" s="615"/>
      <c r="K253" s="1686">
        <f t="shared" si="21"/>
        <v>0</v>
      </c>
      <c r="L253" s="466">
        <v>0</v>
      </c>
    </row>
    <row r="254" spans="1:12" ht="22.5" x14ac:dyDescent="0.2">
      <c r="A254" s="1524" t="s">
        <v>1086</v>
      </c>
      <c r="B254" s="682" t="s">
        <v>304</v>
      </c>
      <c r="C254" s="615"/>
      <c r="D254" s="474">
        <v>800</v>
      </c>
      <c r="E254" s="615"/>
      <c r="F254" s="615"/>
      <c r="G254" s="615"/>
      <c r="H254" s="615"/>
      <c r="I254" s="615"/>
      <c r="J254" s="615"/>
      <c r="K254" s="1686">
        <f t="shared" si="21"/>
        <v>800</v>
      </c>
      <c r="L254" s="466">
        <v>1103</v>
      </c>
    </row>
    <row r="255" spans="1:12" x14ac:dyDescent="0.2">
      <c r="A255" s="1524" t="s">
        <v>1087</v>
      </c>
      <c r="B255" s="601" t="s">
        <v>305</v>
      </c>
      <c r="C255" s="615"/>
      <c r="D255" s="474">
        <v>0</v>
      </c>
      <c r="E255" s="615"/>
      <c r="F255" s="615"/>
      <c r="G255" s="615"/>
      <c r="H255" s="615"/>
      <c r="I255" s="615"/>
      <c r="J255" s="615"/>
      <c r="K255" s="1686">
        <f t="shared" si="21"/>
        <v>0</v>
      </c>
      <c r="L255" s="466">
        <v>0</v>
      </c>
    </row>
    <row r="256" spans="1:12" x14ac:dyDescent="0.2">
      <c r="A256" s="1524" t="s">
        <v>1027</v>
      </c>
      <c r="B256" s="613" t="s">
        <v>306</v>
      </c>
      <c r="C256" s="615"/>
      <c r="D256" s="474">
        <v>0</v>
      </c>
      <c r="E256" s="615"/>
      <c r="F256" s="615"/>
      <c r="G256" s="615"/>
      <c r="H256" s="615"/>
      <c r="I256" s="615"/>
      <c r="J256" s="615"/>
      <c r="K256" s="1686">
        <f t="shared" si="21"/>
        <v>0</v>
      </c>
      <c r="L256" s="466">
        <v>0</v>
      </c>
    </row>
    <row r="257" spans="1:14" ht="12.75" customHeight="1" thickBot="1" x14ac:dyDescent="0.25">
      <c r="A257" s="1682" t="s">
        <v>740</v>
      </c>
      <c r="B257" s="1710">
        <v>2300</v>
      </c>
      <c r="C257" s="615"/>
      <c r="D257" s="1684">
        <f>SUM(D245:D256)</f>
        <v>4387</v>
      </c>
      <c r="E257" s="615"/>
      <c r="F257" s="615"/>
      <c r="G257" s="615"/>
      <c r="H257" s="615"/>
      <c r="I257" s="615"/>
      <c r="J257" s="615"/>
      <c r="K257" s="1684">
        <f>SUM(K245:K256)</f>
        <v>4387</v>
      </c>
      <c r="L257" s="1684">
        <f>SUM(L245:L256)</f>
        <v>5604</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3" t="s">
        <v>1126</v>
      </c>
      <c r="B259" s="684">
        <v>2410</v>
      </c>
      <c r="C259" s="615"/>
      <c r="D259" s="480">
        <v>72372</v>
      </c>
      <c r="E259" s="615"/>
      <c r="F259" s="615"/>
      <c r="G259" s="615"/>
      <c r="H259" s="615"/>
      <c r="I259" s="615"/>
      <c r="J259" s="615"/>
      <c r="K259" s="1686">
        <f>D259</f>
        <v>72372</v>
      </c>
      <c r="L259" s="480">
        <v>81737</v>
      </c>
    </row>
    <row r="260" spans="1:14" s="596" customFormat="1" x14ac:dyDescent="0.2">
      <c r="A260" s="1541" t="s">
        <v>1902</v>
      </c>
      <c r="B260" s="627">
        <v>2490</v>
      </c>
      <c r="C260" s="615"/>
      <c r="D260" s="466">
        <v>0</v>
      </c>
      <c r="E260" s="615"/>
      <c r="F260" s="615"/>
      <c r="G260" s="615"/>
      <c r="H260" s="615"/>
      <c r="I260" s="615"/>
      <c r="J260" s="615"/>
      <c r="K260" s="1686">
        <f>D260</f>
        <v>0</v>
      </c>
      <c r="L260" s="466">
        <v>0</v>
      </c>
      <c r="M260" s="210"/>
      <c r="N260" s="210"/>
    </row>
    <row r="261" spans="1:14" ht="12.75" customHeight="1" thickBot="1" x14ac:dyDescent="0.25">
      <c r="A261" s="1706" t="s">
        <v>281</v>
      </c>
      <c r="B261" s="1711" t="s">
        <v>34</v>
      </c>
      <c r="C261" s="615"/>
      <c r="D261" s="1684">
        <f>SUM(D259:D260)</f>
        <v>72372</v>
      </c>
      <c r="E261" s="615"/>
      <c r="F261" s="615"/>
      <c r="G261" s="615"/>
      <c r="H261" s="615"/>
      <c r="I261" s="615"/>
      <c r="J261" s="615"/>
      <c r="K261" s="1684">
        <f>SUM(K259:K260)</f>
        <v>72372</v>
      </c>
      <c r="L261" s="1684">
        <f>SUM(L259:L260)</f>
        <v>81737</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3" t="s">
        <v>1127</v>
      </c>
      <c r="B263" s="684">
        <v>2510</v>
      </c>
      <c r="C263" s="615"/>
      <c r="D263" s="466">
        <v>0</v>
      </c>
      <c r="E263" s="615"/>
      <c r="F263" s="615"/>
      <c r="G263" s="615"/>
      <c r="H263" s="615"/>
      <c r="I263" s="615"/>
      <c r="J263" s="615"/>
      <c r="K263" s="1686">
        <f>D263</f>
        <v>0</v>
      </c>
      <c r="L263" s="480">
        <v>0</v>
      </c>
    </row>
    <row r="264" spans="1:14" x14ac:dyDescent="0.2">
      <c r="A264" s="1523" t="s">
        <v>482</v>
      </c>
      <c r="B264" s="684">
        <v>2520</v>
      </c>
      <c r="C264" s="615"/>
      <c r="D264" s="466">
        <v>31355</v>
      </c>
      <c r="E264" s="615"/>
      <c r="F264" s="615"/>
      <c r="G264" s="615"/>
      <c r="H264" s="615"/>
      <c r="I264" s="615"/>
      <c r="J264" s="615"/>
      <c r="K264" s="1686">
        <f t="shared" ref="K264:K269" si="22">D264</f>
        <v>31355</v>
      </c>
      <c r="L264" s="466">
        <v>40623</v>
      </c>
    </row>
    <row r="265" spans="1:14" x14ac:dyDescent="0.2">
      <c r="A265" s="1523" t="s">
        <v>4</v>
      </c>
      <c r="B265" s="613">
        <v>2530</v>
      </c>
      <c r="C265" s="615"/>
      <c r="D265" s="466">
        <v>0</v>
      </c>
      <c r="E265" s="615"/>
      <c r="F265" s="615"/>
      <c r="G265" s="615"/>
      <c r="H265" s="615"/>
      <c r="I265" s="615"/>
      <c r="J265" s="615"/>
      <c r="K265" s="1686">
        <f t="shared" si="22"/>
        <v>0</v>
      </c>
      <c r="L265" s="466">
        <v>0</v>
      </c>
    </row>
    <row r="266" spans="1:14" x14ac:dyDescent="0.2">
      <c r="A266" s="1523" t="s">
        <v>206</v>
      </c>
      <c r="B266" s="613">
        <v>2540</v>
      </c>
      <c r="C266" s="615"/>
      <c r="D266" s="466">
        <v>168449</v>
      </c>
      <c r="E266" s="615"/>
      <c r="F266" s="615"/>
      <c r="G266" s="615"/>
      <c r="H266" s="615"/>
      <c r="I266" s="615"/>
      <c r="J266" s="615"/>
      <c r="K266" s="1686">
        <f t="shared" si="22"/>
        <v>168449</v>
      </c>
      <c r="L266" s="466">
        <v>170814</v>
      </c>
    </row>
    <row r="267" spans="1:14" x14ac:dyDescent="0.2">
      <c r="A267" s="1523" t="s">
        <v>1009</v>
      </c>
      <c r="B267" s="613">
        <v>2550</v>
      </c>
      <c r="C267" s="615"/>
      <c r="D267" s="466">
        <v>2051</v>
      </c>
      <c r="E267" s="615"/>
      <c r="F267" s="615"/>
      <c r="G267" s="615"/>
      <c r="H267" s="615"/>
      <c r="I267" s="615"/>
      <c r="J267" s="615"/>
      <c r="K267" s="1686">
        <f t="shared" si="22"/>
        <v>2051</v>
      </c>
      <c r="L267" s="466">
        <v>1561</v>
      </c>
    </row>
    <row r="268" spans="1:14" x14ac:dyDescent="0.2">
      <c r="A268" s="1523" t="s">
        <v>102</v>
      </c>
      <c r="B268" s="613">
        <v>2560</v>
      </c>
      <c r="C268" s="615"/>
      <c r="D268" s="466">
        <v>71435</v>
      </c>
      <c r="E268" s="615"/>
      <c r="F268" s="615"/>
      <c r="G268" s="615"/>
      <c r="H268" s="615"/>
      <c r="I268" s="615"/>
      <c r="J268" s="615"/>
      <c r="K268" s="1686">
        <f t="shared" si="22"/>
        <v>71435</v>
      </c>
      <c r="L268" s="466">
        <v>92160</v>
      </c>
    </row>
    <row r="269" spans="1:14" x14ac:dyDescent="0.2">
      <c r="A269" s="1523" t="s">
        <v>103</v>
      </c>
      <c r="B269" s="613">
        <v>2570</v>
      </c>
      <c r="C269" s="615"/>
      <c r="D269" s="466">
        <v>0</v>
      </c>
      <c r="E269" s="615"/>
      <c r="F269" s="615"/>
      <c r="G269" s="615"/>
      <c r="H269" s="615"/>
      <c r="I269" s="615"/>
      <c r="J269" s="615"/>
      <c r="K269" s="1686">
        <f t="shared" si="22"/>
        <v>0</v>
      </c>
      <c r="L269" s="466">
        <v>0</v>
      </c>
    </row>
    <row r="270" spans="1:14" ht="12.75" customHeight="1" thickBot="1" x14ac:dyDescent="0.25">
      <c r="A270" s="1682" t="s">
        <v>742</v>
      </c>
      <c r="B270" s="1689" t="s">
        <v>35</v>
      </c>
      <c r="C270" s="615"/>
      <c r="D270" s="1684">
        <f>SUM(D263:D269)</f>
        <v>273290</v>
      </c>
      <c r="E270" s="615"/>
      <c r="F270" s="615"/>
      <c r="G270" s="615"/>
      <c r="H270" s="615"/>
      <c r="I270" s="615"/>
      <c r="J270" s="615"/>
      <c r="K270" s="1684">
        <f>SUM(K263:K269)</f>
        <v>273290</v>
      </c>
      <c r="L270" s="1684">
        <f>SUM(L263:L269)</f>
        <v>305158</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3" t="s">
        <v>1119</v>
      </c>
      <c r="B272" s="613">
        <v>2610</v>
      </c>
      <c r="C272" s="615"/>
      <c r="D272" s="480">
        <v>0</v>
      </c>
      <c r="E272" s="615"/>
      <c r="F272" s="615"/>
      <c r="G272" s="615"/>
      <c r="H272" s="615"/>
      <c r="I272" s="615"/>
      <c r="J272" s="615"/>
      <c r="K272" s="1686">
        <f>D272</f>
        <v>0</v>
      </c>
      <c r="L272" s="480">
        <v>0</v>
      </c>
    </row>
    <row r="273" spans="1:12" x14ac:dyDescent="0.2">
      <c r="A273" s="1523" t="s">
        <v>627</v>
      </c>
      <c r="B273" s="627">
        <v>2620</v>
      </c>
      <c r="C273" s="615"/>
      <c r="D273" s="466">
        <v>0</v>
      </c>
      <c r="E273" s="615"/>
      <c r="F273" s="615"/>
      <c r="G273" s="615"/>
      <c r="H273" s="615"/>
      <c r="I273" s="615"/>
      <c r="J273" s="615"/>
      <c r="K273" s="1686">
        <f>D273</f>
        <v>0</v>
      </c>
      <c r="L273" s="466">
        <v>0</v>
      </c>
    </row>
    <row r="274" spans="1:12" ht="12" customHeight="1" x14ac:dyDescent="0.2">
      <c r="A274" s="1523" t="s">
        <v>1120</v>
      </c>
      <c r="B274" s="613">
        <v>2630</v>
      </c>
      <c r="C274" s="615"/>
      <c r="D274" s="466">
        <v>0</v>
      </c>
      <c r="E274" s="615"/>
      <c r="F274" s="615"/>
      <c r="G274" s="615"/>
      <c r="H274" s="615"/>
      <c r="I274" s="615"/>
      <c r="J274" s="615"/>
      <c r="K274" s="1686">
        <f>D274</f>
        <v>0</v>
      </c>
      <c r="L274" s="466">
        <v>425</v>
      </c>
    </row>
    <row r="275" spans="1:12" x14ac:dyDescent="0.2">
      <c r="A275" s="1523" t="s">
        <v>422</v>
      </c>
      <c r="B275" s="613">
        <v>2640</v>
      </c>
      <c r="C275" s="615"/>
      <c r="D275" s="466">
        <v>0</v>
      </c>
      <c r="E275" s="615"/>
      <c r="F275" s="615"/>
      <c r="G275" s="615"/>
      <c r="H275" s="615"/>
      <c r="I275" s="615"/>
      <c r="J275" s="615"/>
      <c r="K275" s="1686">
        <f>D275</f>
        <v>0</v>
      </c>
      <c r="L275" s="466">
        <v>0</v>
      </c>
    </row>
    <row r="276" spans="1:12" x14ac:dyDescent="0.2">
      <c r="A276" s="1523" t="s">
        <v>423</v>
      </c>
      <c r="B276" s="613">
        <v>2660</v>
      </c>
      <c r="C276" s="615"/>
      <c r="D276" s="466">
        <v>0</v>
      </c>
      <c r="E276" s="615"/>
      <c r="F276" s="615"/>
      <c r="G276" s="615"/>
      <c r="H276" s="615"/>
      <c r="I276" s="615"/>
      <c r="J276" s="615"/>
      <c r="K276" s="1686">
        <f>D276</f>
        <v>0</v>
      </c>
      <c r="L276" s="466">
        <v>0</v>
      </c>
    </row>
    <row r="277" spans="1:12" ht="12.75" customHeight="1" thickBot="1" x14ac:dyDescent="0.25">
      <c r="A277" s="1705" t="s">
        <v>37</v>
      </c>
      <c r="B277" s="1683" t="s">
        <v>36</v>
      </c>
      <c r="C277" s="615"/>
      <c r="D277" s="1684">
        <f>SUM(D272:D276)</f>
        <v>0</v>
      </c>
      <c r="E277" s="615"/>
      <c r="F277" s="615"/>
      <c r="G277" s="615"/>
      <c r="H277" s="615"/>
      <c r="I277" s="615"/>
      <c r="J277" s="615"/>
      <c r="K277" s="1684">
        <f>SUM(K272:K276)</f>
        <v>0</v>
      </c>
      <c r="L277" s="1684">
        <f>SUM(L272:L276)</f>
        <v>425</v>
      </c>
    </row>
    <row r="278" spans="1:12" ht="13.5" customHeight="1" thickTop="1" x14ac:dyDescent="0.2">
      <c r="A278" s="1529" t="s">
        <v>1036</v>
      </c>
      <c r="B278" s="654" t="s">
        <v>594</v>
      </c>
      <c r="C278" s="615"/>
      <c r="D278" s="655">
        <v>1043</v>
      </c>
      <c r="E278" s="615"/>
      <c r="F278" s="615"/>
      <c r="G278" s="615"/>
      <c r="H278" s="615"/>
      <c r="I278" s="615"/>
      <c r="J278" s="615"/>
      <c r="K278" s="1699">
        <f>D278</f>
        <v>1043</v>
      </c>
      <c r="L278" s="655">
        <v>2067</v>
      </c>
    </row>
    <row r="279" spans="1:12" ht="12.75" customHeight="1" thickBot="1" x14ac:dyDescent="0.25">
      <c r="A279" s="1712" t="s">
        <v>864</v>
      </c>
      <c r="B279" s="1695">
        <v>2000</v>
      </c>
      <c r="C279" s="615"/>
      <c r="D279" s="1691">
        <f>SUM(D238,D243,D257,D261,D270,D277,D278)</f>
        <v>414369</v>
      </c>
      <c r="E279" s="615"/>
      <c r="F279" s="615"/>
      <c r="G279" s="615"/>
      <c r="H279" s="615"/>
      <c r="I279" s="615"/>
      <c r="J279" s="615"/>
      <c r="K279" s="1691">
        <f>SUM(K238,K243,K257,K261,K270,K277,K278)</f>
        <v>414369</v>
      </c>
      <c r="L279" s="1691">
        <f>SUM(L238,L243,L257,L261,L270,L277,L278)</f>
        <v>478996</v>
      </c>
    </row>
    <row r="280" spans="1:12" ht="15.75" customHeight="1" thickTop="1" thickBot="1" x14ac:dyDescent="0.25">
      <c r="A280" s="1643" t="s">
        <v>929</v>
      </c>
      <c r="B280" s="1632">
        <v>3000</v>
      </c>
      <c r="C280" s="615"/>
      <c r="D280" s="574">
        <v>16121</v>
      </c>
      <c r="E280" s="615"/>
      <c r="F280" s="615"/>
      <c r="G280" s="615"/>
      <c r="H280" s="615"/>
      <c r="I280" s="615"/>
      <c r="J280" s="615"/>
      <c r="K280" s="1693">
        <f>D280</f>
        <v>16121</v>
      </c>
      <c r="L280" s="574">
        <v>20760</v>
      </c>
    </row>
    <row r="281" spans="1:12" ht="15.75" customHeight="1" thickTop="1" x14ac:dyDescent="0.2">
      <c r="A281" s="1633" t="s">
        <v>144</v>
      </c>
      <c r="B281" s="1634" t="s">
        <v>914</v>
      </c>
      <c r="C281" s="615"/>
      <c r="D281" s="564"/>
      <c r="E281" s="615"/>
      <c r="F281" s="615"/>
      <c r="G281" s="615"/>
      <c r="H281" s="615"/>
      <c r="I281" s="615"/>
      <c r="J281" s="615"/>
      <c r="K281" s="615"/>
      <c r="L281" s="615"/>
    </row>
    <row r="282" spans="1:12" ht="15.75" customHeight="1" x14ac:dyDescent="0.2">
      <c r="A282" s="1845" t="s">
        <v>516</v>
      </c>
      <c r="B282" s="689" t="s">
        <v>1951</v>
      </c>
      <c r="C282" s="615"/>
      <c r="D282" s="467">
        <v>0</v>
      </c>
      <c r="E282" s="615"/>
      <c r="F282" s="615"/>
      <c r="G282" s="615"/>
      <c r="H282" s="615"/>
      <c r="I282" s="615"/>
      <c r="J282" s="615"/>
      <c r="K282" s="1685">
        <f>D282</f>
        <v>0</v>
      </c>
      <c r="L282" s="467">
        <v>0</v>
      </c>
    </row>
    <row r="283" spans="1:12" x14ac:dyDescent="0.2">
      <c r="A283" s="1523" t="s">
        <v>321</v>
      </c>
      <c r="B283" s="613">
        <v>4120</v>
      </c>
      <c r="C283" s="615"/>
      <c r="D283" s="466">
        <v>34483</v>
      </c>
      <c r="E283" s="615"/>
      <c r="F283" s="615"/>
      <c r="G283" s="615"/>
      <c r="H283" s="615"/>
      <c r="I283" s="615"/>
      <c r="J283" s="615"/>
      <c r="K283" s="1685">
        <f>D283</f>
        <v>34483</v>
      </c>
      <c r="L283" s="466">
        <v>34879</v>
      </c>
    </row>
    <row r="284" spans="1:12" x14ac:dyDescent="0.2">
      <c r="A284" s="1523" t="s">
        <v>720</v>
      </c>
      <c r="B284" s="613">
        <v>4140</v>
      </c>
      <c r="C284" s="615"/>
      <c r="D284" s="467">
        <v>0</v>
      </c>
      <c r="E284" s="615"/>
      <c r="F284" s="615"/>
      <c r="G284" s="615"/>
      <c r="H284" s="615"/>
      <c r="I284" s="615"/>
      <c r="J284" s="615"/>
      <c r="K284" s="1685">
        <f>D284</f>
        <v>0</v>
      </c>
      <c r="L284" s="466">
        <v>0</v>
      </c>
    </row>
    <row r="285" spans="1:12" ht="12.75" customHeight="1" thickBot="1" x14ac:dyDescent="0.25">
      <c r="A285" s="1682" t="s">
        <v>1566</v>
      </c>
      <c r="B285" s="1683" t="s">
        <v>914</v>
      </c>
      <c r="C285" s="615"/>
      <c r="D285" s="1684">
        <f>SUM(D282:D284)</f>
        <v>34483</v>
      </c>
      <c r="E285" s="615"/>
      <c r="F285" s="615"/>
      <c r="G285" s="615"/>
      <c r="H285" s="615"/>
      <c r="I285" s="615"/>
      <c r="J285" s="615"/>
      <c r="K285" s="1684">
        <f>SUM(K282:K284)</f>
        <v>34483</v>
      </c>
      <c r="L285" s="1684">
        <f>SUM(L282:L284)</f>
        <v>34879</v>
      </c>
    </row>
    <row r="286" spans="1:12" ht="15.75" customHeight="1" thickTop="1" x14ac:dyDescent="0.2">
      <c r="A286" s="1631" t="s">
        <v>930</v>
      </c>
      <c r="B286" s="1628"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85">
        <f>H288</f>
        <v>0</v>
      </c>
      <c r="L288" s="466">
        <v>0</v>
      </c>
    </row>
    <row r="289" spans="1:14" x14ac:dyDescent="0.2">
      <c r="A289" s="1523" t="s">
        <v>90</v>
      </c>
      <c r="B289" s="613">
        <v>5120</v>
      </c>
      <c r="C289" s="615"/>
      <c r="D289" s="615"/>
      <c r="E289" s="615"/>
      <c r="F289" s="615"/>
      <c r="G289" s="615"/>
      <c r="H289" s="466">
        <v>0</v>
      </c>
      <c r="I289" s="615"/>
      <c r="J289" s="615"/>
      <c r="K289" s="1685">
        <f>H289</f>
        <v>0</v>
      </c>
      <c r="L289" s="466">
        <v>0</v>
      </c>
    </row>
    <row r="290" spans="1:14" ht="12.75" customHeight="1" x14ac:dyDescent="0.2">
      <c r="A290" s="1523" t="s">
        <v>1231</v>
      </c>
      <c r="B290" s="627" t="s">
        <v>637</v>
      </c>
      <c r="C290" s="615"/>
      <c r="D290" s="615"/>
      <c r="E290" s="615"/>
      <c r="F290" s="615"/>
      <c r="G290" s="615"/>
      <c r="H290" s="466">
        <v>0</v>
      </c>
      <c r="I290" s="615"/>
      <c r="J290" s="615"/>
      <c r="K290" s="1685">
        <f>H290</f>
        <v>0</v>
      </c>
      <c r="L290" s="466">
        <v>0</v>
      </c>
    </row>
    <row r="291" spans="1:14" x14ac:dyDescent="0.2">
      <c r="A291" s="1523" t="s">
        <v>91</v>
      </c>
      <c r="B291" s="613" t="s">
        <v>609</v>
      </c>
      <c r="C291" s="615"/>
      <c r="D291" s="615"/>
      <c r="E291" s="615"/>
      <c r="F291" s="615"/>
      <c r="G291" s="615"/>
      <c r="H291" s="466">
        <v>0</v>
      </c>
      <c r="I291" s="615"/>
      <c r="J291" s="615"/>
      <c r="K291" s="1685">
        <f>H291</f>
        <v>0</v>
      </c>
      <c r="L291" s="466">
        <v>0</v>
      </c>
    </row>
    <row r="292" spans="1:14" x14ac:dyDescent="0.2">
      <c r="A292" s="1523" t="s">
        <v>785</v>
      </c>
      <c r="B292" s="613" t="s">
        <v>638</v>
      </c>
      <c r="C292" s="615"/>
      <c r="D292" s="615"/>
      <c r="E292" s="615"/>
      <c r="F292" s="615"/>
      <c r="G292" s="615"/>
      <c r="H292" s="466">
        <v>0</v>
      </c>
      <c r="I292" s="615"/>
      <c r="J292" s="615"/>
      <c r="K292" s="1685">
        <f>H292</f>
        <v>0</v>
      </c>
      <c r="L292" s="466">
        <v>0</v>
      </c>
    </row>
    <row r="293" spans="1:14" ht="12.75" customHeight="1" thickBot="1" x14ac:dyDescent="0.25">
      <c r="A293" s="1682" t="s">
        <v>504</v>
      </c>
      <c r="B293" s="1683" t="s">
        <v>512</v>
      </c>
      <c r="C293" s="615"/>
      <c r="D293" s="615"/>
      <c r="E293" s="615"/>
      <c r="F293" s="615"/>
      <c r="G293" s="615"/>
      <c r="H293" s="1684">
        <f>SUM(H288:H292)</f>
        <v>0</v>
      </c>
      <c r="I293" s="615"/>
      <c r="J293" s="615"/>
      <c r="K293" s="1684">
        <f>SUM(K288:K292)</f>
        <v>0</v>
      </c>
      <c r="L293" s="1684">
        <f>SUM(L288:L292)</f>
        <v>0</v>
      </c>
    </row>
    <row r="294" spans="1:14" ht="15.75" customHeight="1" thickTop="1" thickBot="1" x14ac:dyDescent="0.25">
      <c r="A294" s="1644" t="s">
        <v>931</v>
      </c>
      <c r="B294" s="1632" t="s">
        <v>915</v>
      </c>
      <c r="C294" s="615"/>
      <c r="D294" s="622"/>
      <c r="E294" s="615"/>
      <c r="F294" s="615"/>
      <c r="G294" s="615"/>
      <c r="H294" s="685"/>
      <c r="I294" s="615"/>
      <c r="J294" s="615"/>
      <c r="K294" s="685"/>
      <c r="L294" s="576">
        <v>0</v>
      </c>
    </row>
    <row r="295" spans="1:14" ht="12.75" customHeight="1" thickTop="1" thickBot="1" x14ac:dyDescent="0.25">
      <c r="A295" s="2317" t="s">
        <v>525</v>
      </c>
      <c r="B295" s="2318"/>
      <c r="C295" s="615"/>
      <c r="D295" s="1684">
        <f>SUM(D229,D279,D280,D285)</f>
        <v>649499</v>
      </c>
      <c r="E295" s="615"/>
      <c r="F295" s="615"/>
      <c r="G295" s="615"/>
      <c r="H295" s="1684">
        <f>H293</f>
        <v>0</v>
      </c>
      <c r="I295" s="615"/>
      <c r="J295" s="615"/>
      <c r="K295" s="1684">
        <f>SUM(K229,K279,K280,K285,K293,K294)</f>
        <v>649499</v>
      </c>
      <c r="L295" s="1684">
        <f>SUM(L229,L279,L280,L285,L293,L294)</f>
        <v>736826</v>
      </c>
    </row>
    <row r="296" spans="1:14" ht="13.5" thickTop="1" x14ac:dyDescent="0.2">
      <c r="A296" s="2326" t="s">
        <v>1052</v>
      </c>
      <c r="B296" s="2327"/>
      <c r="C296" s="615"/>
      <c r="D296" s="617"/>
      <c r="E296" s="615"/>
      <c r="F296" s="615"/>
      <c r="G296" s="615"/>
      <c r="H296" s="686"/>
      <c r="I296" s="615"/>
      <c r="J296" s="615"/>
      <c r="K296" s="1698">
        <f>'Revenues 9-14'!G275-'Expenditures 15-22'!K295</f>
        <v>51734</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09" t="s">
        <v>145</v>
      </c>
      <c r="B298" s="2303"/>
      <c r="C298" s="1570"/>
      <c r="D298" s="1571"/>
      <c r="E298" s="1571"/>
      <c r="F298" s="1571"/>
      <c r="G298" s="1571"/>
      <c r="H298" s="1571"/>
      <c r="I298" s="1571"/>
      <c r="J298" s="1571"/>
      <c r="K298" s="1571"/>
      <c r="L298" s="1572"/>
    </row>
    <row r="299" spans="1:14" ht="15.75" customHeight="1" x14ac:dyDescent="0.2">
      <c r="A299" s="1631" t="s">
        <v>146</v>
      </c>
      <c r="B299" s="1634"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6" t="s">
        <v>628</v>
      </c>
      <c r="B301" s="688">
        <v>2530</v>
      </c>
      <c r="C301" s="466">
        <v>0</v>
      </c>
      <c r="D301" s="466">
        <v>0</v>
      </c>
      <c r="E301" s="466">
        <v>278107</v>
      </c>
      <c r="F301" s="466">
        <v>653038</v>
      </c>
      <c r="G301" s="466">
        <v>9291264</v>
      </c>
      <c r="H301" s="466">
        <v>0</v>
      </c>
      <c r="I301" s="467">
        <v>0</v>
      </c>
      <c r="J301" s="467">
        <v>0</v>
      </c>
      <c r="K301" s="1685">
        <f>SUM(C301:J301)</f>
        <v>10222409</v>
      </c>
      <c r="L301" s="467">
        <v>10374637</v>
      </c>
    </row>
    <row r="302" spans="1:14" ht="13.5" customHeight="1" x14ac:dyDescent="0.2">
      <c r="A302" s="1536" t="s">
        <v>1036</v>
      </c>
      <c r="B302" s="613" t="s">
        <v>594</v>
      </c>
      <c r="C302" s="466">
        <v>0</v>
      </c>
      <c r="D302" s="466">
        <v>0</v>
      </c>
      <c r="E302" s="466">
        <v>0</v>
      </c>
      <c r="F302" s="466">
        <v>0</v>
      </c>
      <c r="G302" s="466">
        <v>0</v>
      </c>
      <c r="H302" s="466">
        <v>0</v>
      </c>
      <c r="I302" s="467">
        <v>0</v>
      </c>
      <c r="J302" s="467">
        <v>0</v>
      </c>
      <c r="K302" s="1685">
        <f>SUM(C302:J302)</f>
        <v>0</v>
      </c>
      <c r="L302" s="466">
        <v>0</v>
      </c>
    </row>
    <row r="303" spans="1:14" ht="12.75" customHeight="1" thickBot="1" x14ac:dyDescent="0.25">
      <c r="A303" s="1682" t="s">
        <v>864</v>
      </c>
      <c r="B303" s="1683" t="s">
        <v>589</v>
      </c>
      <c r="C303" s="1691">
        <f>SUM(C301:C302)</f>
        <v>0</v>
      </c>
      <c r="D303" s="1691">
        <f t="shared" ref="D303:L303" si="23">SUM(D301:D302)</f>
        <v>0</v>
      </c>
      <c r="E303" s="1691">
        <f t="shared" si="23"/>
        <v>278107</v>
      </c>
      <c r="F303" s="1691">
        <f t="shared" si="23"/>
        <v>653038</v>
      </c>
      <c r="G303" s="1691">
        <f t="shared" si="23"/>
        <v>9291264</v>
      </c>
      <c r="H303" s="1691">
        <f t="shared" si="23"/>
        <v>0</v>
      </c>
      <c r="I303" s="1691">
        <f t="shared" si="23"/>
        <v>0</v>
      </c>
      <c r="J303" s="1691">
        <f t="shared" si="23"/>
        <v>0</v>
      </c>
      <c r="K303" s="1691">
        <f t="shared" si="23"/>
        <v>10222409</v>
      </c>
      <c r="L303" s="1691">
        <f t="shared" si="23"/>
        <v>10374637</v>
      </c>
    </row>
    <row r="304" spans="1:14" ht="15.75" customHeight="1" thickTop="1" x14ac:dyDescent="0.2">
      <c r="A304" s="1631" t="s">
        <v>147</v>
      </c>
      <c r="B304" s="1632"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7" t="s">
        <v>1956</v>
      </c>
      <c r="B306" s="689" t="s">
        <v>1951</v>
      </c>
      <c r="C306" s="615"/>
      <c r="D306" s="615"/>
      <c r="E306" s="467">
        <v>0</v>
      </c>
      <c r="F306" s="615"/>
      <c r="G306" s="615"/>
      <c r="H306" s="467">
        <v>0</v>
      </c>
      <c r="I306" s="615"/>
      <c r="J306" s="615"/>
      <c r="K306" s="1685">
        <f>SUM(E306,H306)</f>
        <v>0</v>
      </c>
      <c r="L306" s="467">
        <v>0</v>
      </c>
    </row>
    <row r="307" spans="1:14" x14ac:dyDescent="0.2">
      <c r="A307" s="1523" t="s">
        <v>321</v>
      </c>
      <c r="B307" s="613">
        <v>4120</v>
      </c>
      <c r="C307" s="615"/>
      <c r="D307" s="615"/>
      <c r="E307" s="467">
        <v>0</v>
      </c>
      <c r="F307" s="615"/>
      <c r="G307" s="615"/>
      <c r="H307" s="467">
        <v>0</v>
      </c>
      <c r="I307" s="476"/>
      <c r="J307" s="615"/>
      <c r="K307" s="1685">
        <f>SUM(E307,H307)</f>
        <v>0</v>
      </c>
      <c r="L307" s="466">
        <v>0</v>
      </c>
    </row>
    <row r="308" spans="1:14" x14ac:dyDescent="0.2">
      <c r="A308" s="1523" t="s">
        <v>720</v>
      </c>
      <c r="B308" s="613">
        <v>4140</v>
      </c>
      <c r="C308" s="615"/>
      <c r="D308" s="615"/>
      <c r="E308" s="467">
        <v>0</v>
      </c>
      <c r="F308" s="615"/>
      <c r="G308" s="615"/>
      <c r="H308" s="467">
        <v>0</v>
      </c>
      <c r="I308" s="476"/>
      <c r="J308" s="615"/>
      <c r="K308" s="1685">
        <f>SUM(E308,H308)</f>
        <v>0</v>
      </c>
      <c r="L308" s="466">
        <v>0</v>
      </c>
    </row>
    <row r="309" spans="1:14" ht="12.75" customHeight="1" x14ac:dyDescent="0.2">
      <c r="A309" s="1527" t="s">
        <v>721</v>
      </c>
      <c r="B309" s="627">
        <v>4190</v>
      </c>
      <c r="C309" s="615"/>
      <c r="D309" s="615"/>
      <c r="E309" s="467">
        <v>0</v>
      </c>
      <c r="F309" s="615"/>
      <c r="G309" s="615"/>
      <c r="H309" s="467">
        <v>0</v>
      </c>
      <c r="I309" s="476"/>
      <c r="J309" s="615"/>
      <c r="K309" s="1685">
        <f>SUM(E309,H309)</f>
        <v>0</v>
      </c>
      <c r="L309" s="466">
        <v>0</v>
      </c>
    </row>
    <row r="310" spans="1:14" ht="12.75" customHeight="1" thickBot="1" x14ac:dyDescent="0.25">
      <c r="A310" s="1682" t="s">
        <v>1566</v>
      </c>
      <c r="B310" s="1689" t="s">
        <v>914</v>
      </c>
      <c r="C310" s="615"/>
      <c r="D310" s="615"/>
      <c r="E310" s="1684">
        <f>SUM(E306:E309)</f>
        <v>0</v>
      </c>
      <c r="F310" s="615"/>
      <c r="G310" s="615"/>
      <c r="H310" s="1684">
        <f>SUM(H306:H309)</f>
        <v>0</v>
      </c>
      <c r="I310" s="476"/>
      <c r="J310" s="615"/>
      <c r="K310" s="1684">
        <f>SUM(K306:K309)</f>
        <v>0</v>
      </c>
      <c r="L310" s="1691">
        <f>SUM(L306:L309)</f>
        <v>0</v>
      </c>
    </row>
    <row r="311" spans="1:14" ht="15.75" customHeight="1" thickTop="1" thickBot="1" x14ac:dyDescent="0.25">
      <c r="A311" s="1638" t="s">
        <v>950</v>
      </c>
      <c r="B311" s="1630" t="s">
        <v>915</v>
      </c>
      <c r="C311" s="622"/>
      <c r="D311" s="622"/>
      <c r="E311" s="622"/>
      <c r="F311" s="622"/>
      <c r="G311" s="622"/>
      <c r="H311" s="622"/>
      <c r="I311" s="622"/>
      <c r="J311" s="615"/>
      <c r="K311" s="622"/>
      <c r="L311" s="574">
        <v>0</v>
      </c>
    </row>
    <row r="312" spans="1:14" s="673" customFormat="1" ht="12.75" customHeight="1" thickTop="1" thickBot="1" x14ac:dyDescent="0.25">
      <c r="A312" s="2314" t="s">
        <v>294</v>
      </c>
      <c r="B312" s="2315"/>
      <c r="C312" s="1684">
        <f>SUM(C303)</f>
        <v>0</v>
      </c>
      <c r="D312" s="1684">
        <f>SUM(D303)</f>
        <v>0</v>
      </c>
      <c r="E312" s="1684">
        <f>SUM(E303,E310)</f>
        <v>278107</v>
      </c>
      <c r="F312" s="1684">
        <f>SUM(F303)</f>
        <v>653038</v>
      </c>
      <c r="G312" s="1684">
        <f>SUM(G303)</f>
        <v>9291264</v>
      </c>
      <c r="H312" s="1684">
        <f>SUM(H303,H310)</f>
        <v>0</v>
      </c>
      <c r="I312" s="1684">
        <f>SUM(I303)</f>
        <v>0</v>
      </c>
      <c r="J312" s="1684">
        <f>SUM(J303)</f>
        <v>0</v>
      </c>
      <c r="K312" s="1684">
        <f>SUM(K303,K310,K311)</f>
        <v>10222409</v>
      </c>
      <c r="L312" s="1684">
        <f>SUM(L303,L310,L311)</f>
        <v>10374637</v>
      </c>
      <c r="M312" s="664"/>
      <c r="N312" s="664"/>
    </row>
    <row r="313" spans="1:14" ht="13.5" thickTop="1" x14ac:dyDescent="0.2">
      <c r="A313" s="2310" t="s">
        <v>1052</v>
      </c>
      <c r="B313" s="2311"/>
      <c r="C313" s="625"/>
      <c r="D313" s="625"/>
      <c r="E313" s="625"/>
      <c r="F313" s="625"/>
      <c r="G313" s="625"/>
      <c r="H313" s="625"/>
      <c r="I313" s="625"/>
      <c r="J313" s="625"/>
      <c r="K313" s="1699">
        <f>'Revenues 9-14'!H275-'Expenditures 15-22'!K312</f>
        <v>-9089494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23" t="s">
        <v>151</v>
      </c>
      <c r="B315" s="2324"/>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25" t="s">
        <v>953</v>
      </c>
      <c r="B317" s="2324"/>
      <c r="C317" s="1575"/>
      <c r="D317" s="1576"/>
      <c r="E317" s="1576"/>
      <c r="F317" s="1576"/>
      <c r="G317" s="1576"/>
      <c r="H317" s="1576"/>
      <c r="I317" s="1576"/>
      <c r="J317" s="1576"/>
      <c r="K317" s="1576"/>
      <c r="L317" s="1577"/>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8" t="s">
        <v>316</v>
      </c>
      <c r="B319" s="696" t="s">
        <v>298</v>
      </c>
      <c r="C319" s="467">
        <v>0</v>
      </c>
      <c r="D319" s="467">
        <v>0</v>
      </c>
      <c r="E319" s="467">
        <v>0</v>
      </c>
      <c r="F319" s="467">
        <v>0</v>
      </c>
      <c r="G319" s="467">
        <v>0</v>
      </c>
      <c r="H319" s="467">
        <v>0</v>
      </c>
      <c r="I319" s="467">
        <v>0</v>
      </c>
      <c r="J319" s="467">
        <v>0</v>
      </c>
      <c r="K319" s="1685">
        <f>SUM(C319:J319)</f>
        <v>0</v>
      </c>
      <c r="L319" s="467">
        <v>0</v>
      </c>
      <c r="M319" s="664"/>
      <c r="N319" s="664"/>
    </row>
    <row r="320" spans="1:14" s="673" customFormat="1" x14ac:dyDescent="0.2">
      <c r="A320" s="1542" t="s">
        <v>1903</v>
      </c>
      <c r="B320" s="697" t="s">
        <v>299</v>
      </c>
      <c r="C320" s="467">
        <v>0</v>
      </c>
      <c r="D320" s="467">
        <v>0</v>
      </c>
      <c r="E320" s="467">
        <v>87812</v>
      </c>
      <c r="F320" s="467">
        <v>0</v>
      </c>
      <c r="G320" s="467">
        <v>0</v>
      </c>
      <c r="H320" s="467">
        <v>0</v>
      </c>
      <c r="I320" s="467">
        <v>0</v>
      </c>
      <c r="J320" s="467">
        <v>0</v>
      </c>
      <c r="K320" s="1685">
        <f t="shared" ref="K320:K327" si="24">SUM(C320:J320)</f>
        <v>87812</v>
      </c>
      <c r="L320" s="467">
        <v>91800</v>
      </c>
      <c r="M320" s="664"/>
      <c r="N320" s="664"/>
    </row>
    <row r="321" spans="1:14" s="673" customFormat="1" x14ac:dyDescent="0.2">
      <c r="A321" s="1538" t="s">
        <v>317</v>
      </c>
      <c r="B321" s="696" t="s">
        <v>300</v>
      </c>
      <c r="C321" s="467">
        <v>0</v>
      </c>
      <c r="D321" s="467">
        <v>0</v>
      </c>
      <c r="E321" s="467">
        <v>1921</v>
      </c>
      <c r="F321" s="467">
        <v>0</v>
      </c>
      <c r="G321" s="467">
        <v>0</v>
      </c>
      <c r="H321" s="467">
        <v>0</v>
      </c>
      <c r="I321" s="467">
        <v>0</v>
      </c>
      <c r="J321" s="467">
        <v>0</v>
      </c>
      <c r="K321" s="1685">
        <f t="shared" si="24"/>
        <v>1921</v>
      </c>
      <c r="L321" s="467">
        <v>8160</v>
      </c>
      <c r="M321" s="664"/>
      <c r="N321" s="664"/>
    </row>
    <row r="322" spans="1:14" s="673" customFormat="1" x14ac:dyDescent="0.2">
      <c r="A322" s="1538" t="s">
        <v>256</v>
      </c>
      <c r="B322" s="696" t="s">
        <v>301</v>
      </c>
      <c r="C322" s="467">
        <v>0</v>
      </c>
      <c r="D322" s="467">
        <v>0</v>
      </c>
      <c r="E322" s="467">
        <v>185637</v>
      </c>
      <c r="F322" s="467">
        <v>0</v>
      </c>
      <c r="G322" s="467">
        <v>0</v>
      </c>
      <c r="H322" s="467">
        <v>0</v>
      </c>
      <c r="I322" s="467">
        <v>0</v>
      </c>
      <c r="J322" s="467">
        <v>0</v>
      </c>
      <c r="K322" s="1685">
        <f t="shared" si="24"/>
        <v>185637</v>
      </c>
      <c r="L322" s="467">
        <v>200000</v>
      </c>
      <c r="M322" s="664"/>
      <c r="N322" s="664"/>
    </row>
    <row r="323" spans="1:14" s="673" customFormat="1" x14ac:dyDescent="0.2">
      <c r="A323" s="1538" t="s">
        <v>725</v>
      </c>
      <c r="B323" s="696" t="s">
        <v>302</v>
      </c>
      <c r="C323" s="467">
        <v>47700</v>
      </c>
      <c r="D323" s="467">
        <v>11212</v>
      </c>
      <c r="E323" s="467">
        <v>111823</v>
      </c>
      <c r="F323" s="467">
        <v>0</v>
      </c>
      <c r="G323" s="467">
        <v>0</v>
      </c>
      <c r="H323" s="467">
        <v>0</v>
      </c>
      <c r="I323" s="467">
        <v>36088</v>
      </c>
      <c r="J323" s="467">
        <v>0</v>
      </c>
      <c r="K323" s="1685">
        <f t="shared" si="24"/>
        <v>206823</v>
      </c>
      <c r="L323" s="467">
        <v>221624</v>
      </c>
      <c r="M323" s="664"/>
      <c r="N323" s="664"/>
    </row>
    <row r="324" spans="1:14" s="673" customFormat="1" x14ac:dyDescent="0.2">
      <c r="A324" s="1538" t="s">
        <v>257</v>
      </c>
      <c r="B324" s="696" t="s">
        <v>303</v>
      </c>
      <c r="C324" s="467">
        <v>0</v>
      </c>
      <c r="D324" s="467">
        <v>0</v>
      </c>
      <c r="E324" s="467">
        <v>0</v>
      </c>
      <c r="F324" s="467">
        <v>0</v>
      </c>
      <c r="G324" s="467">
        <v>0</v>
      </c>
      <c r="H324" s="467">
        <v>0</v>
      </c>
      <c r="I324" s="467">
        <v>0</v>
      </c>
      <c r="J324" s="467">
        <v>0</v>
      </c>
      <c r="K324" s="1685">
        <f t="shared" si="24"/>
        <v>0</v>
      </c>
      <c r="L324" s="467">
        <v>0</v>
      </c>
      <c r="M324" s="664"/>
      <c r="N324" s="664"/>
    </row>
    <row r="325" spans="1:14" s="673" customFormat="1" ht="22.5" x14ac:dyDescent="0.2">
      <c r="A325" s="1538" t="s">
        <v>1086</v>
      </c>
      <c r="B325" s="697" t="s">
        <v>304</v>
      </c>
      <c r="C325" s="467">
        <v>4300</v>
      </c>
      <c r="D325" s="467">
        <v>0</v>
      </c>
      <c r="E325" s="467">
        <v>45630</v>
      </c>
      <c r="F325" s="467">
        <v>0</v>
      </c>
      <c r="G325" s="467">
        <v>0</v>
      </c>
      <c r="H325" s="467">
        <v>0</v>
      </c>
      <c r="I325" s="467">
        <v>0</v>
      </c>
      <c r="J325" s="467">
        <v>0</v>
      </c>
      <c r="K325" s="1685">
        <f t="shared" si="24"/>
        <v>49930</v>
      </c>
      <c r="L325" s="467">
        <v>106300</v>
      </c>
      <c r="M325" s="664"/>
      <c r="N325" s="664"/>
    </row>
    <row r="326" spans="1:14" s="673" customFormat="1" x14ac:dyDescent="0.2">
      <c r="A326" s="1538" t="s">
        <v>1087</v>
      </c>
      <c r="B326" s="696" t="s">
        <v>305</v>
      </c>
      <c r="C326" s="467">
        <v>0</v>
      </c>
      <c r="D326" s="467">
        <v>0</v>
      </c>
      <c r="E326" s="467">
        <v>0</v>
      </c>
      <c r="F326" s="467">
        <v>0</v>
      </c>
      <c r="G326" s="467">
        <v>0</v>
      </c>
      <c r="H326" s="467">
        <v>0</v>
      </c>
      <c r="I326" s="467">
        <v>0</v>
      </c>
      <c r="J326" s="467">
        <v>0</v>
      </c>
      <c r="K326" s="1685">
        <f t="shared" si="24"/>
        <v>0</v>
      </c>
      <c r="L326" s="467">
        <v>0</v>
      </c>
      <c r="M326" s="664"/>
      <c r="N326" s="664"/>
    </row>
    <row r="327" spans="1:14" s="673" customFormat="1" x14ac:dyDescent="0.2">
      <c r="A327" s="1538" t="s">
        <v>1027</v>
      </c>
      <c r="B327" s="696" t="s">
        <v>306</v>
      </c>
      <c r="C327" s="467">
        <v>0</v>
      </c>
      <c r="D327" s="467">
        <v>0</v>
      </c>
      <c r="E327" s="467">
        <v>23833</v>
      </c>
      <c r="F327" s="467">
        <v>0</v>
      </c>
      <c r="G327" s="467">
        <v>0</v>
      </c>
      <c r="H327" s="467">
        <v>0</v>
      </c>
      <c r="I327" s="467">
        <v>0</v>
      </c>
      <c r="J327" s="467">
        <v>0</v>
      </c>
      <c r="K327" s="1685">
        <f t="shared" si="24"/>
        <v>23833</v>
      </c>
      <c r="L327" s="467">
        <v>5610</v>
      </c>
      <c r="M327" s="664"/>
      <c r="N327" s="664"/>
    </row>
    <row r="328" spans="1:14" s="673" customFormat="1" x14ac:dyDescent="0.2">
      <c r="A328" s="1539" t="s">
        <v>491</v>
      </c>
      <c r="B328" s="689" t="s">
        <v>1193</v>
      </c>
      <c r="C328" s="474">
        <v>0</v>
      </c>
      <c r="D328" s="474">
        <v>0</v>
      </c>
      <c r="E328" s="474">
        <v>0</v>
      </c>
      <c r="F328" s="474">
        <v>0</v>
      </c>
      <c r="G328" s="474">
        <v>0</v>
      </c>
      <c r="H328" s="474">
        <v>0</v>
      </c>
      <c r="I328" s="474">
        <v>0</v>
      </c>
      <c r="J328" s="474">
        <v>0</v>
      </c>
      <c r="K328" s="1713">
        <f>SUM(C328:J328)</f>
        <v>0</v>
      </c>
      <c r="L328" s="474">
        <v>0</v>
      </c>
      <c r="M328" s="664"/>
      <c r="N328" s="664"/>
    </row>
    <row r="329" spans="1:14" s="673" customFormat="1" x14ac:dyDescent="0.2">
      <c r="A329" s="1539" t="s">
        <v>1194</v>
      </c>
      <c r="B329" s="689" t="s">
        <v>1195</v>
      </c>
      <c r="C329" s="474">
        <v>0</v>
      </c>
      <c r="D329" s="474">
        <v>0</v>
      </c>
      <c r="E329" s="474">
        <v>0</v>
      </c>
      <c r="F329" s="474">
        <v>0</v>
      </c>
      <c r="G329" s="474">
        <v>0</v>
      </c>
      <c r="H329" s="474">
        <v>0</v>
      </c>
      <c r="I329" s="474">
        <v>0</v>
      </c>
      <c r="J329" s="474">
        <v>0</v>
      </c>
      <c r="K329" s="1713">
        <f>SUM(C329:J329)</f>
        <v>0</v>
      </c>
      <c r="L329" s="474">
        <v>0</v>
      </c>
      <c r="M329" s="664"/>
      <c r="N329" s="664"/>
    </row>
    <row r="330" spans="1:14" s="673" customFormat="1" ht="12.75" customHeight="1" thickBot="1" x14ac:dyDescent="0.25">
      <c r="A330" s="1714" t="s">
        <v>740</v>
      </c>
      <c r="B330" s="1683" t="s">
        <v>589</v>
      </c>
      <c r="C330" s="1684">
        <f>SUM(C319:C329)</f>
        <v>52000</v>
      </c>
      <c r="D330" s="1684">
        <f t="shared" ref="D330:J330" si="25">SUM(D319:D329)</f>
        <v>11212</v>
      </c>
      <c r="E330" s="1684">
        <f t="shared" si="25"/>
        <v>456656</v>
      </c>
      <c r="F330" s="1684">
        <f t="shared" si="25"/>
        <v>0</v>
      </c>
      <c r="G330" s="1684">
        <f t="shared" si="25"/>
        <v>0</v>
      </c>
      <c r="H330" s="1684">
        <f t="shared" si="25"/>
        <v>0</v>
      </c>
      <c r="I330" s="1684">
        <f t="shared" si="25"/>
        <v>36088</v>
      </c>
      <c r="J330" s="1684">
        <f t="shared" si="25"/>
        <v>0</v>
      </c>
      <c r="K330" s="1684">
        <f>SUM(K319:K329)</f>
        <v>555956</v>
      </c>
      <c r="L330" s="1684">
        <f>SUM(L319:L329)</f>
        <v>633494</v>
      </c>
      <c r="M330" s="664"/>
      <c r="N330" s="664"/>
    </row>
    <row r="331" spans="1:14" s="673" customFormat="1" ht="12.75" customHeight="1" thickTop="1" x14ac:dyDescent="0.2">
      <c r="A331" s="1846" t="s">
        <v>1957</v>
      </c>
      <c r="B331" s="646" t="s">
        <v>914</v>
      </c>
      <c r="C331" s="1848"/>
      <c r="D331" s="1848"/>
      <c r="E331" s="1848"/>
      <c r="F331" s="1848"/>
      <c r="G331" s="1848"/>
      <c r="H331" s="1848"/>
      <c r="I331" s="1848"/>
      <c r="J331" s="1848"/>
      <c r="K331" s="1848"/>
      <c r="L331" s="1848"/>
      <c r="M331" s="664"/>
      <c r="N331" s="664"/>
    </row>
    <row r="332" spans="1:14" s="673" customFormat="1" ht="12.75" customHeight="1" x14ac:dyDescent="0.2">
      <c r="A332" s="1847" t="s">
        <v>516</v>
      </c>
      <c r="B332" s="1842" t="s">
        <v>1951</v>
      </c>
      <c r="C332" s="1848"/>
      <c r="D332" s="1848"/>
      <c r="E332" s="1848"/>
      <c r="F332" s="1848"/>
      <c r="G332" s="1848"/>
      <c r="H332" s="467">
        <v>0</v>
      </c>
      <c r="I332" s="1848"/>
      <c r="J332" s="1848"/>
      <c r="K332" s="1685">
        <f>H332</f>
        <v>0</v>
      </c>
      <c r="L332" s="467">
        <v>0</v>
      </c>
      <c r="M332" s="664"/>
      <c r="N332" s="664"/>
    </row>
    <row r="333" spans="1:14" s="673" customFormat="1" ht="12.75" customHeight="1" x14ac:dyDescent="0.2">
      <c r="A333" s="1847" t="s">
        <v>321</v>
      </c>
      <c r="B333" s="1842" t="s">
        <v>1953</v>
      </c>
      <c r="C333" s="1848"/>
      <c r="D333" s="1848"/>
      <c r="E333" s="1848"/>
      <c r="F333" s="1848"/>
      <c r="G333" s="1848"/>
      <c r="H333" s="467">
        <v>19449</v>
      </c>
      <c r="I333" s="1848"/>
      <c r="J333" s="1848"/>
      <c r="K333" s="1685">
        <f>H333</f>
        <v>19449</v>
      </c>
      <c r="L333" s="467">
        <v>0</v>
      </c>
      <c r="M333" s="664"/>
      <c r="N333" s="664"/>
    </row>
    <row r="334" spans="1:14" s="673" customFormat="1" ht="12.75" customHeight="1" thickBot="1" x14ac:dyDescent="0.25">
      <c r="A334" s="1847" t="s">
        <v>1958</v>
      </c>
      <c r="B334" s="1842" t="s">
        <v>914</v>
      </c>
      <c r="C334" s="1848"/>
      <c r="D334" s="1848"/>
      <c r="E334" s="1848"/>
      <c r="F334" s="1848"/>
      <c r="G334" s="1848"/>
      <c r="H334" s="1684">
        <f>SUM(H332:H333)</f>
        <v>19449</v>
      </c>
      <c r="I334" s="1848"/>
      <c r="J334" s="1848"/>
      <c r="K334" s="1684">
        <f>SUM(K332:K333)</f>
        <v>19449</v>
      </c>
      <c r="L334" s="1684">
        <f>SUM(L332:L333)</f>
        <v>0</v>
      </c>
      <c r="M334" s="664"/>
      <c r="N334" s="664"/>
    </row>
    <row r="335" spans="1:14" ht="15.75" customHeight="1" thickTop="1" x14ac:dyDescent="0.2">
      <c r="A335" s="1635" t="s">
        <v>954</v>
      </c>
      <c r="B335" s="1626"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7" t="s">
        <v>89</v>
      </c>
      <c r="B337" s="689" t="s">
        <v>955</v>
      </c>
      <c r="C337" s="637"/>
      <c r="D337" s="637"/>
      <c r="E337" s="637"/>
      <c r="F337" s="637"/>
      <c r="G337" s="637"/>
      <c r="H337" s="477">
        <v>0</v>
      </c>
      <c r="I337" s="637"/>
      <c r="J337" s="637"/>
      <c r="K337" s="1685">
        <f>H337</f>
        <v>0</v>
      </c>
      <c r="L337" s="477">
        <v>0</v>
      </c>
    </row>
    <row r="338" spans="1:14" ht="12.75" customHeight="1" x14ac:dyDescent="0.2">
      <c r="A338" s="1537" t="s">
        <v>1231</v>
      </c>
      <c r="B338" s="689" t="s">
        <v>637</v>
      </c>
      <c r="C338" s="637"/>
      <c r="D338" s="637"/>
      <c r="E338" s="637"/>
      <c r="F338" s="637"/>
      <c r="G338" s="637"/>
      <c r="H338" s="477">
        <v>0</v>
      </c>
      <c r="I338" s="637"/>
      <c r="J338" s="637"/>
      <c r="K338" s="1685">
        <f>H338</f>
        <v>0</v>
      </c>
      <c r="L338" s="477">
        <v>0</v>
      </c>
    </row>
    <row r="339" spans="1:14" x14ac:dyDescent="0.2">
      <c r="A339" s="1523" t="s">
        <v>956</v>
      </c>
      <c r="B339" s="627">
        <v>5150</v>
      </c>
      <c r="C339" s="637"/>
      <c r="D339" s="637"/>
      <c r="E339" s="637"/>
      <c r="F339" s="637"/>
      <c r="G339" s="637"/>
      <c r="H339" s="467">
        <v>0</v>
      </c>
      <c r="I339" s="637"/>
      <c r="J339" s="637"/>
      <c r="K339" s="1685">
        <f>H339</f>
        <v>0</v>
      </c>
      <c r="L339" s="467">
        <v>0</v>
      </c>
    </row>
    <row r="340" spans="1:14" ht="13.5" thickBot="1" x14ac:dyDescent="0.25">
      <c r="A340" s="1708" t="s">
        <v>957</v>
      </c>
      <c r="B340" s="1683" t="s">
        <v>512</v>
      </c>
      <c r="C340" s="615"/>
      <c r="D340" s="615"/>
      <c r="E340" s="615"/>
      <c r="F340" s="615"/>
      <c r="G340" s="615"/>
      <c r="H340" s="1702">
        <f>SUM(H337:H339)</f>
        <v>0</v>
      </c>
      <c r="I340" s="615"/>
      <c r="J340" s="615"/>
      <c r="K340" s="1702">
        <f>SUM(K337:K339)</f>
        <v>0</v>
      </c>
      <c r="L340" s="1702">
        <f>SUM(L337:L339)</f>
        <v>0</v>
      </c>
    </row>
    <row r="341" spans="1:14" ht="15.75" customHeight="1" thickTop="1" thickBot="1" x14ac:dyDescent="0.25">
      <c r="A341" s="1638" t="s">
        <v>958</v>
      </c>
      <c r="B341" s="1630" t="s">
        <v>915</v>
      </c>
      <c r="C341" s="615"/>
      <c r="D341" s="615"/>
      <c r="E341" s="476"/>
      <c r="F341" s="468"/>
      <c r="G341" s="468"/>
      <c r="H341" s="476"/>
      <c r="I341" s="476"/>
      <c r="J341" s="468"/>
      <c r="K341" s="476"/>
      <c r="L341" s="574">
        <v>0</v>
      </c>
    </row>
    <row r="342" spans="1:14" ht="12.75" customHeight="1" thickTop="1" thickBot="1" x14ac:dyDescent="0.25">
      <c r="A342" s="1700" t="s">
        <v>525</v>
      </c>
      <c r="B342" s="1715"/>
      <c r="C342" s="1684">
        <f>SUM(C330)</f>
        <v>52000</v>
      </c>
      <c r="D342" s="1684">
        <f>SUM(D330)</f>
        <v>11212</v>
      </c>
      <c r="E342" s="1684">
        <f>SUM(E330)</f>
        <v>456656</v>
      </c>
      <c r="F342" s="1684">
        <f>SUM(F330)</f>
        <v>0</v>
      </c>
      <c r="G342" s="1684">
        <f>SUM(G330)</f>
        <v>0</v>
      </c>
      <c r="H342" s="1684">
        <f>SUM(H330,H334,H340)</f>
        <v>19449</v>
      </c>
      <c r="I342" s="1684">
        <f>SUM(I330)</f>
        <v>36088</v>
      </c>
      <c r="J342" s="1684">
        <f>SUM(J330)</f>
        <v>0</v>
      </c>
      <c r="K342" s="1684">
        <f>SUM(K330,K334,K340)</f>
        <v>575405</v>
      </c>
      <c r="L342" s="1691">
        <f>SUM(L330,L340,L341)</f>
        <v>633494</v>
      </c>
    </row>
    <row r="343" spans="1:14" ht="12.75" customHeight="1" thickTop="1" x14ac:dyDescent="0.2">
      <c r="A343" s="2312" t="s">
        <v>1052</v>
      </c>
      <c r="B343" s="2313"/>
      <c r="C343" s="615"/>
      <c r="D343" s="615"/>
      <c r="E343" s="615"/>
      <c r="F343" s="615"/>
      <c r="G343" s="615"/>
      <c r="H343" s="615"/>
      <c r="I343" s="615"/>
      <c r="J343" s="615"/>
      <c r="K343" s="1698">
        <f>'Revenues 9-14'!J275-'Expenditures 15-22'!K342</f>
        <v>140696</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02" t="s">
        <v>1022</v>
      </c>
      <c r="B345" s="2303"/>
      <c r="C345" s="1570"/>
      <c r="D345" s="1571"/>
      <c r="E345" s="1571"/>
      <c r="F345" s="1571"/>
      <c r="G345" s="1571"/>
      <c r="H345" s="1571"/>
      <c r="I345" s="1571"/>
      <c r="J345" s="1571"/>
      <c r="K345" s="1571"/>
      <c r="L345" s="1572"/>
      <c r="M345" s="666"/>
      <c r="N345" s="666"/>
    </row>
    <row r="346" spans="1:14" s="343" customFormat="1" ht="15.75" customHeight="1" x14ac:dyDescent="0.2">
      <c r="A346" s="1642" t="s">
        <v>898</v>
      </c>
      <c r="B346" s="1634"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5918882</v>
      </c>
      <c r="H348" s="466">
        <v>0</v>
      </c>
      <c r="I348" s="467">
        <v>0</v>
      </c>
      <c r="J348" s="467">
        <v>0</v>
      </c>
      <c r="K348" s="1685">
        <f>SUM(C348:J348)</f>
        <v>5918882</v>
      </c>
      <c r="L348" s="466">
        <v>5935000</v>
      </c>
    </row>
    <row r="349" spans="1:14" x14ac:dyDescent="0.2">
      <c r="A349" s="1523" t="s">
        <v>206</v>
      </c>
      <c r="B349" s="613">
        <v>2540</v>
      </c>
      <c r="C349" s="466">
        <v>0</v>
      </c>
      <c r="D349" s="466">
        <v>0</v>
      </c>
      <c r="E349" s="466">
        <v>0</v>
      </c>
      <c r="F349" s="466">
        <v>0</v>
      </c>
      <c r="G349" s="466">
        <v>0</v>
      </c>
      <c r="H349" s="466">
        <v>0</v>
      </c>
      <c r="I349" s="467">
        <v>0</v>
      </c>
      <c r="J349" s="467">
        <v>0</v>
      </c>
      <c r="K349" s="1685">
        <f>SUM(C349:J349)</f>
        <v>0</v>
      </c>
      <c r="L349" s="466">
        <v>0</v>
      </c>
    </row>
    <row r="350" spans="1:14" ht="12.75" customHeight="1" thickBot="1" x14ac:dyDescent="0.25">
      <c r="A350" s="1682" t="s">
        <v>742</v>
      </c>
      <c r="B350" s="1683" t="s">
        <v>35</v>
      </c>
      <c r="C350" s="1684">
        <f>SUM(C348:C349)</f>
        <v>0</v>
      </c>
      <c r="D350" s="1684">
        <f t="shared" ref="D350:L350" si="26">SUM(D348:D349)</f>
        <v>0</v>
      </c>
      <c r="E350" s="1684">
        <f t="shared" si="26"/>
        <v>0</v>
      </c>
      <c r="F350" s="1684">
        <f t="shared" si="26"/>
        <v>0</v>
      </c>
      <c r="G350" s="1684">
        <f t="shared" si="26"/>
        <v>5918882</v>
      </c>
      <c r="H350" s="1684">
        <f t="shared" si="26"/>
        <v>0</v>
      </c>
      <c r="I350" s="1684">
        <f t="shared" si="26"/>
        <v>0</v>
      </c>
      <c r="J350" s="1684">
        <f t="shared" si="26"/>
        <v>0</v>
      </c>
      <c r="K350" s="1684">
        <f t="shared" si="26"/>
        <v>5918882</v>
      </c>
      <c r="L350" s="1684">
        <f t="shared" si="26"/>
        <v>5935000</v>
      </c>
    </row>
    <row r="351" spans="1:14" ht="12.75" customHeight="1" thickTop="1" x14ac:dyDescent="0.2">
      <c r="A351" s="1529"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2" t="s">
        <v>644</v>
      </c>
      <c r="B352" s="1689" t="s">
        <v>589</v>
      </c>
      <c r="C352" s="1684">
        <f>SUM(C350:C351)</f>
        <v>0</v>
      </c>
      <c r="D352" s="1684">
        <f t="shared" ref="D352:L352" si="27">SUM(D350:D351)</f>
        <v>0</v>
      </c>
      <c r="E352" s="1684">
        <f t="shared" si="27"/>
        <v>0</v>
      </c>
      <c r="F352" s="1684">
        <f t="shared" si="27"/>
        <v>0</v>
      </c>
      <c r="G352" s="1684">
        <f t="shared" si="27"/>
        <v>5918882</v>
      </c>
      <c r="H352" s="1684">
        <f t="shared" si="27"/>
        <v>0</v>
      </c>
      <c r="I352" s="1684">
        <f t="shared" si="27"/>
        <v>0</v>
      </c>
      <c r="J352" s="1684">
        <f t="shared" si="27"/>
        <v>0</v>
      </c>
      <c r="K352" s="1684">
        <f t="shared" si="27"/>
        <v>5918882</v>
      </c>
      <c r="L352" s="1684">
        <f t="shared" si="27"/>
        <v>5935000</v>
      </c>
    </row>
    <row r="353" spans="1:14" s="343" customFormat="1" ht="15.75" customHeight="1" thickTop="1" x14ac:dyDescent="0.2">
      <c r="A353" s="1631" t="s">
        <v>645</v>
      </c>
      <c r="B353" s="1628" t="s">
        <v>914</v>
      </c>
      <c r="C353" s="615"/>
      <c r="D353" s="615"/>
      <c r="E353" s="615"/>
      <c r="F353" s="615"/>
      <c r="G353" s="615"/>
      <c r="H353" s="615"/>
      <c r="I353" s="615"/>
      <c r="J353" s="615"/>
      <c r="K353" s="615"/>
      <c r="L353" s="615"/>
      <c r="M353" s="608"/>
      <c r="N353" s="608"/>
    </row>
    <row r="354" spans="1:14" x14ac:dyDescent="0.2">
      <c r="A354" s="1849" t="s">
        <v>1959</v>
      </c>
      <c r="B354" s="682" t="s">
        <v>1951</v>
      </c>
      <c r="C354" s="615"/>
      <c r="D354" s="615"/>
      <c r="E354" s="615"/>
      <c r="F354" s="615"/>
      <c r="G354" s="615"/>
      <c r="H354" s="474">
        <v>0</v>
      </c>
      <c r="I354" s="700"/>
      <c r="J354" s="615"/>
      <c r="K354" s="1713">
        <f>H354</f>
        <v>0</v>
      </c>
      <c r="L354" s="471">
        <v>0</v>
      </c>
    </row>
    <row r="355" spans="1:14" ht="12.75" customHeight="1" x14ac:dyDescent="0.2">
      <c r="A355" s="1532" t="s">
        <v>1960</v>
      </c>
      <c r="B355" s="689" t="s">
        <v>1953</v>
      </c>
      <c r="C355" s="615"/>
      <c r="D355" s="615"/>
      <c r="E355" s="615"/>
      <c r="F355" s="615"/>
      <c r="G355" s="615"/>
      <c r="H355" s="467">
        <v>0</v>
      </c>
      <c r="I355" s="700"/>
      <c r="J355" s="615"/>
      <c r="K355" s="1757">
        <f>H355</f>
        <v>0</v>
      </c>
      <c r="L355" s="467">
        <v>0</v>
      </c>
    </row>
    <row r="356" spans="1:14" ht="12.75" customHeight="1" x14ac:dyDescent="0.2">
      <c r="A356" s="1849" t="s">
        <v>721</v>
      </c>
      <c r="B356" s="682" t="s">
        <v>578</v>
      </c>
      <c r="C356" s="615"/>
      <c r="D356" s="615"/>
      <c r="E356" s="615"/>
      <c r="F356" s="615"/>
      <c r="G356" s="615"/>
      <c r="H356" s="478">
        <v>0</v>
      </c>
      <c r="I356" s="700"/>
      <c r="J356" s="615"/>
      <c r="K356" s="1754">
        <f>H356</f>
        <v>0</v>
      </c>
      <c r="L356" s="478">
        <v>0</v>
      </c>
    </row>
    <row r="357" spans="1:14" ht="12.75" customHeight="1" thickBot="1" x14ac:dyDescent="0.25">
      <c r="A357" s="1682" t="s">
        <v>1566</v>
      </c>
      <c r="B357" s="1683" t="s">
        <v>914</v>
      </c>
      <c r="C357" s="615"/>
      <c r="D357" s="615"/>
      <c r="E357" s="615"/>
      <c r="F357" s="615"/>
      <c r="G357" s="615"/>
      <c r="H357" s="1702">
        <f>SUM(H354:H356)</f>
        <v>0</v>
      </c>
      <c r="I357" s="700"/>
      <c r="J357" s="615"/>
      <c r="K357" s="1702">
        <f>SUM(K354:K356)</f>
        <v>0</v>
      </c>
      <c r="L357" s="1702">
        <f>SUM(L354:L356)</f>
        <v>0</v>
      </c>
    </row>
    <row r="358" spans="1:14" s="343" customFormat="1" ht="15.75" customHeight="1" thickTop="1" x14ac:dyDescent="0.2">
      <c r="A358" s="1631" t="s">
        <v>1004</v>
      </c>
      <c r="B358" s="1628"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85">
        <f>SUM(C360:J360)</f>
        <v>0</v>
      </c>
      <c r="L360" s="466">
        <v>0</v>
      </c>
    </row>
    <row r="361" spans="1:14" ht="12.75" customHeight="1" x14ac:dyDescent="0.2">
      <c r="A361" s="1524" t="s">
        <v>639</v>
      </c>
      <c r="B361" s="601" t="s">
        <v>638</v>
      </c>
      <c r="C361" s="615"/>
      <c r="D361" s="615"/>
      <c r="E361" s="615"/>
      <c r="F361" s="615"/>
      <c r="G361" s="615"/>
      <c r="H361" s="467">
        <v>0</v>
      </c>
      <c r="I361" s="615"/>
      <c r="J361" s="615"/>
      <c r="K361" s="1685">
        <f>SUM(C361:J361)</f>
        <v>0</v>
      </c>
      <c r="L361" s="466">
        <v>0</v>
      </c>
    </row>
    <row r="362" spans="1:14" ht="12.75" customHeight="1" thickBot="1" x14ac:dyDescent="0.25">
      <c r="A362" s="1682" t="s">
        <v>646</v>
      </c>
      <c r="B362" s="1683" t="s">
        <v>741</v>
      </c>
      <c r="C362" s="615"/>
      <c r="D362" s="615"/>
      <c r="E362" s="615"/>
      <c r="F362" s="615"/>
      <c r="G362" s="615"/>
      <c r="H362" s="1717">
        <f>SUM(H360:H361)</f>
        <v>0</v>
      </c>
      <c r="I362" s="615"/>
      <c r="J362" s="615"/>
      <c r="K362" s="1717">
        <f>SUM(K360:K361)</f>
        <v>0</v>
      </c>
      <c r="L362" s="1717">
        <f>SUM(L360:L361)</f>
        <v>0</v>
      </c>
    </row>
    <row r="363" spans="1:14" s="673" customFormat="1" ht="15.75" customHeight="1" thickTop="1" x14ac:dyDescent="0.2">
      <c r="A363" s="659" t="s">
        <v>85</v>
      </c>
      <c r="B363" s="660" t="s">
        <v>38</v>
      </c>
      <c r="C363" s="637"/>
      <c r="D363" s="637"/>
      <c r="E363" s="637"/>
      <c r="F363" s="637"/>
      <c r="G363" s="637"/>
      <c r="H363" s="478">
        <v>0</v>
      </c>
      <c r="I363" s="637"/>
      <c r="J363" s="637"/>
      <c r="K363" s="1713">
        <f>SUM(C363:J363)</f>
        <v>0</v>
      </c>
      <c r="L363" s="478">
        <v>0</v>
      </c>
      <c r="M363" s="664"/>
      <c r="N363" s="664"/>
    </row>
    <row r="364" spans="1:14" s="707" customFormat="1" ht="29.25" customHeight="1" x14ac:dyDescent="0.2">
      <c r="A364" s="701" t="s">
        <v>1769</v>
      </c>
      <c r="B364" s="702">
        <v>5300</v>
      </c>
      <c r="C364" s="703"/>
      <c r="D364" s="704"/>
      <c r="E364" s="704"/>
      <c r="F364" s="703"/>
      <c r="G364" s="704"/>
      <c r="H364" s="705">
        <v>0</v>
      </c>
      <c r="I364" s="704"/>
      <c r="J364" s="704"/>
      <c r="K364" s="1685">
        <f>SUM(C364:J364)</f>
        <v>0</v>
      </c>
      <c r="L364" s="706">
        <v>0</v>
      </c>
    </row>
    <row r="365" spans="1:14" s="673" customFormat="1" ht="12.75" customHeight="1" thickBot="1" x14ac:dyDescent="0.25">
      <c r="A365" s="1540" t="s">
        <v>610</v>
      </c>
      <c r="B365" s="658" t="s">
        <v>512</v>
      </c>
      <c r="C365" s="637"/>
      <c r="D365" s="637"/>
      <c r="E365" s="637"/>
      <c r="F365" s="637"/>
      <c r="G365" s="637"/>
      <c r="H365" s="1717">
        <f>SUM(H362,H363,H364)</f>
        <v>0</v>
      </c>
      <c r="I365" s="637"/>
      <c r="J365" s="637"/>
      <c r="K365" s="1717">
        <f>SUM(K362,K363,K364)</f>
        <v>0</v>
      </c>
      <c r="L365" s="1717">
        <f>SUM(L362,L363,L364)</f>
        <v>0</v>
      </c>
      <c r="M365" s="664"/>
      <c r="N365" s="664"/>
    </row>
    <row r="366" spans="1:14" s="343" customFormat="1" ht="15.75" customHeight="1" thickTop="1" thickBot="1" x14ac:dyDescent="0.25">
      <c r="A366" s="1625" t="s">
        <v>1005</v>
      </c>
      <c r="B366" s="1632" t="s">
        <v>915</v>
      </c>
      <c r="C366" s="622"/>
      <c r="D366" s="622"/>
      <c r="E366" s="622"/>
      <c r="F366" s="622"/>
      <c r="G366" s="622"/>
      <c r="H366" s="622"/>
      <c r="I366" s="622"/>
      <c r="J366" s="615"/>
      <c r="K366" s="622"/>
      <c r="L366" s="571">
        <v>0</v>
      </c>
      <c r="M366" s="608"/>
      <c r="N366" s="608"/>
    </row>
    <row r="367" spans="1:14" ht="12.75" customHeight="1" thickTop="1" thickBot="1" x14ac:dyDescent="0.25">
      <c r="A367" s="1706" t="s">
        <v>525</v>
      </c>
      <c r="B367" s="1718"/>
      <c r="C367" s="1684">
        <f t="shared" ref="C367:L367" si="28">SUM(C352,C357,C365,C366)</f>
        <v>0</v>
      </c>
      <c r="D367" s="1684">
        <f t="shared" si="28"/>
        <v>0</v>
      </c>
      <c r="E367" s="1684">
        <f t="shared" si="28"/>
        <v>0</v>
      </c>
      <c r="F367" s="1684">
        <f t="shared" si="28"/>
        <v>0</v>
      </c>
      <c r="G367" s="1684">
        <f t="shared" si="28"/>
        <v>5918882</v>
      </c>
      <c r="H367" s="1684">
        <f t="shared" si="28"/>
        <v>0</v>
      </c>
      <c r="I367" s="1684">
        <f t="shared" si="28"/>
        <v>0</v>
      </c>
      <c r="J367" s="1684">
        <f t="shared" si="28"/>
        <v>0</v>
      </c>
      <c r="K367" s="1684">
        <f t="shared" si="28"/>
        <v>5918882</v>
      </c>
      <c r="L367" s="1684">
        <f t="shared" si="28"/>
        <v>5935000</v>
      </c>
    </row>
    <row r="368" spans="1:14" ht="13.5" thickTop="1" x14ac:dyDescent="0.2">
      <c r="A368" s="2326" t="s">
        <v>1052</v>
      </c>
      <c r="B368" s="2327"/>
      <c r="C368" s="653"/>
      <c r="D368" s="653"/>
      <c r="E368" s="625"/>
      <c r="F368" s="625"/>
      <c r="G368" s="625"/>
      <c r="H368" s="625"/>
      <c r="I368" s="625"/>
      <c r="J368" s="622"/>
      <c r="K368" s="1685">
        <f>'Revenues 9-14'!K275-'Expenditures 15-22'!K367</f>
        <v>-5891794</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www.w3.org/XML/1998/namespace"/>
    <ds:schemaRef ds:uri="http://schemas.microsoft.com/office/2006/documentManagement/types"/>
    <ds:schemaRef ds:uri="http://purl.org/dc/dcmitype/"/>
    <ds:schemaRef ds:uri="http://purl.org/dc/elements/1.1/"/>
    <ds:schemaRef ds:uri="http://purl.org/dc/term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18</vt:lpstr>
      <vt:lpstr>SF&amp;QC Sec-2</vt:lpstr>
      <vt:lpstr>SF&amp;QC Sec-1</vt:lpstr>
      <vt:lpstr>SF&amp;QC Sec-3</vt:lpstr>
      <vt:lpstr>SSPAF</vt:lpstr>
      <vt:lpstr>CAP</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2018-10-08T16:09:13Z</cp:lastPrinted>
  <dcterms:created xsi:type="dcterms:W3CDTF">2003-10-29T19:06:34Z</dcterms:created>
  <dcterms:modified xsi:type="dcterms:W3CDTF">2018-10-29T19:03:22Z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