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52" i="127" l="1"/>
  <c r="B51" i="12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I33" i="8"/>
  <c r="J33" i="8" s="1"/>
  <c r="J49" i="8" s="1"/>
  <c r="B4172" i="106" s="1"/>
  <c r="D4172" i="106" s="1"/>
  <c r="I34" i="8"/>
  <c r="J34" i="8"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5" i="36"/>
  <c r="D36" i="36"/>
  <c r="D37" i="36"/>
  <c r="D38" i="36"/>
  <c r="D39" i="36"/>
  <c r="D40" i="36"/>
  <c r="D71" i="36"/>
  <c r="D79" i="36"/>
  <c r="E27" i="108"/>
  <c r="G27" i="108"/>
  <c r="G28" i="108"/>
  <c r="E31" i="108"/>
  <c r="G31" i="108"/>
  <c r="E33"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F41" i="34"/>
  <c r="C42" i="34"/>
  <c r="D42" i="34"/>
  <c r="C43" i="34"/>
  <c r="D43" i="34"/>
  <c r="C44" i="34"/>
  <c r="D44" i="34"/>
  <c r="C45" i="34"/>
  <c r="D45" i="34"/>
  <c r="F45" i="34"/>
  <c r="C46" i="34"/>
  <c r="D46" i="34"/>
  <c r="C47" i="34"/>
  <c r="D47" i="34"/>
  <c r="C48" i="34"/>
  <c r="D48" i="34"/>
  <c r="C49" i="34"/>
  <c r="D49" i="34"/>
  <c r="F49" i="34"/>
  <c r="C50" i="34"/>
  <c r="D50" i="34"/>
  <c r="F50" i="34"/>
  <c r="C51" i="34"/>
  <c r="D51" i="34"/>
  <c r="C52" i="34"/>
  <c r="C53" i="34"/>
  <c r="D53" i="34"/>
  <c r="C56" i="34"/>
  <c r="C57" i="34"/>
  <c r="D57" i="34"/>
  <c r="C61" i="34"/>
  <c r="C62" i="34"/>
  <c r="C63" i="34"/>
  <c r="D63" i="34"/>
  <c r="C64" i="34"/>
  <c r="C67" i="34"/>
  <c r="D67" i="34"/>
  <c r="C68" i="34"/>
  <c r="D68" i="34"/>
  <c r="F68" i="34"/>
  <c r="C69" i="34"/>
  <c r="D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9" i="118"/>
  <c r="D11" i="37"/>
  <c r="D22" i="37"/>
  <c r="J22" i="37"/>
  <c r="B1746" i="106"/>
  <c r="D1746" i="106" s="1"/>
  <c r="F27" i="108" l="1"/>
  <c r="F26" i="108"/>
  <c r="D26" i="108"/>
  <c r="B1126" i="106"/>
  <c r="D1126" i="106" s="1"/>
  <c r="H33" i="118"/>
  <c r="F46" i="34"/>
  <c r="F42" i="34"/>
  <c r="F36" i="108"/>
  <c r="D24" i="37"/>
  <c r="B4270" i="106" s="1"/>
  <c r="D4270" i="106" s="1"/>
  <c r="E35" i="108"/>
  <c r="N22" i="3"/>
  <c r="B283" i="106" s="1"/>
  <c r="D283" i="106" s="1"/>
  <c r="J210" i="29"/>
  <c r="B7072" i="106" s="1"/>
  <c r="D7072" i="106" s="1"/>
  <c r="F69" i="34"/>
  <c r="F64" i="34"/>
  <c r="I24" i="12"/>
  <c r="I26" i="12" s="1"/>
  <c r="B7741" i="106" s="1"/>
  <c r="D7741" i="106" s="1"/>
  <c r="H28" i="118"/>
  <c r="K24" i="12"/>
  <c r="I210" i="29"/>
  <c r="B7071" i="106" s="1"/>
  <c r="D7071" i="106" s="1"/>
  <c r="L15" i="11"/>
  <c r="B3459" i="106" s="1"/>
  <c r="D3459" i="106" s="1"/>
  <c r="F31" i="108"/>
  <c r="D5" i="4"/>
  <c r="B3406" i="106" s="1"/>
  <c r="D3406" i="106" s="1"/>
  <c r="D36" i="108"/>
  <c r="D6103" i="106"/>
  <c r="D13" i="7"/>
  <c r="B3726" i="106" s="1"/>
  <c r="D3726" i="106" s="1"/>
  <c r="F21" i="8"/>
  <c r="B1879" i="106" s="1"/>
  <c r="D1879" i="106" s="1"/>
  <c r="L5" i="11"/>
  <c r="B2056" i="106" s="1"/>
  <c r="D2056" i="106" s="1"/>
  <c r="F35" i="34"/>
  <c r="C129" i="29"/>
  <c r="C151" i="29" s="1"/>
  <c r="B1226" i="106" s="1"/>
  <c r="D1226" i="106" s="1"/>
  <c r="G172" i="5"/>
  <c r="G173" i="5" s="1"/>
  <c r="B5778" i="106" s="1"/>
  <c r="D5778" i="106" s="1"/>
  <c r="B7074" i="106"/>
  <c r="D7074" i="106" s="1"/>
  <c r="F131" i="34"/>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D41" i="108" s="1"/>
  <c r="E43" i="108" s="1"/>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K28" i="118"/>
  <c r="O27" i="118" s="1"/>
  <c r="O29" i="118" s="1"/>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B5770" i="106" l="1"/>
  <c r="D5770" i="106" s="1"/>
  <c r="B1225" i="106"/>
  <c r="D1225" i="106" s="1"/>
  <c r="J24" i="12"/>
  <c r="J26" i="12" s="1"/>
  <c r="B7742" i="106" s="1"/>
  <c r="D7742" i="106" s="1"/>
  <c r="D7251" i="106"/>
  <c r="D7250" i="106"/>
  <c r="D7256" i="106"/>
  <c r="B7733" i="106"/>
  <c r="D7733" i="106" s="1"/>
  <c r="K26" i="12"/>
  <c r="B7743" i="106" s="1"/>
  <c r="D7743" i="106" s="1"/>
  <c r="D7253" i="106"/>
  <c r="L16" i="11"/>
  <c r="B2061" i="106" s="1"/>
  <c r="D2061" i="106" s="1"/>
  <c r="J151" i="29"/>
  <c r="B7052" i="106" s="1"/>
  <c r="D7052" i="106" s="1"/>
  <c r="I7" i="4"/>
  <c r="B4444" i="106" s="1"/>
  <c r="D4444"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7732" i="106" l="1"/>
  <c r="D7732" i="106" s="1"/>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K20" i="118"/>
  <c r="D34" i="36" l="1"/>
  <c r="B3411" i="106"/>
  <c r="D3411" i="106" s="1"/>
  <c r="C13" i="3"/>
  <c r="H24" i="118"/>
  <c r="K24" i="118" s="1"/>
  <c r="O23" i="118" s="1"/>
  <c r="O25" i="118" s="1"/>
  <c r="O35" i="118" s="1"/>
  <c r="O37" i="118" s="1"/>
  <c r="B77" i="106" l="1"/>
  <c r="D77" i="106" s="1"/>
  <c r="D4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<sst xmlns="http://schemas.openxmlformats.org/spreadsheetml/2006/main" count="5066" uniqueCount="2130">
  <si>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</si>
  <si>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</si>
  <si>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</si>
  <si>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</si>
  <si>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</si>
  <si>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</si>
  <si>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</si>
  <si>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</si>
  <si>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</si>
  <si>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</si>
  <si>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</si>
  <si>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</si>
  <si>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</si>
  <si>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</si>
  <si>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</si>
  <si>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</si>
  <si>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</si>
  <si>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</si>
  <si>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</si>
  <si>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</si>
  <si>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</si>
  <si>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</si>
  <si>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</si>
  <si>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</si>
  <si>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</si>
  <si>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</si>
  <si>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</si>
  <si>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</si>
  <si>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</si>
  <si>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</si>
  <si>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</si>
  <si>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</si>
  <si>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</si>
  <si>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</si>
  <si>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</si>
  <si>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</si>
  <si>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</si>
  <si>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</si>
  <si>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</si>
  <si>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</si>
  <si>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</si>
  <si>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</si>
  <si>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</si>
  <si>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</si>
  <si>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</si>
  <si>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</si>
  <si>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</si>
  <si>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</si>
  <si>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</si>
  <si>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</si>
  <si>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</si>
  <si>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</si>
  <si>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</si>
  <si>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</si>
  <si>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</si>
  <si>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</si>
  <si>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</si>
  <si>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</si>
  <si>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</si>
  <si>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</si>
  <si>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</si>
  <si>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</si>
  <si>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</si>
  <si>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</si>
  <si>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</si>
  <si>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</si>
  <si>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</si>
  <si>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</si>
  <si>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</si>
  <si>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</si>
  <si>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</si>
  <si>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</si>
  <si>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</si>
  <si>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</si>
  <si>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</si>
  <si>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</si>
  <si>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</si>
  <si>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</si>
  <si>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</si>
  <si>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</si>
  <si>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</si>
  <si>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</si>
  <si>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</si>
  <si>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</si>
  <si>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</si>
  <si>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</si>
  <si>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</si>
  <si>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</si>
  <si>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</si>
  <si>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</si>
  <si>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</si>
  <si>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</si>
  <si>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</si>
  <si>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</si>
  <si>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</si>
  <si>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</si>
  <si>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</si>
  <si>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</si>
  <si>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</si>
  <si>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</si>
  <si>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</si>
  <si>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</si>
  <si>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</si>
  <si>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</si>
  <si>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</si>
  <si>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</si>
  <si>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</si>
  <si>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</si>
  <si>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</si>
  <si>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</si>
  <si>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</si>
  <si>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</si>
  <si>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</si>
  <si>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</si>
  <si>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</si>
  <si>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</si>
  <si>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</si>
  <si>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</si>
  <si>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</si>
  <si>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</si>
  <si>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</si>
  <si>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</si>
  <si>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</si>
  <si>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</si>
  <si>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</si>
  <si>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</si>
  <si>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</si>
  <si>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</si>
  <si>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</si>
  <si>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</si>
  <si>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</si>
  <si>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</si>
  <si>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</si>
  <si>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</si>
  <si>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</si>
  <si>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</si>
  <si>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</si>
  <si>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</si>
  <si>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</si>
  <si>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</si>
  <si>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</si>
  <si>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</si>
  <si>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</si>
  <si>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</si>
  <si>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</si>
  <si>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</si>
  <si>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</si>
  <si>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</si>
  <si>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</si>
  <si>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</si>
  <si>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</si>
  <si>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</si>
  <si>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</si>
  <si>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</si>
  <si>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</si>
  <si>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</si>
  <si>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</si>
  <si>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</si>
  <si>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</si>
  <si>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</si>
  <si>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</si>
  <si>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</si>
  <si>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</si>
  <si>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</si>
  <si>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</si>
  <si>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</si>
  <si>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</si>
  <si>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</si>
  <si>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</si>
  <si>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</si>
  <si>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</si>
  <si>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</si>
  <si>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</si>
  <si>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</si>
  <si>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</si>
  <si>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</si>
  <si>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</si>
  <si>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</si>
  <si>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</si>
  <si>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</si>
  <si>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</si>
  <si>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</si>
  <si>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</si>
  <si>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</si>
  <si>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</si>
  <si>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</si>
  <si>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</si>
  <si>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</si>
  <si>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</si>
  <si>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</si>
  <si>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</si>
  <si>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</si>
  <si>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</si>
  <si>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</si>
  <si>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</si>
  <si>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</si>
  <si>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</si>
  <si>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</si>
  <si>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</si>
  <si>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</si>
  <si>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</si>
  <si>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</si>
  <si>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</si>
  <si>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</si>
  <si>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</si>
  <si>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</si>
  <si>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</si>
  <si>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</si>
  <si>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</si>
  <si>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</si>
  <si>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</si>
  <si>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</si>
  <si>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</si>
  <si>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</si>
  <si>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</si>
  <si>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</si>
  <si>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</si>
  <si>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</si>
  <si>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</si>
  <si>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</si>
  <si>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</si>
  <si>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</si>
  <si>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</si>
  <si>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</si>
  <si>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</si>
  <si>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</si>
  <si>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</si>
  <si>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</si>
  <si>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</si>
  <si>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</si>
  <si>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</si>
  <si>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</si>
  <si>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</si>
  <si>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</si>
  <si>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</si>
  <si>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</si>
  <si>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</si>
  <si>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</si>
  <si>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</si>
  <si>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</si>
  <si>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</si>
  <si>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</si>
  <si>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</si>
  <si>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</si>
  <si>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</si>
  <si>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</si>
  <si>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</si>
  <si>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</si>
  <si>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</si>
  <si>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</si>
  <si>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</si>
  <si>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</si>
  <si>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</si>
  <si>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</si>
  <si>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</si>
  <si>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</si>
  <si>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</si>
  <si>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</si>
  <si>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</si>
  <si>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</si>
  <si>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</si>
  <si>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</si>
  <si>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</si>
  <si>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</si>
  <si>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</si>
  <si>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</si>
  <si>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</si>
  <si>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</si>
  <si>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</si>
  <si>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</si>
  <si>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</si>
  <si>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</si>
  <si>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</si>
  <si>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</si>
  <si>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</si>
  <si>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</si>
  <si>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</si>
  <si>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</si>
  <si>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</si>
  <si>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</si>
  <si>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</si>
  <si>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</si>
  <si>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</si>
  <si>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</si>
  <si>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</si>
  <si>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</si>
  <si>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</si>
  <si>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</si>
  <si>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</si>
  <si>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</si>
  <si>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</si>
  <si>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</si>
  <si>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</si>
  <si>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</si>
  <si>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</si>
  <si>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</si>
  <si>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</si>
  <si>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</si>
  <si>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</si>
  <si>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</si>
  <si>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</si>
  <si>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</si>
  <si>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</si>
  <si>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</si>
  <si>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</si>
  <si>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</si>
  <si>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</si>
  <si>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</si>
  <si>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</si>
  <si>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</si>
  <si>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</si>
  <si>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</si>
  <si>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</si>
  <si>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</si>
  <si>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</si>
  <si>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</si>
  <si>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</si>
  <si>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</si>
  <si>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</si>
  <si>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</si>
  <si>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</si>
  <si>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</si>
  <si>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</si>
  <si>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</si>
  <si>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</si>
  <si>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</si>
  <si>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</si>
  <si>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</si>
  <si>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</si>
  <si>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</si>
  <si>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</si>
  <si>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</si>
  <si>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</si>
  <si>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</si>
  <si>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</si>
  <si>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</si>
  <si>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</si>
  <si>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</si>
  <si>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</si>
  <si>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</si>
  <si>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</si>
  <si>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</si>
  <si>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</si>
  <si>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</si>
  <si>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</si>
  <si>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</si>
  <si>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</si>
  <si>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</si>
  <si>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</si>
  <si>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</si>
  <si>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</si>
  <si>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</si>
  <si>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</si>
  <si>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</si>
  <si>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</si>
  <si>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</si>
  <si>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</si>
  <si>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</si>
  <si>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</si>
  <si>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</si>
  <si>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</si>
  <si>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</si>
  <si>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</si>
  <si>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</si>
  <si>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</si>
  <si>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</si>
  <si>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</si>
  <si>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</si>
  <si>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</si>
  <si>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</si>
  <si>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</si>
  <si>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</si>
  <si>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</si>
  <si>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</si>
  <si>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</si>
  <si>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</si>
  <si>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</si>
  <si>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</si>
  <si>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</si>
  <si>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</si>
  <si>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</si>
  <si>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</si>
  <si>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</si>
  <si>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</si>
  <si>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</si>
  <si>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</si>
  <si>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</si>
  <si>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</si>
  <si>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</si>
  <si>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</si>
  <si>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</si>
  <si>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</si>
  <si>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</si>
  <si>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</si>
  <si>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</si>
  <si>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</si>
  <si>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</si>
  <si>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</si>
  <si>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</si>
  <si>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</si>
  <si>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</si>
  <si>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</si>
  <si>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</si>
  <si>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</si>
  <si>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</si>
  <si>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</si>
  <si>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</si>
  <si>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</si>
  <si>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</si>
  <si>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</si>
  <si>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</si>
  <si>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</si>
  <si>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</si>
  <si>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</si>
  <si>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</si>
  <si>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</si>
  <si>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</si>
  <si>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</si>
  <si>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</si>
  <si>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</si>
  <si>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</si>
  <si>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</si>
  <si>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</si>
  <si>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</si>
  <si>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</si>
  <si>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</si>
  <si>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</si>
  <si>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</si>
  <si>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</si>
  <si>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</si>
  <si>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</si>
  <si>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</si>
  <si>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</si>
  <si>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</si>
  <si>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</si>
  <si>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</si>
  <si>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</si>
  <si>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</si>
  <si>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</si>
  <si>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</si>
  <si>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</si>
  <si>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</si>
  <si>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</si>
  <si>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</si>
  <si>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</si>
  <si>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</si>
  <si>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</si>
  <si>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</si>
  <si>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</si>
  <si>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</si>
  <si>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</si>
  <si>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</si>
  <si>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</si>
  <si>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</si>
  <si>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</si>
  <si>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</si>
  <si>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</si>
  <si>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</si>
  <si>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</si>
  <si>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</si>
  <si>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</si>
  <si>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</si>
  <si>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</si>
  <si>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</si>
  <si>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</si>
  <si>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</si>
  <si>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</si>
  <si>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</si>
  <si>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</si>
  <si>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</si>
  <si>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</si>
  <si>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</si>
  <si>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</si>
  <si>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</si>
  <si>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</si>
  <si>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</si>
  <si>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</si>
  <si>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</si>
  <si>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</si>
  <si>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</si>
  <si>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</si>
  <si>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</si>
  <si>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</si>
  <si>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</si>
  <si>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</si>
  <si>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</si>
  <si>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</si>
  <si>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</si>
  <si>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</si>
  <si>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</si>
  <si>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</si>
  <si>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</si>
  <si>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</si>
  <si>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</si>
  <si>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</si>
  <si>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</si>
  <si>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</si>
  <si>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</si>
  <si>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</si>
  <si>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</si>
  <si>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</si>
  <si>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</si>
  <si>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</si>
  <si>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</si>
  <si>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</si>
  <si>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</si>
  <si>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</si>
  <si>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</si>
  <si>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</si>
  <si>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</si>
  <si>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</si>
  <si>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</si>
  <si>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</si>
  <si>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</si>
  <si>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</si>
  <si>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</si>
  <si>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</si>
  <si>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</si>
  <si>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</si>
  <si>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</si>
  <si>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</si>
  <si>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</si>
  <si>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</si>
  <si>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</si>
  <si>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</si>
  <si>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</si>
  <si>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</si>
  <si>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</si>
  <si>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</si>
  <si>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</si>
  <si>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</si>
  <si>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</si>
  <si>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</si>
  <si>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</si>
  <si>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</si>
  <si>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</si>
  <si>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</si>
  <si>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</si>
  <si>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</si>
  <si>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</si>
  <si>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</si>
  <si>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</si>
  <si>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</si>
  <si>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</si>
  <si>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</si>
  <si>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</si>
  <si>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</si>
  <si>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</si>
  <si>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</si>
  <si>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</si>
  <si>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</si>
  <si>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</si>
  <si>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</si>
  <si>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</si>
  <si>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</si>
  <si>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</si>
  <si>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</si>
  <si>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</si>
  <si>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</si>
  <si>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</si>
  <si>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</si>
  <si>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</si>
  <si>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</si>
  <si>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</si>
  <si>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</si>
  <si>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</si>
  <si>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</si>
  <si>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</si>
  <si>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</si>
  <si>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</si>
  <si>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</si>
  <si>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</si>
  <si>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</si>
  <si>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</si>
  <si>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</si>
  <si>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</si>
  <si>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</si>
  <si>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</si>
  <si>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</si>
  <si>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</si>
  <si>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</si>
  <si>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</si>
  <si>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</si>
  <si>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</si>
  <si>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</si>
  <si>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</si>
  <si>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</si>
  <si>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</si>
  <si>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</si>
  <si>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</si>
  <si>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</si>
  <si>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</si>
  <si>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</si>
  <si>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</si>
  <si>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</si>
  <si>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</si>
  <si>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</si>
  <si>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</si>
  <si>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</si>
  <si>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</si>
  <si>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</si>
  <si>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</si>
  <si>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</si>
  <si>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</si>
  <si>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</si>
  <si>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</si>
  <si>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</si>
  <si>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</si>
  <si>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</si>
  <si>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</si>
  <si>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</si>
  <si>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</si>
  <si>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</si>
  <si>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</si>
  <si>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</si>
  <si>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</si>
  <si>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</si>
  <si>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</si>
  <si>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</si>
  <si>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</si>
  <si>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</si>
  <si>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</si>
  <si>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</si>
  <si>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</si>
  <si>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</si>
  <si>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</si>
  <si>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</si>
  <si>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</si>
  <si>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</si>
  <si>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</si>
  <si>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</si>
  <si>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</si>
  <si>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</si>
  <si>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</si>
  <si>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</si>
  <si>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</si>
  <si>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</si>
  <si>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</si>
  <si>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</si>
  <si>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</si>
  <si>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</si>
  <si>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</si>
  <si>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</si>
  <si>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</si>
  <si>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</si>
  <si>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</si>
  <si>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</si>
  <si>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</si>
  <si>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</si>
  <si>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</si>
  <si>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</si>
  <si>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</si>
  <si>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</si>
  <si>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</si>
  <si>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</si>
  <si>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</si>
  <si>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</si>
  <si>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</si>
  <si>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</si>
  <si>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</si>
  <si>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</si>
  <si>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</si>
  <si>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</si>
  <si>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</si>
  <si>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</si>
  <si>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</si>
  <si>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</si>
  <si>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</si>
  <si>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</si>
  <si>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</si>
  <si>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</si>
  <si>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</si>
  <si>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</si>
  <si>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</si>
  <si>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</si>
  <si>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</si>
  <si>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</si>
  <si>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</si>
  <si>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</si>
  <si>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</si>
  <si>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</si>
  <si>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</si>
  <si>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</si>
  <si>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</si>
  <si>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</si>
  <si>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</si>
  <si>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</si>
  <si>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</si>
  <si>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</si>
  <si>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</si>
  <si>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</si>
  <si>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</si>
  <si>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</si>
  <si>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</si>
  <si>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</si>
  <si>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</si>
  <si>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</si>
  <si>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</si>
  <si>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</si>
  <si>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</si>
  <si>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</si>
  <si>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</si>
  <si>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</si>
  <si>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</si>
  <si>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</si>
  <si>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</si>
  <si>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</si>
  <si>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</si>
  <si>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</si>
  <si>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</si>
  <si>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</si>
  <si>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</si>
  <si>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</si>
  <si>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</si>
  <si>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</si>
  <si>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</si>
  <si>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</si>
  <si>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</si>
  <si>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</si>
  <si>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</si>
  <si>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</si>
  <si>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</si>
  <si>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</si>
  <si>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</si>
  <si>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</si>
  <si>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</si>
  <si>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</si>
  <si>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</si>
  <si>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</si>
  <si>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</si>
  <si>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</si>
  <si>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</si>
  <si>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</si>
  <si>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</si>
  <si>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</si>
  <si>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</si>
  <si>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</si>
  <si>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</si>
  <si>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</si>
  <si>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</si>
  <si>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</si>
  <si>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</si>
  <si>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</si>
  <si>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</si>
  <si>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</si>
  <si>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</si>
  <si>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</si>
  <si>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</si>
  <si>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</si>
  <si>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</si>
  <si>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</si>
  <si>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</si>
  <si>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</si>
  <si>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</si>
  <si>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</si>
  <si>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</si>
  <si>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</si>
  <si>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</si>
  <si>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</si>
  <si>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</si>
  <si>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</si>
  <si>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</si>
  <si>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</si>
  <si>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</si>
  <si>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</si>
  <si>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</si>
  <si>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</si>
  <si>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</si>
  <si>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</si>
  <si>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</si>
  <si>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</si>
  <si>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</si>
  <si>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</si>
  <si>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</si>
  <si>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</si>
  <si>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</si>
  <si>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</si>
  <si>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</si>
  <si>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</si>
  <si>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</si>
  <si>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</si>
  <si>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</si>
  <si>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</si>
  <si>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</si>
  <si>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</si>
  <si>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</si>
  <si>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</si>
  <si>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</si>
  <si>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</si>
  <si>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</si>
  <si>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</si>
  <si>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</si>
  <si>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</si>
  <si>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</si>
  <si>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</si>
  <si>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</si>
  <si>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</si>
  <si>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</si>
  <si>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</si>
  <si>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</si>
  <si>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</si>
  <si>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</si>
  <si>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</si>
  <si>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</si>
  <si>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</si>
  <si>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</si>
  <si>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</si>
  <si>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</si>
  <si>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</si>
  <si>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</si>
  <si>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</si>
  <si>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</si>
  <si>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</si>
  <si>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</si>
  <si>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</si>
  <si>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</si>
  <si>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</si>
  <si>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</si>
  <si>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</si>
  <si>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</si>
  <si>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</si>
  <si>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</si>
  <si>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</si>
  <si>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</si>
  <si>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</si>
  <si>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</si>
  <si>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</si>
  <si>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</si>
  <si>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</si>
  <si>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</si>
  <si>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</si>
  <si>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</si>
  <si>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</si>
  <si>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</si>
  <si>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</si>
  <si>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</si>
  <si>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</si>
  <si>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</si>
  <si>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</si>
  <si>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</si>
  <si>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</si>
  <si>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</si>
  <si>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</si>
  <si>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</si>
  <si>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</si>
  <si>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</si>
  <si>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</si>
  <si>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</si>
  <si>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</si>
  <si>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</si>
  <si>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</si>
  <si>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</si>
  <si>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</si>
  <si>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</si>
  <si>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</si>
  <si>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</si>
  <si>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</si>
  <si>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</si>
  <si>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</si>
  <si>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</si>
  <si>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</si>
  <si>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</si>
  <si>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</si>
  <si>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</si>
  <si>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</si>
  <si>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</si>
  <si>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</si>
  <si>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</si>
  <si>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</si>
  <si>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</si>
  <si>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</si>
  <si>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</si>
  <si>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</si>
  <si>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</si>
  <si>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</si>
  <si>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</si>
  <si>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</si>
  <si>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</si>
  <si>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</si>
  <si>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</si>
  <si>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</si>
  <si>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</si>
  <si>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</si>
  <si>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</si>
  <si>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</si>
  <si>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</si>
  <si>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</si>
  <si>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</si>
  <si>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</si>
  <si>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</si>
  <si>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</si>
  <si>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</si>
  <si>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</si>
  <si>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</si>
  <si>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</si>
  <si>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</si>
  <si>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</si>
  <si>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</si>
  <si>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</si>
  <si>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</si>
  <si>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</si>
  <si>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</si>
  <si>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</si>
  <si>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</si>
  <si>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</si>
  <si>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</si>
  <si>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</si>
  <si>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</si>
  <si>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</si>
  <si>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</si>
  <si>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</si>
  <si>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</si>
  <si>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</si>
  <si>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</si>
  <si>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</si>
  <si>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</si>
  <si>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</si>
  <si>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</si>
  <si>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</si>
  <si>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</si>
  <si>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</si>
  <si>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</si>
  <si>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</si>
  <si>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</si>
  <si>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</si>
  <si>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</si>
  <si>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</si>
  <si>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</si>
  <si>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</si>
  <si>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</si>
  <si>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</si>
  <si>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</si>
  <si>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</si>
  <si>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</si>
  <si>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</si>
  <si>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</si>
  <si>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</si>
  <si>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</si>
  <si>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</si>
  <si>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</si>
  <si>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</si>
  <si>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</si>
  <si>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</si>
  <si>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</si>
  <si>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</si>
  <si>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</si>
  <si>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</si>
  <si>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</si>
  <si>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</si>
  <si>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</si>
  <si>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</si>
  <si>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</si>
  <si>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</si>
  <si>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</si>
  <si>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</si>
  <si>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</si>
  <si>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</si>
  <si>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</si>
  <si>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</si>
  <si>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</si>
  <si>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</si>
  <si>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</si>
  <si>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</si>
  <si>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</si>
  <si>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</si>
  <si>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</si>
  <si>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</si>
  <si>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</si>
  <si>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</si>
  <si>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</si>
  <si>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</si>
  <si>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</si>
  <si>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</si>
  <si>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</si>
  <si>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</si>
  <si>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</si>
  <si>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</si>
  <si>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</si>
  <si>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</si>
  <si>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</si>
  <si>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</si>
  <si>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</si>
  <si>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</si>
  <si>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</si>
  <si>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</si>
  <si>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</si>
  <si>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</si>
  <si>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</si>
  <si>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</si>
  <si>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</si>
  <si>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</si>
  <si>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</si>
  <si>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</si>
  <si>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</si>
  <si>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</si>
  <si>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</si>
  <si>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</si>
  <si>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</si>
  <si>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</si>
  <si>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</si>
  <si>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</si>
  <si>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</si>
  <si>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</si>
  <si>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</si>
  <si>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</si>
  <si>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</si>
  <si>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</si>
  <si>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</si>
  <si>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</si>
  <si>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</si>
  <si>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</si>
  <si>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</si>
  <si>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</si>
  <si>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</si>
  <si>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</si>
  <si>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</si>
  <si>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</si>
  <si>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</si>
  <si>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</si>
  <si>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</si>
  <si>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</si>
  <si>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</si>
  <si>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</si>
  <si>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</si>
  <si>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</si>
  <si>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</si>
  <si>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</si>
  <si>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</si>
  <si>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</si>
  <si>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</si>
  <si>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</si>
  <si>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</si>
  <si>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</si>
  <si>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</si>
  <si>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</si>
  <si>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</si>
  <si>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</si>
  <si>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</si>
  <si>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</si>
  <si>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</si>
  <si>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</si>
  <si>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</si>
  <si>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</si>
  <si>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</si>
  <si>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</si>
  <si>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</si>
  <si>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</si>
  <si>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</si>
  <si>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</si>
  <si>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</si>
  <si>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</si>
  <si>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</si>
  <si>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</si>
  <si>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</si>
  <si>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</si>
  <si>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</si>
  <si>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</si>
  <si>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</si>
  <si>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</si>
  <si>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</si>
  <si>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</si>
  <si>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</si>
  <si>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</si>
  <si>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</si>
  <si>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</si>
  <si>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</si>
  <si>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</si>
  <si>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</si>
  <si>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</si>
  <si>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</si>
  <si>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</si>
  <si>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</si>
  <si>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</si>
  <si>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</si>
  <si>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</si>
  <si>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</si>
  <si>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</si>
  <si>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</si>
  <si>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</si>
  <si>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</si>
  <si>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</si>
  <si>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</si>
  <si>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</si>
  <si>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</si>
  <si>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</si>
  <si>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</si>
  <si>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</si>
  <si>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</si>
  <si>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</si>
  <si>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</si>
  <si>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</si>
  <si>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</si>
  <si>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</si>
  <si>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</si>
  <si>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</si>
  <si>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</si>
  <si>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</si>
  <si>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</si>
  <si>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</si>
  <si>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</si>
  <si>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</si>
  <si>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</si>
  <si>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</si>
  <si>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</si>
  <si>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</si>
  <si>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</si>
  <si>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</si>
  <si>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</si>
  <si>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</si>
  <si>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</si>
  <si>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</si>
  <si>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</si>
  <si>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</si>
  <si>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</si>
  <si>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</si>
  <si>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</si>
  <si>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</si>
  <si>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</si>
  <si>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</si>
  <si>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</si>
  <si>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</si>
  <si>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</si>
  <si>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</si>
  <si>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</si>
  <si>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</si>
  <si>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</si>
  <si>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</si>
  <si>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</si>
  <si>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</si>
  <si>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</si>
  <si>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</si>
  <si>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</si>
  <si>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</si>
  <si>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</si>
  <si>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</si>
  <si>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</si>
  <si>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</si>
  <si>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</si>
  <si>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</si>
  <si>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</si>
  <si>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</si>
  <si>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</si>
  <si>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</si>
  <si>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</si>
  <si>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</si>
  <si>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</si>
  <si>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</si>
  <si>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</si>
  <si>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</si>
  <si>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</si>
  <si>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</si>
  <si>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</si>
  <si>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</si>
  <si>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</si>
  <si>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</si>
  <si>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</si>
  <si>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</si>
  <si>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</si>
  <si>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</si>
  <si>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</si>
  <si>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</si>
  <si>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</si>
  <si>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</si>
  <si>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</si>
  <si>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</si>
  <si>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</si>
  <si>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</si>
  <si>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</si>
  <si>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</si>
  <si>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</si>
  <si>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</si>
  <si>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</si>
  <si>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</si>
  <si>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</si>
  <si>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</si>
  <si>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</si>
  <si>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</si>
  <si>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</si>
  <si>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</si>
  <si>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</si>
  <si>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</si>
  <si>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</si>
  <si>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</si>
  <si>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</si>
  <si>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</si>
  <si>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</si>
  <si>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</si>
  <si>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</si>
  <si>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</si>
  <si>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</si>
  <si>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</si>
  <si>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</si>
  <si>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</si>
  <si>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</si>
  <si>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</si>
  <si>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</si>
  <si>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</si>
  <si>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</si>
  <si>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</si>
  <si>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</si>
  <si>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</si>
  <si>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</si>
  <si>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</si>
  <si>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</si>
  <si>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</si>
  <si>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</si>
  <si>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</si>
  <si>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</si>
  <si>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</si>
  <si>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</si>
  <si>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</si>
  <si>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</si>
  <si>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</si>
  <si>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</si>
  <si>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</si>
  <si>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</si>
  <si>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</si>
  <si>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</si>
  <si>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</si>
  <si>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</si>
  <si>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</si>
  <si>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</si>
  <si>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</si>
  <si>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</si>
  <si>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</si>
  <si>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</si>
  <si>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</si>
  <si>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</si>
  <si>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</si>
  <si>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</si>
  <si>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</si>
  <si>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</si>
  <si>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</si>
  <si>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</si>
  <si>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</si>
  <si>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</si>
  <si>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</si>
  <si>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</si>
  <si>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</si>
  <si>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</si>
  <si>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</si>
  <si>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</si>
  <si>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</si>
  <si>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</si>
  <si>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</si>
  <si>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</si>
  <si>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</si>
  <si>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</si>
  <si>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</si>
  <si>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</si>
  <si>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</si>
  <si>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</si>
  <si>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</si>
  <si>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</si>
  <si>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</si>
  <si>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</si>
  <si>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</si>
  <si>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</si>
  <si>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</si>
  <si>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</si>
  <si>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</si>
  <si>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</si>
  <si>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</si>
  <si>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</si>
  <si>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</si>
  <si>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</si>
  <si>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</si>
  <si>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</si>
  <si>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</si>
  <si>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</si>
  <si>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</si>
  <si>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</si>
  <si>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</si>
  <si>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</si>
  <si>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</si>
  <si>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</si>
  <si>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</si>
  <si>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</si>
  <si>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</si>
  <si>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</si>
  <si>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</si>
  <si>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</si>
  <si>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</si>
  <si>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</si>
  <si>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</si>
  <si>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</si>
  <si>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</si>
  <si>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</si>
  <si>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</si>
  <si>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</si>
  <si>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</si>
  <si>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</si>
  <si>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</si>
  <si>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</si>
  <si>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</si>
  <si>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</si>
  <si>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</si>
  <si>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</si>
  <si>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</si>
  <si>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</si>
  <si>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</si>
  <si>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</si>
  <si>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</si>
  <si>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</si>
  <si>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</si>
  <si>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</si>
  <si>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</si>
  <si>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</si>
  <si>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</si>
  <si>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</si>
  <si>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</si>
  <si>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</si>
  <si>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</si>
  <si>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</si>
  <si>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</si>
  <si>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</si>
  <si>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</si>
  <si>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</si>
  <si>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</si>
  <si>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</si>
  <si>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</si>
  <si>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</si>
  <si>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</si>
  <si>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</si>
  <si>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</si>
  <si>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</si>
  <si>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</si>
  <si>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</si>
  <si>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</si>
  <si>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</si>
  <si>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</si>
  <si>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</si>
  <si>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</si>
  <si>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</si>
  <si>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</si>
  <si>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</si>
  <si>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</si>
  <si>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</si>
  <si>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</si>
  <si>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</si>
  <si>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</si>
  <si>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</si>
  <si>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</si>
  <si>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</si>
  <si>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</si>
  <si>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</si>
  <si>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</si>
  <si>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</si>
  <si>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</si>
  <si>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</si>
  <si>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</si>
  <si>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</si>
  <si>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</si>
  <si>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</si>
  <si>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</si>
  <si>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</si>
  <si>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</si>
  <si>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</si>
  <si>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</si>
  <si>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</si>
  <si>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</si>
  <si>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</si>
  <si>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</si>
  <si>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</si>
  <si>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</si>
  <si>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</si>
  <si>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</si>
  <si>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</si>
  <si>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</si>
  <si>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</si>
  <si>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</si>
  <si>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</si>
  <si>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</si>
  <si>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</si>
  <si>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</si>
  <si>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</si>
  <si>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</si>
  <si>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</si>
  <si>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</si>
  <si>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</si>
  <si>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</si>
  <si>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</si>
  <si>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</si>
  <si>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</si>
  <si>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</si>
  <si>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</si>
  <si>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</si>
  <si>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</si>
  <si>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</si>
  <si>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</si>
  <si>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</si>
  <si>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</si>
  <si>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</si>
  <si>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</si>
  <si>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</si>
  <si>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</si>
  <si>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</si>
  <si>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</si>
  <si>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</si>
  <si>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</si>
  <si>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</si>
  <si>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</si>
  <si>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</si>
  <si>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</si>
  <si>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</si>
  <si>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</si>
  <si>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</si>
  <si>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</si>
  <si>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</si>
  <si>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</si>
  <si>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</si>
  <si>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</si>
  <si>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</si>
  <si>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</si>
  <si>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</si>
  <si>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</si>
  <si>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</si>
  <si>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</si>
  <si>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</si>
  <si>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</si>
  <si>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</si>
  <si>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</si>
  <si>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</si>
  <si>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</si>
  <si>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</si>
  <si>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</si>
  <si>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</si>
  <si>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</si>
  <si>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</si>
  <si>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</si>
  <si>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</si>
  <si>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</si>
  <si>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</si>
  <si>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</si>
  <si>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</si>
  <si>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</si>
  <si>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</si>
  <si>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</si>
  <si>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</si>
  <si>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</si>
  <si>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</si>
  <si>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</si>
  <si>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</si>
  <si>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</si>
  <si>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</si>
  <si>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</si>
  <si>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</si>
  <si>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</si>
  <si>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</si>
  <si>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</si>
  <si>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</si>
  <si>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</si>
  <si>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</si>
  <si>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</si>
  <si>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</si>
  <si>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</si>
  <si>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</si>
  <si>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</si>
  <si>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</si>
  <si>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</si>
  <si>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</si>
  <si>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</si>
  <si>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</si>
  <si>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</si>
  <si>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</si>
  <si>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</si>
  <si>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</si>
  <si>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</si>
  <si>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</si>
  <si>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</si>
  <si>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</si>
  <si>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</si>
  <si>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</si>
  <si>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</si>
  <si>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</si>
  <si>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</si>
  <si>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</si>
  <si>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</si>
  <si>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</si>
  <si>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</si>
  <si>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</si>
  <si>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</si>
  <si>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</si>
  <si>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</si>
  <si>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</si>
  <si>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</si>
  <si>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</si>
  <si>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</si>
  <si>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</si>
  <si>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</si>
  <si>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</si>
  <si>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</si>
  <si>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</si>
  <si>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</si>
  <si>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</si>
  <si>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</si>
  <si>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</si>
  <si>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</si>
  <si>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</si>
  <si>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</si>
  <si>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</si>
  <si>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</si>
  <si>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</si>
  <si>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</si>
  <si>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</si>
  <si>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</si>
  <si>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</si>
  <si>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</si>
  <si>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</si>
  <si>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</si>
  <si>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</si>
  <si>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</si>
  <si>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</si>
  <si>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</si>
  <si>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</si>
  <si>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</si>
  <si>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</si>
  <si>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</si>
  <si>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</si>
  <si>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</si>
  <si>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</si>
  <si>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</si>
  <si>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</si>
  <si>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</si>
  <si>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</si>
  <si>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</si>
  <si>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</si>
  <si>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</si>
  <si>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</si>
  <si>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</si>
  <si>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</si>
  <si>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</si>
  <si>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</si>
  <si>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</si>
  <si>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</si>
  <si>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</si>
  <si>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</si>
  <si>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</si>
  <si>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</si>
  <si>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</si>
  <si>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</si>
  <si>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</si>
  <si>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</si>
  <si>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</si>
  <si>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</si>
  <si>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</si>
  <si>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</si>
  <si>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</si>
  <si>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</si>
  <si>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</si>
  <si>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</si>
  <si>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</si>
  <si>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</si>
  <si>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</si>
  <si>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</si>
  <si>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</si>
  <si>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</si>
  <si>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</si>
  <si>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</si>
  <si>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</si>
  <si>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</si>
  <si>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</si>
  <si>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</si>
  <si>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</si>
  <si>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</si>
  <si>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</si>
  <si>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</si>
  <si>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</si>
  <si>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</si>
  <si>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</si>
  <si>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</si>
  <si>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</si>
  <si>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</si>
  <si>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</si>
  <si>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</si>
  <si>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</si>
  <si>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</si>
  <si>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</si>
  <si>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</si>
  <si>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</si>
  <si>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</si>
  <si>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</si>
  <si>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</si>
  <si>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</si>
  <si>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</si>
  <si>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</si>
  <si>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</si>
  <si>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</si>
  <si>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</si>
  <si>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</si>
  <si>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</si>
  <si>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</si>
  <si>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</si>
  <si>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</si>
  <si>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</si>
  <si>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</si>
  <si>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</si>
  <si>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</si>
  <si>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</si>
  <si>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</si>
  <si>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</si>
  <si>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</si>
  <si>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</si>
  <si>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</si>
  <si>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</si>
  <si>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</si>
  <si>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</si>
  <si>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</si>
  <si>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</si>
  <si>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</si>
  <si>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</si>
  <si>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</si>
  <si>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</si>
  <si>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</si>
  <si>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</si>
  <si>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</si>
  <si>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</si>
  <si>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</si>
  <si>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</si>
  <si>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</si>
  <si>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</si>
  <si>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</si>
  <si>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</si>
  <si>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</si>
  <si>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</si>
  <si>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</si>
  <si>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</si>
  <si>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</si>
  <si>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</si>
  <si>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</si>
  <si>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</si>
  <si>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</si>
  <si>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</si>
  <si>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</si>
  <si>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</si>
  <si>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</si>
  <si>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</si>
  <si>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</si>
  <si>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</si>
  <si>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</si>
  <si>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</si>
  <si>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</si>
  <si>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</si>
  <si>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</si>
  <si>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</si>
  <si>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</si>
  <si>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</si>
  <si>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</si>
  <si>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</si>
  <si>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</si>
  <si>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</si>
  <si>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</si>
  <si>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</si>
  <si>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</si>
  <si>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</si>
  <si>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</si>
  <si>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</si>
  <si>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</si>
  <si>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</si>
  <si>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</si>
  <si>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</si>
  <si>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</si>
  <si>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</si>
  <si>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</si>
  <si>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</si>
  <si>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</si>
  <si>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</si>
  <si>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</si>
  <si>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</si>
  <si>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</si>
  <si>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</si>
  <si>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</si>
  <si>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</si>
  <si>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</si>
  <si>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</si>
  <si>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</si>
  <si>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</si>
  <si>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</si>
  <si>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</si>
  <si>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</si>
  <si>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</si>
  <si>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</si>
  <si>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</si>
  <si>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</si>
  <si>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</si>
  <si>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</si>
  <si>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</si>
  <si>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</si>
  <si>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</si>
  <si>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</si>
  <si>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</si>
  <si>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</si>
  <si>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</si>
  <si>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</si>
  <si>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</si>
  <si>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</si>
  <si>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</si>
  <si>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</si>
  <si>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</si>
  <si>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</si>
  <si>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</si>
  <si>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</si>
  <si>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</si>
  <si>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</si>
  <si>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</si>
  <si>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</si>
  <si>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</si>
  <si>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</si>
  <si>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</si>
  <si>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</si>
  <si>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</si>
  <si>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</si>
  <si>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</si>
  <si>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</si>
  <si>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</si>
  <si>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</si>
  <si>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</si>
  <si>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</si>
  <si>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</si>
  <si>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</si>
  <si>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</si>
  <si>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</si>
  <si>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</si>
  <si>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</si>
  <si>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</si>
  <si>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</si>
  <si>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</si>
  <si>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</si>
  <si>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</si>
  <si>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</si>
  <si>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</si>
  <si>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</si>
  <si>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</si>
  <si>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</si>
  <si>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</si>
  <si>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</si>
  <si>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</si>
  <si>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</si>
  <si>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</si>
  <si>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</si>
  <si>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</si>
  <si>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</si>
  <si>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</si>
  <si>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</si>
  <si>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</si>
  <si>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</si>
  <si>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</si>
  <si>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</si>
  <si>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</si>
  <si>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</si>
  <si>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</si>
  <si>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</si>
  <si>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</si>
  <si>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</si>
  <si>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</si>
  <si>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</si>
  <si>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</si>
  <si>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</si>
  <si>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</si>
  <si>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</si>
  <si>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</si>
  <si>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</si>
  <si>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</si>
  <si>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</si>
  <si>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</si>
  <si>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</si>
  <si>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</si>
  <si>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</si>
  <si>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</si>
  <si>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</si>
  <si>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</si>
  <si>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</si>
  <si>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</si>
  <si>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</si>
  <si>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</si>
  <si>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</si>
  <si>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</si>
  <si>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</si>
  <si>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</si>
  <si>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</si>
  <si>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</si>
  <si>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</si>
  <si>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</si>
  <si>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</si>
  <si>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</si>
  <si>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</si>
  <si>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</si>
  <si>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</si>
  <si>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</si>
  <si>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</si>
  <si>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</si>
  <si>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</si>
  <si>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</si>
  <si>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</si>
  <si>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</si>
  <si>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</si>
  <si>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</si>
  <si>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</si>
  <si>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</si>
  <si>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</si>
  <si>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</si>
  <si>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</si>
  <si>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</si>
  <si>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</si>
  <si>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</si>
  <si>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</si>
  <si>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</si>
  <si>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</si>
  <si>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</si>
  <si>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</si>
  <si>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</si>
  <si>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</si>
  <si>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</si>
  <si>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</si>
  <si>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</si>
  <si>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</si>
  <si>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</si>
  <si>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</si>
  <si>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</si>
  <si>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</si>
  <si>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</si>
  <si>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</si>
  <si>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</si>
  <si>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</si>
  <si>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</si>
  <si>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</si>
  <si>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</si>
  <si>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</si>
  <si>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</si>
  <si>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</si>
  <si>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</si>
  <si>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</si>
  <si>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</si>
  <si>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</si>
  <si>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</si>
  <si>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</si>
  <si>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</si>
  <si>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</si>
  <si>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</si>
  <si>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</si>
  <si>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</si>
  <si>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</si>
  <si>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</si>
  <si>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</si>
  <si>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</si>
  <si>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</si>
  <si>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</si>
  <si>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</si>
  <si>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</si>
  <si>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</si>
  <si>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</si>
  <si>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</si>
  <si>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</si>
  <si>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</si>
  <si>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</si>
  <si>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</si>
  <si>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</si>
  <si>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</si>
  <si>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</si>
  <si>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</si>
  <si>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</si>
  <si>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</si>
  <si>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</si>
  <si>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</si>
  <si>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</si>
  <si>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</si>
  <si>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</si>
  <si>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</si>
  <si>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</si>
  <si>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</si>
  <si>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</si>
  <si>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</si>
  <si>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</si>
  <si>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</si>
  <si>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</si>
  <si>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</si>
  <si>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</si>
  <si>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</si>
  <si>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</si>
  <si>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</si>
  <si>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</si>
  <si>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</si>
  <si>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</si>
  <si>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</si>
  <si>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</si>
  <si>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</si>
  <si>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</si>
  <si>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</si>
  <si>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</si>
  <si>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</si>
  <si>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</si>
  <si>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</si>
  <si>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</si>
  <si>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</si>
  <si>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</si>
  <si>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</si>
  <si>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</si>
  <si>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</si>
  <si>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</si>
  <si>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</si>
  <si>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</si>
  <si>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</si>
  <si>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</si>
  <si>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</si>
  <si>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</si>
  <si>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</si>
  <si>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</si>
  <si>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</si>
  <si>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</si>
  <si>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</si>
  <si>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</si>
  <si>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</si>
  <si>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</si>
  <si>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</si>
  <si>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</si>
  <si>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</si>
  <si>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</si>
  <si>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</si>
  <si>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</si>
  <si>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</si>
  <si>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</si>
  <si>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</si>
  <si>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</si>
  <si>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</si>
  <si>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</si>
  <si>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</si>
  <si>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</si>
  <si>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</si>
  <si>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</si>
  <si>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</si>
  <si>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</si>
  <si>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</si>
  <si>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</si>
  <si>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</si>
  <si>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</si>
  <si>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</si>
  <si>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</si>
  <si>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</si>
  <si>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</si>
  <si>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</si>
  <si>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</si>
  <si>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</si>
  <si>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</si>
  <si>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</si>
  <si>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</si>
  <si>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</si>
  <si>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</si>
  <si>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</si>
  <si>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</si>
  <si>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</si>
  <si>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</si>
  <si>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</si>
  <si>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</si>
  <si>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</si>
  <si>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</si>
  <si>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</si>
  <si>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</si>
  <si>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</si>
  <si>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</si>
  <si>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</si>
  <si>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</si>
  <si>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</si>
  <si>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</si>
  <si>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</si>
  <si>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</si>
  <si>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</si>
  <si>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</si>
  <si>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</si>
  <si>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</si>
  <si>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</si>
  <si>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</si>
  <si>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</si>
  <si>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</si>
  <si>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</si>
  <si>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</si>
  <si>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</si>
  <si>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</si>
  <si>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</si>
  <si>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</si>
  <si>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</si>
  <si>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</si>
  <si>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</si>
  <si>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</si>
  <si>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</si>
  <si>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</si>
  <si>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</si>
  <si>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</si>
  <si>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</si>
  <si>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</si>
  <si>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</si>
  <si>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</si>
  <si>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</si>
  <si>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</si>
  <si>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</si>
  <si>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</si>
  <si>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</si>
  <si>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</si>
  <si>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</si>
  <si>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</si>
  <si>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</si>
  <si>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</si>
  <si>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</si>
  <si>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</si>
  <si>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</si>
  <si>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</si>
  <si>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</si>
  <si>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</si>
  <si>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</si>
  <si>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</si>
  <si>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</si>
  <si>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</si>
  <si>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</si>
  <si>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</si>
  <si>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</si>
  <si>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</si>
  <si>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</si>
  <si>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</si>
  <si>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</si>
  <si>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</si>
  <si>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</si>
  <si>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</si>
  <si>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</si>
  <si>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</si>
  <si>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</si>
  <si>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</si>
  <si>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</si>
  <si>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</si>
  <si>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</si>
  <si>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</si>
  <si>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</si>
  <si>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</si>
  <si>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</si>
  <si>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</si>
  <si>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</si>
  <si>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</si>
  <si>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</si>
  <si>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</si>
  <si>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</si>
  <si>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</si>
  <si>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</si>
  <si>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</si>
  <si>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</si>
  <si>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</si>
  <si>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</si>
  <si>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</si>
  <si>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</si>
  <si>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</si>
  <si>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</si>
  <si>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</si>
  <si>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</si>
  <si>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</si>
  <si>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</si>
  <si>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</si>
  <si>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</si>
  <si>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</si>
  <si>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</si>
  <si>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</si>
  <si>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</si>
  <si>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</si>
  <si>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</si>
  <si>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</si>
  <si>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</si>
  <si>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</si>
  <si>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</si>
  <si>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</si>
  <si>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</si>
  <si>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</si>
  <si>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</si>
  <si>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</si>
  <si>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</si>
  <si>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</si>
  <si>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</si>
  <si>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</si>
  <si>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</si>
  <si>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</si>
  <si>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</si>
  <si>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</si>
  <si>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</si>
  <si>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</si>
  <si>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</si>
  <si>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</si>
  <si>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</si>
  <si>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</si>
  <si>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</si>
  <si>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</si>
  <si>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</si>
  <si>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28-037-2270-26</t>
  </si>
  <si>
    <t>Henry</t>
  </si>
  <si>
    <t>Cambridge Community Unit School District No. 227</t>
  </si>
  <si>
    <t>300 South West Street</t>
  </si>
  <si>
    <t>Cambridge</t>
  </si>
  <si>
    <t>takers@district227.org</t>
  </si>
  <si>
    <t>Thomas Akers</t>
  </si>
  <si>
    <t>309-937-2144</t>
  </si>
  <si>
    <t>309-937-5128</t>
  </si>
  <si>
    <t>Thomas Peffer, CPA</t>
  </si>
  <si>
    <t>tpeffer@gorenzcpa.com</t>
  </si>
  <si>
    <t>GO Life Safety Bonds</t>
  </si>
  <si>
    <t>x</t>
  </si>
  <si>
    <t>Alwood School District</t>
  </si>
  <si>
    <t>Constallation New Energy</t>
  </si>
  <si>
    <t>Praire State Insurance Cooperative</t>
  </si>
  <si>
    <t>Bureau, Henry, Stark Regional Office of Education</t>
  </si>
  <si>
    <t>Henry Stark Special Education Association</t>
  </si>
  <si>
    <t>Alwood School District, Galva School District, QCCTEC</t>
  </si>
  <si>
    <t>NONE</t>
  </si>
  <si>
    <t>There were no findings for the prior year ending June 30, 2017</t>
  </si>
  <si>
    <t>066-005027</t>
  </si>
  <si>
    <t>Adverse due to the use of the Regulatory Basis of Accounting.</t>
  </si>
  <si>
    <t>Alternative Revenue Bonds</t>
  </si>
  <si>
    <t>Refunding Bonds</t>
  </si>
  <si>
    <t>No contracts for the year ended June 30, 2018</t>
  </si>
  <si>
    <t>Page 10, Line 81 - After School Program</t>
  </si>
  <si>
    <t>Page 10, Line 91 - One to One Insurance for Chromebooks</t>
  </si>
  <si>
    <t>Page 11, Line 107 -</t>
  </si>
  <si>
    <t>Education - Rebates and Reimbursements</t>
  </si>
  <si>
    <t>Operations and Maintenance - Reimbursement</t>
  </si>
  <si>
    <t>Transportation - College for Kids Reimbursement</t>
  </si>
  <si>
    <t>Captial Projects - Contingency Funds Related to Bond Issue</t>
  </si>
  <si>
    <t>Tort - Unsurance Checks for Repairs, Recovery Reimbursement for Roof Leak</t>
  </si>
  <si>
    <t>Fire Prevention and Safety - Sale of Old Fuel Barrel</t>
  </si>
  <si>
    <t>Page 12, Line 171 - Library Grant</t>
  </si>
  <si>
    <t>Page 16, Line 73 - Title I Homeless Supplies - Clothing, Gas Cards</t>
  </si>
  <si>
    <t>Page 12, Line 183 - REAP Grant</t>
  </si>
  <si>
    <t>Page 18, Line 171 - Geothermal Bond Fees, Roof Bond Fees</t>
  </si>
  <si>
    <t>Page 24, Lines 31 and 34 - Issues $736,000 of Refunding Bonds to Retire $716,820 of the GO Life Safety Bonds</t>
  </si>
  <si>
    <t>Page 29, Line 80 - "PLEASE ENTER CONTRACTS PAID IN THE CURRENT YEAR"</t>
  </si>
  <si>
    <t>For the current fiscal year under audit, the district did not have any qualifying contracts</t>
  </si>
  <si>
    <t>exceeding the $25,000 limit.</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</si>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</sst>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0" t="s">
        <v>425</v>
      </c>
      <c r="J1" s="2031"/>
      <c r="K1" s="2031"/>
      <c r="L1" s="2031"/>
      <c r="M1" s="2031"/>
      <c r="N1" s="2031"/>
      <c r="O1" s="2031"/>
      <c r="P1" s="2031"/>
      <c r="Q1" s="2031"/>
      <c r="R1" s="2031"/>
      <c r="S1" s="2031"/>
    </row>
    <row r="2" spans="1:28" ht="12" customHeight="1" x14ac:dyDescent="0.2">
      <c r="A2" s="47" t="s">
        <v>1684</v>
      </c>
      <c r="D2" s="48"/>
      <c r="I2" s="2032" t="s">
        <v>1036</v>
      </c>
      <c r="J2" s="2031"/>
      <c r="K2" s="2031"/>
      <c r="L2" s="2031"/>
      <c r="M2" s="2031"/>
      <c r="N2" s="2031"/>
      <c r="O2" s="2031"/>
      <c r="P2" s="2031"/>
      <c r="Q2" s="2031"/>
      <c r="R2" s="2031"/>
      <c r="S2" s="2031"/>
    </row>
    <row r="3" spans="1:28" ht="12" customHeight="1" x14ac:dyDescent="0.2">
      <c r="A3" s="155" t="s">
        <v>1685</v>
      </c>
      <c r="B3" s="156"/>
      <c r="C3" s="156"/>
      <c r="D3" s="157"/>
      <c r="I3" s="2032" t="s">
        <v>54</v>
      </c>
      <c r="J3" s="2031"/>
      <c r="K3" s="2031"/>
      <c r="L3" s="2031"/>
      <c r="M3" s="2031"/>
      <c r="N3" s="2031"/>
      <c r="O3" s="2031"/>
      <c r="P3" s="2031"/>
      <c r="Q3" s="2031"/>
      <c r="R3" s="2031"/>
      <c r="S3" s="2031"/>
    </row>
    <row r="4" spans="1:28" ht="12" customHeight="1" x14ac:dyDescent="0.2">
      <c r="A4" s="37"/>
      <c r="I4" s="2032" t="s">
        <v>545</v>
      </c>
      <c r="J4" s="2031"/>
      <c r="K4" s="2031"/>
      <c r="L4" s="2031"/>
      <c r="M4" s="2031"/>
      <c r="N4" s="2031"/>
      <c r="O4" s="2031"/>
      <c r="P4" s="2031"/>
      <c r="Q4" s="2031"/>
      <c r="R4" s="2031"/>
      <c r="S4" s="2031"/>
    </row>
    <row r="5" spans="1:28" ht="14.1" customHeight="1" x14ac:dyDescent="0.2">
      <c r="B5" s="104" t="s">
        <v>2077</v>
      </c>
      <c r="C5" s="26" t="s">
        <v>966</v>
      </c>
      <c r="D5" s="84"/>
      <c r="E5" s="84"/>
      <c r="H5" s="38"/>
      <c r="I5" s="2039" t="s">
        <v>701</v>
      </c>
      <c r="J5" s="1984"/>
      <c r="K5" s="1984"/>
      <c r="L5" s="1984"/>
      <c r="M5" s="1984"/>
      <c r="N5" s="1984"/>
      <c r="O5" s="1984"/>
      <c r="P5" s="1984"/>
      <c r="Q5" s="1984"/>
      <c r="R5" s="1984"/>
      <c r="S5" s="1984"/>
    </row>
    <row r="6" spans="1:28" ht="14.1" customHeight="1" x14ac:dyDescent="0.2">
      <c r="B6" s="104"/>
      <c r="C6" s="26" t="s">
        <v>967</v>
      </c>
      <c r="D6" s="84"/>
      <c r="E6" s="84"/>
      <c r="I6" s="2038" t="s">
        <v>938</v>
      </c>
      <c r="J6" s="1984"/>
      <c r="K6" s="1984"/>
      <c r="L6" s="1984"/>
      <c r="M6" s="1984"/>
      <c r="N6" s="1984"/>
      <c r="O6" s="1984"/>
      <c r="P6" s="1984"/>
      <c r="Q6" s="1984"/>
      <c r="R6" s="1984"/>
      <c r="S6" s="1984"/>
    </row>
    <row r="7" spans="1:28" ht="12.2" customHeight="1" x14ac:dyDescent="0.2">
      <c r="I7" s="2033">
        <v>43281</v>
      </c>
      <c r="J7" s="2034"/>
      <c r="K7" s="2034"/>
      <c r="L7" s="2034"/>
      <c r="M7" s="2034"/>
      <c r="N7" s="2034"/>
      <c r="O7" s="2034"/>
      <c r="P7" s="2034"/>
      <c r="Q7" s="2034"/>
      <c r="R7" s="2034"/>
      <c r="S7" s="203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5" t="s">
        <v>695</v>
      </c>
      <c r="J9" s="2036"/>
      <c r="K9" s="2036"/>
      <c r="L9" s="2036"/>
      <c r="M9" s="2036"/>
      <c r="N9" s="2036"/>
      <c r="O9" s="2036"/>
      <c r="P9" s="2036"/>
      <c r="Q9" s="2036"/>
      <c r="R9" s="2036"/>
      <c r="S9" s="2037"/>
      <c r="T9" s="1980" t="s">
        <v>554</v>
      </c>
      <c r="U9" s="1981"/>
      <c r="V9" s="1981"/>
      <c r="W9" s="1981"/>
      <c r="X9" s="1981"/>
      <c r="Y9" s="1981"/>
      <c r="Z9" s="1981"/>
      <c r="AA9" s="1982"/>
    </row>
    <row r="10" spans="1:28" ht="13.5" customHeight="1" x14ac:dyDescent="0.2">
      <c r="A10" s="1989" t="s">
        <v>696</v>
      </c>
      <c r="B10" s="1990"/>
      <c r="C10" s="1990"/>
      <c r="D10" s="1990"/>
      <c r="E10" s="1990"/>
      <c r="F10" s="1990"/>
      <c r="G10" s="1990"/>
      <c r="H10" s="1991"/>
      <c r="I10" s="29"/>
      <c r="J10" s="30"/>
      <c r="K10" s="28"/>
      <c r="R10" s="30"/>
      <c r="S10" s="30"/>
      <c r="T10" s="1983"/>
      <c r="U10" s="1984"/>
      <c r="V10" s="1984"/>
      <c r="W10" s="1984"/>
      <c r="X10" s="1984"/>
      <c r="Y10" s="1984"/>
      <c r="Z10" s="1984"/>
      <c r="AA10" s="1985"/>
    </row>
    <row r="11" spans="1:28" ht="14.25" customHeight="1" x14ac:dyDescent="0.2">
      <c r="A11" s="1992" t="s">
        <v>1012</v>
      </c>
      <c r="B11" s="1993"/>
      <c r="C11" s="1993"/>
      <c r="D11" s="1993"/>
      <c r="E11" s="1993"/>
      <c r="F11" s="1993"/>
      <c r="G11" s="1993"/>
      <c r="H11" s="1994"/>
      <c r="I11" s="27"/>
      <c r="J11" s="74"/>
      <c r="K11" s="27"/>
      <c r="O11" s="148" t="s">
        <v>2077</v>
      </c>
      <c r="P11" s="100" t="s">
        <v>210</v>
      </c>
      <c r="Q11" s="30"/>
      <c r="R11" s="28"/>
      <c r="S11" s="27"/>
      <c r="T11" s="1986"/>
      <c r="U11" s="1987"/>
      <c r="V11" s="1987"/>
      <c r="W11" s="1987"/>
      <c r="X11" s="1987"/>
      <c r="Y11" s="1987"/>
      <c r="Z11" s="1987"/>
      <c r="AA11" s="198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0" t="s">
        <v>2086</v>
      </c>
      <c r="B13" s="2001"/>
      <c r="C13" s="2001"/>
      <c r="D13" s="2001"/>
      <c r="E13" s="2001"/>
      <c r="F13" s="2001"/>
      <c r="G13" s="2001"/>
      <c r="H13" s="2002"/>
      <c r="I13" s="31"/>
      <c r="J13" s="30"/>
      <c r="K13" s="28"/>
      <c r="L13" s="30"/>
      <c r="M13" s="30"/>
      <c r="N13" s="30"/>
      <c r="O13" s="30"/>
      <c r="P13" s="30"/>
      <c r="Q13" s="30"/>
      <c r="R13" s="30"/>
      <c r="S13" s="30"/>
      <c r="T13" s="2005" t="s">
        <v>2078</v>
      </c>
      <c r="U13" s="2006"/>
      <c r="V13" s="2006"/>
      <c r="W13" s="2006"/>
      <c r="X13" s="2006"/>
      <c r="Y13" s="2007"/>
      <c r="Z13" s="2007"/>
      <c r="AA13" s="200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8" t="s">
        <v>2087</v>
      </c>
      <c r="B15" s="2003"/>
      <c r="C15" s="2003"/>
      <c r="D15" s="2003"/>
      <c r="E15" s="2003"/>
      <c r="F15" s="2003"/>
      <c r="G15" s="2003"/>
      <c r="H15" s="2004"/>
      <c r="T15" s="1966" t="s">
        <v>2095</v>
      </c>
      <c r="U15" s="1967"/>
      <c r="V15" s="1967"/>
      <c r="W15" s="1967"/>
      <c r="X15" s="1967"/>
      <c r="Y15" s="2009"/>
      <c r="Z15" s="2009"/>
      <c r="AA15" s="201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8" t="s">
        <v>2088</v>
      </c>
      <c r="B17" s="2028"/>
      <c r="C17" s="2028"/>
      <c r="D17" s="2028"/>
      <c r="E17" s="2028"/>
      <c r="F17" s="2028"/>
      <c r="G17" s="2028"/>
      <c r="H17" s="2029"/>
      <c r="T17" s="2015" t="s">
        <v>2079</v>
      </c>
      <c r="U17" s="2016"/>
      <c r="V17" s="2016"/>
      <c r="W17" s="2016"/>
      <c r="X17" s="2016"/>
      <c r="Y17" s="2016"/>
      <c r="Z17" s="2016"/>
      <c r="AA17" s="2017"/>
    </row>
    <row r="18" spans="1:27" ht="13.5" customHeight="1" x14ac:dyDescent="0.2">
      <c r="A18" s="85" t="s">
        <v>551</v>
      </c>
      <c r="B18" s="76"/>
      <c r="C18" s="72"/>
      <c r="D18" s="76"/>
      <c r="E18" s="76"/>
      <c r="F18" s="76"/>
      <c r="G18" s="76"/>
      <c r="H18" s="56"/>
      <c r="I18" s="2025" t="s">
        <v>697</v>
      </c>
      <c r="J18" s="2026"/>
      <c r="K18" s="2026"/>
      <c r="L18" s="2026"/>
      <c r="M18" s="2026"/>
      <c r="N18" s="2026"/>
      <c r="O18" s="2026"/>
      <c r="P18" s="2026"/>
      <c r="Q18" s="2026"/>
      <c r="R18" s="2026"/>
      <c r="S18" s="2027"/>
      <c r="T18" s="85" t="s">
        <v>735</v>
      </c>
      <c r="U18" s="51"/>
      <c r="V18" s="72"/>
      <c r="W18" s="50"/>
      <c r="X18" s="85" t="s">
        <v>284</v>
      </c>
      <c r="Y18" s="81"/>
      <c r="Z18" s="159" t="s">
        <v>698</v>
      </c>
      <c r="AA18" s="46"/>
    </row>
    <row r="19" spans="1:27" ht="13.5" customHeight="1" x14ac:dyDescent="0.2">
      <c r="A19" s="1998" t="s">
        <v>2089</v>
      </c>
      <c r="B19" s="1999"/>
      <c r="C19" s="1999"/>
      <c r="D19" s="1999"/>
      <c r="E19" s="1999"/>
      <c r="F19" s="1999"/>
      <c r="G19" s="1999"/>
      <c r="H19" s="1997"/>
      <c r="I19" s="30"/>
      <c r="J19" s="99"/>
      <c r="K19" s="40"/>
      <c r="L19" s="38"/>
      <c r="M19" s="112" t="s">
        <v>333</v>
      </c>
      <c r="P19" s="27"/>
      <c r="Q19" s="27"/>
      <c r="R19" s="27"/>
      <c r="S19" s="31"/>
      <c r="T19" s="1998" t="s">
        <v>2080</v>
      </c>
      <c r="U19" s="1996"/>
      <c r="V19" s="1996"/>
      <c r="W19" s="1997"/>
      <c r="X19" s="2013" t="s">
        <v>2081</v>
      </c>
      <c r="Y19" s="2014"/>
      <c r="Z19" s="2011">
        <v>61614</v>
      </c>
      <c r="AA19" s="201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5" t="s">
        <v>2090</v>
      </c>
      <c r="B21" s="1996"/>
      <c r="C21" s="1996"/>
      <c r="D21" s="1996"/>
      <c r="E21" s="1996"/>
      <c r="F21" s="1996"/>
      <c r="G21" s="1996"/>
      <c r="H21" s="1997"/>
      <c r="I21" s="2021" t="s">
        <v>699</v>
      </c>
      <c r="J21" s="1984"/>
      <c r="K21" s="1984"/>
      <c r="L21" s="1984"/>
      <c r="M21" s="1984"/>
      <c r="N21" s="1984"/>
      <c r="O21" s="1984"/>
      <c r="P21" s="1984"/>
      <c r="Q21" s="1984"/>
      <c r="R21" s="1984"/>
      <c r="S21" s="1985"/>
      <c r="T21" s="1963" t="s">
        <v>2082</v>
      </c>
      <c r="U21" s="1964"/>
      <c r="V21" s="1964"/>
      <c r="W21" s="1964"/>
      <c r="X21" s="1977" t="s">
        <v>2083</v>
      </c>
      <c r="Y21" s="1978"/>
      <c r="Z21" s="1978"/>
      <c r="AA21" s="1979"/>
    </row>
    <row r="22" spans="1:27" ht="13.5" customHeight="1" x14ac:dyDescent="0.2">
      <c r="A22" s="87" t="s">
        <v>552</v>
      </c>
      <c r="B22" s="59"/>
      <c r="C22" s="59"/>
      <c r="D22" s="59"/>
      <c r="E22" s="59"/>
      <c r="F22" s="59"/>
      <c r="G22" s="59"/>
      <c r="H22" s="60"/>
      <c r="I22" s="2022" t="s">
        <v>1504</v>
      </c>
      <c r="J22" s="2023"/>
      <c r="K22" s="2023"/>
      <c r="L22" s="2023"/>
      <c r="M22" s="2023"/>
      <c r="N22" s="2023"/>
      <c r="O22" s="2023"/>
      <c r="P22" s="2023"/>
      <c r="Q22" s="2023"/>
      <c r="R22" s="2023"/>
      <c r="S22" s="2024"/>
      <c r="T22" s="85" t="s">
        <v>1596</v>
      </c>
      <c r="U22" s="51"/>
      <c r="V22" s="72"/>
      <c r="W22" s="51"/>
      <c r="X22" s="160" t="s">
        <v>1385</v>
      </c>
      <c r="Z22" s="45"/>
      <c r="AA22" s="46"/>
    </row>
    <row r="23" spans="1:27" ht="13.5" customHeight="1" x14ac:dyDescent="0.2">
      <c r="A23" s="2018" t="s">
        <v>2091</v>
      </c>
      <c r="B23" s="2019"/>
      <c r="C23" s="2019"/>
      <c r="D23" s="2019"/>
      <c r="E23" s="2019"/>
      <c r="F23" s="2019"/>
      <c r="G23" s="2019"/>
      <c r="H23" s="2020"/>
      <c r="T23" s="1958" t="s">
        <v>2107</v>
      </c>
      <c r="U23" s="1959"/>
      <c r="V23" s="1959"/>
      <c r="W23" s="1959"/>
      <c r="X23" s="1974">
        <v>44530</v>
      </c>
      <c r="Y23" s="1975"/>
      <c r="Z23" s="1975"/>
      <c r="AA23" s="1976"/>
    </row>
    <row r="24" spans="1:27" ht="14.1" customHeight="1" x14ac:dyDescent="0.2">
      <c r="A24" s="88" t="s">
        <v>698</v>
      </c>
      <c r="B24" s="49"/>
      <c r="C24" s="49"/>
      <c r="D24" s="49"/>
      <c r="E24" s="49"/>
      <c r="F24" s="49"/>
      <c r="G24" s="49"/>
      <c r="H24" s="61"/>
      <c r="J24" s="2060">
        <f>IF(B5="x",IF(AUDITCHECK!D29="AFR form Incomplete.","",IF(AUDITCHECK!D29="Deficit reduction plan is required.","School District must complete a deficit reduction plan in the 2018-2019 Budget",)),"")</f>
        <v>0</v>
      </c>
      <c r="K24" s="2060"/>
      <c r="L24" s="2060"/>
      <c r="M24" s="2060"/>
      <c r="N24" s="2060"/>
      <c r="O24" s="2060"/>
      <c r="P24" s="2060"/>
      <c r="Q24" s="2060"/>
      <c r="R24" s="2060"/>
      <c r="S24" s="2061"/>
      <c r="T24" s="105" t="s">
        <v>552</v>
      </c>
      <c r="U24" s="106"/>
      <c r="V24" s="106"/>
      <c r="W24" s="106"/>
      <c r="X24" s="107"/>
      <c r="Y24" s="107"/>
      <c r="Z24" s="107"/>
      <c r="AA24" s="108"/>
    </row>
    <row r="25" spans="1:27" ht="14.1" customHeight="1" x14ac:dyDescent="0.2">
      <c r="A25" s="1995">
        <v>61238</v>
      </c>
      <c r="B25" s="1996"/>
      <c r="C25" s="1996"/>
      <c r="D25" s="1996"/>
      <c r="E25" s="1996"/>
      <c r="F25" s="1996"/>
      <c r="G25" s="1996"/>
      <c r="H25" s="1997"/>
      <c r="I25" s="113"/>
      <c r="J25" s="2062"/>
      <c r="K25" s="2062"/>
      <c r="L25" s="2062"/>
      <c r="M25" s="2062"/>
      <c r="N25" s="2062"/>
      <c r="O25" s="2062"/>
      <c r="P25" s="2062"/>
      <c r="Q25" s="2062"/>
      <c r="R25" s="2062"/>
      <c r="S25" s="2063"/>
      <c r="T25" s="1955" t="s">
        <v>2096</v>
      </c>
      <c r="U25" s="1956"/>
      <c r="V25" s="1956"/>
      <c r="W25" s="1956"/>
      <c r="X25" s="1956"/>
      <c r="Y25" s="1956"/>
      <c r="Z25" s="1956"/>
      <c r="AA25" s="19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3" t="s">
        <v>1591</v>
      </c>
      <c r="J27" s="2026"/>
      <c r="K27" s="2026"/>
      <c r="L27" s="2026"/>
      <c r="M27" s="2026"/>
      <c r="N27" s="2026"/>
      <c r="O27" s="2026"/>
      <c r="P27" s="2026"/>
      <c r="Q27" s="2026"/>
      <c r="R27" s="2026"/>
      <c r="S27" s="202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9"/>
      <c r="Q35" s="1996"/>
      <c r="R35" s="199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8" t="s">
        <v>2092</v>
      </c>
      <c r="B38" s="2028"/>
      <c r="C38" s="2028"/>
      <c r="D38" s="2028"/>
      <c r="E38" s="2028"/>
      <c r="F38" s="1996"/>
      <c r="G38" s="1996"/>
      <c r="H38" s="1997"/>
      <c r="I38" s="2047"/>
      <c r="J38" s="1967"/>
      <c r="K38" s="1967"/>
      <c r="L38" s="1967"/>
      <c r="M38" s="1967"/>
      <c r="N38" s="1967"/>
      <c r="O38" s="1967"/>
      <c r="P38" s="1968"/>
      <c r="Q38" s="1968"/>
      <c r="R38" s="1968"/>
      <c r="S38" s="1969"/>
      <c r="T38" s="1966"/>
      <c r="U38" s="1967"/>
      <c r="V38" s="1967"/>
      <c r="W38" s="1967"/>
      <c r="X38" s="1968"/>
      <c r="Y38" s="1968"/>
      <c r="Z38" s="1968"/>
      <c r="AA38" s="1969"/>
    </row>
    <row r="39" spans="1:27" ht="12" customHeight="1" x14ac:dyDescent="0.2">
      <c r="A39" s="2051" t="s">
        <v>552</v>
      </c>
      <c r="B39" s="2052"/>
      <c r="C39" s="72"/>
      <c r="D39" s="69"/>
      <c r="E39" s="69"/>
      <c r="F39" s="79"/>
      <c r="G39" s="69"/>
      <c r="H39" s="56"/>
      <c r="I39" s="2051" t="s">
        <v>552</v>
      </c>
      <c r="J39" s="2052"/>
      <c r="K39" s="2052"/>
      <c r="L39" s="2052"/>
      <c r="M39" s="2052"/>
      <c r="N39" s="67"/>
      <c r="O39" s="72"/>
      <c r="P39" s="72"/>
      <c r="Q39" s="78"/>
      <c r="R39" s="72"/>
      <c r="S39" s="56"/>
      <c r="T39" s="72" t="s">
        <v>552</v>
      </c>
      <c r="U39" s="51"/>
      <c r="V39" s="72"/>
      <c r="W39" s="50"/>
      <c r="X39" s="78"/>
      <c r="Y39" s="45"/>
      <c r="Z39" s="45"/>
      <c r="AA39" s="46"/>
    </row>
    <row r="40" spans="1:27" ht="13.5" customHeight="1" x14ac:dyDescent="0.2">
      <c r="A40" s="2054" t="s">
        <v>2091</v>
      </c>
      <c r="B40" s="2055"/>
      <c r="C40" s="2056"/>
      <c r="D40" s="2056"/>
      <c r="E40" s="2056"/>
      <c r="F40" s="2057"/>
      <c r="G40" s="2057"/>
      <c r="H40" s="2058"/>
      <c r="I40" s="1970"/>
      <c r="J40" s="1972"/>
      <c r="K40" s="1972"/>
      <c r="L40" s="1972"/>
      <c r="M40" s="1972"/>
      <c r="N40" s="1972"/>
      <c r="O40" s="1972"/>
      <c r="P40" s="1972"/>
      <c r="Q40" s="1972"/>
      <c r="R40" s="1972"/>
      <c r="S40" s="1973"/>
      <c r="T40" s="1970"/>
      <c r="U40" s="1971"/>
      <c r="V40" s="1972"/>
      <c r="W40" s="1972"/>
      <c r="X40" s="1972"/>
      <c r="Y40" s="1972"/>
      <c r="Z40" s="1972"/>
      <c r="AA40" s="197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4" t="s">
        <v>2093</v>
      </c>
      <c r="B42" s="2045"/>
      <c r="C42" s="2046"/>
      <c r="D42" s="2059" t="s">
        <v>2094</v>
      </c>
      <c r="E42" s="2045"/>
      <c r="F42" s="2045"/>
      <c r="G42" s="2045"/>
      <c r="H42" s="2046"/>
      <c r="I42" s="1965"/>
      <c r="J42" s="1961"/>
      <c r="K42" s="1961"/>
      <c r="L42" s="1961"/>
      <c r="M42" s="1961"/>
      <c r="N42" s="1961"/>
      <c r="O42" s="1962"/>
      <c r="P42" s="1960"/>
      <c r="Q42" s="1961"/>
      <c r="R42" s="1961"/>
      <c r="S42" s="1962"/>
      <c r="T42" s="1965"/>
      <c r="U42" s="1961"/>
      <c r="V42" s="1961"/>
      <c r="W42" s="1962"/>
      <c r="X42" s="1960"/>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8"/>
      <c r="B44" s="2049"/>
      <c r="C44" s="2049"/>
      <c r="D44" s="2049"/>
      <c r="E44" s="2049"/>
      <c r="F44" s="2049"/>
      <c r="G44" s="2049"/>
      <c r="H44" s="2050"/>
      <c r="I44" s="2040"/>
      <c r="J44" s="2042"/>
      <c r="K44" s="2042"/>
      <c r="L44" s="2042"/>
      <c r="M44" s="2042"/>
      <c r="N44" s="2042"/>
      <c r="O44" s="2042"/>
      <c r="P44" s="2042"/>
      <c r="Q44" s="2042"/>
      <c r="R44" s="2042"/>
      <c r="S44" s="2043"/>
      <c r="T44" s="2040"/>
      <c r="U44" s="2041"/>
      <c r="V44" s="2041"/>
      <c r="W44" s="2041"/>
      <c r="X44" s="2041"/>
      <c r="Y44" s="2041"/>
      <c r="Z44" s="2042"/>
      <c r="AA44" s="204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197" t="s">
        <v>1905</v>
      </c>
      <c r="B2" s="1548" t="s">
        <v>2037</v>
      </c>
      <c r="C2" s="713" t="s">
        <v>1910</v>
      </c>
      <c r="D2" s="713" t="s">
        <v>1911</v>
      </c>
      <c r="E2" s="713" t="s">
        <v>1912</v>
      </c>
      <c r="F2" s="713" t="s">
        <v>1913</v>
      </c>
    </row>
    <row r="3" spans="1:6" ht="12" customHeight="1" x14ac:dyDescent="0.2">
      <c r="A3" s="2198"/>
      <c r="B3" s="1545"/>
      <c r="C3" s="1546"/>
      <c r="D3" s="1547" t="s">
        <v>274</v>
      </c>
      <c r="E3" s="1546"/>
      <c r="F3" s="1547" t="s">
        <v>275</v>
      </c>
    </row>
    <row r="4" spans="1:6" ht="13.7" customHeight="1" x14ac:dyDescent="0.2">
      <c r="A4" s="714" t="s">
        <v>1217</v>
      </c>
      <c r="B4" s="1769">
        <f>'Revenues 9-14'!C5</f>
        <v>1732608</v>
      </c>
      <c r="C4" s="1544">
        <v>960054</v>
      </c>
      <c r="D4" s="1772">
        <f>B4-C4</f>
        <v>772554</v>
      </c>
      <c r="E4" s="1544">
        <v>1743524</v>
      </c>
      <c r="F4" s="1772">
        <f>E4-C4</f>
        <v>783470</v>
      </c>
    </row>
    <row r="5" spans="1:6" ht="13.7" customHeight="1" x14ac:dyDescent="0.2">
      <c r="A5" s="714" t="s">
        <v>925</v>
      </c>
      <c r="B5" s="1770">
        <f>'Revenues 9-14'!D5</f>
        <v>317680</v>
      </c>
      <c r="C5" s="583">
        <v>176031</v>
      </c>
      <c r="D5" s="1773">
        <f t="shared" ref="D5:D18" si="0">B5-C5</f>
        <v>141649</v>
      </c>
      <c r="E5" s="583">
        <v>319685</v>
      </c>
      <c r="F5" s="1773">
        <f>E5-C5</f>
        <v>143654</v>
      </c>
    </row>
    <row r="6" spans="1:6" ht="13.7" customHeight="1" x14ac:dyDescent="0.2">
      <c r="A6" s="714" t="s">
        <v>431</v>
      </c>
      <c r="B6" s="1770">
        <f>'Revenues 9-14'!E5</f>
        <v>146206</v>
      </c>
      <c r="C6" s="583">
        <v>77459</v>
      </c>
      <c r="D6" s="1773">
        <f t="shared" si="0"/>
        <v>68747</v>
      </c>
      <c r="E6" s="583">
        <v>140671</v>
      </c>
      <c r="F6" s="1773">
        <f t="shared" ref="F6:F18" si="1">E6-C6</f>
        <v>63212</v>
      </c>
    </row>
    <row r="7" spans="1:6" ht="13.7" customHeight="1" x14ac:dyDescent="0.2">
      <c r="A7" s="714" t="s">
        <v>157</v>
      </c>
      <c r="B7" s="1770">
        <f>'Revenues 9-14'!F5</f>
        <v>115522</v>
      </c>
      <c r="C7" s="583">
        <v>64014</v>
      </c>
      <c r="D7" s="1773">
        <f t="shared" si="0"/>
        <v>51508</v>
      </c>
      <c r="E7" s="583">
        <v>116254</v>
      </c>
      <c r="F7" s="1773">
        <f t="shared" si="1"/>
        <v>52240</v>
      </c>
    </row>
    <row r="8" spans="1:6" ht="13.7" customHeight="1" x14ac:dyDescent="0.2">
      <c r="A8" s="714" t="s">
        <v>1241</v>
      </c>
      <c r="B8" s="1770">
        <f>'Revenues 9-14'!G5</f>
        <v>37576</v>
      </c>
      <c r="C8" s="583">
        <v>20825</v>
      </c>
      <c r="D8" s="1773">
        <f t="shared" si="0"/>
        <v>16751</v>
      </c>
      <c r="E8" s="583">
        <v>37819</v>
      </c>
      <c r="F8" s="1773">
        <f t="shared" si="1"/>
        <v>16994</v>
      </c>
    </row>
    <row r="9" spans="1:6" ht="13.7" customHeight="1" x14ac:dyDescent="0.2">
      <c r="A9" s="714" t="s">
        <v>428</v>
      </c>
      <c r="B9" s="1770">
        <f>'Revenues 9-14'!H5</f>
        <v>0</v>
      </c>
      <c r="C9" s="583"/>
      <c r="D9" s="1773">
        <f t="shared" si="0"/>
        <v>0</v>
      </c>
      <c r="E9" s="583">
        <v>0</v>
      </c>
      <c r="F9" s="1773">
        <f t="shared" si="1"/>
        <v>0</v>
      </c>
    </row>
    <row r="10" spans="1:6" ht="13.7" customHeight="1" x14ac:dyDescent="0.2">
      <c r="A10" s="714" t="s">
        <v>427</v>
      </c>
      <c r="B10" s="1770">
        <f>'Revenues 9-14'!I5</f>
        <v>28889</v>
      </c>
      <c r="C10" s="583">
        <v>16012</v>
      </c>
      <c r="D10" s="1773">
        <f t="shared" si="0"/>
        <v>12877</v>
      </c>
      <c r="E10" s="583">
        <v>29078</v>
      </c>
      <c r="F10" s="1773">
        <f t="shared" si="1"/>
        <v>13066</v>
      </c>
    </row>
    <row r="11" spans="1:6" x14ac:dyDescent="0.2">
      <c r="A11" s="714" t="s">
        <v>429</v>
      </c>
      <c r="B11" s="1770">
        <f>'Revenues 9-14'!J5</f>
        <v>395631</v>
      </c>
      <c r="C11" s="583">
        <v>219221</v>
      </c>
      <c r="D11" s="1773">
        <f t="shared" si="0"/>
        <v>176410</v>
      </c>
      <c r="E11" s="583">
        <v>398120</v>
      </c>
      <c r="F11" s="1773">
        <f t="shared" si="1"/>
        <v>178899</v>
      </c>
    </row>
    <row r="12" spans="1:6" ht="13.7" customHeight="1" x14ac:dyDescent="0.2">
      <c r="A12" s="714" t="s">
        <v>159</v>
      </c>
      <c r="B12" s="1770">
        <f>'Revenues 9-14'!K5</f>
        <v>28889</v>
      </c>
      <c r="C12" s="583">
        <v>16012</v>
      </c>
      <c r="D12" s="1773">
        <f t="shared" si="0"/>
        <v>12877</v>
      </c>
      <c r="E12" s="583">
        <v>29078</v>
      </c>
      <c r="F12" s="1773">
        <f t="shared" si="1"/>
        <v>13066</v>
      </c>
    </row>
    <row r="13" spans="1:6" ht="13.7" customHeight="1" x14ac:dyDescent="0.2">
      <c r="A13" s="714" t="s">
        <v>993</v>
      </c>
      <c r="B13" s="1770">
        <f>SUM('Revenues 9-14'!C6:D6)</f>
        <v>28889</v>
      </c>
      <c r="C13" s="583">
        <v>16010</v>
      </c>
      <c r="D13" s="1773">
        <f t="shared" si="0"/>
        <v>12879</v>
      </c>
      <c r="E13" s="583">
        <v>29078</v>
      </c>
      <c r="F13" s="1773">
        <f t="shared" si="1"/>
        <v>13068</v>
      </c>
    </row>
    <row r="14" spans="1:6" ht="13.7" customHeight="1" x14ac:dyDescent="0.2">
      <c r="A14" s="714" t="s">
        <v>430</v>
      </c>
      <c r="B14" s="1770">
        <f>SUM('Revenues 9-14'!C7:D7,'Revenues 9-14'!F7:H7)</f>
        <v>23126</v>
      </c>
      <c r="C14" s="583">
        <v>12803</v>
      </c>
      <c r="D14" s="1773">
        <f t="shared" si="0"/>
        <v>10323</v>
      </c>
      <c r="E14" s="583">
        <v>23251</v>
      </c>
      <c r="F14" s="1773">
        <f t="shared" si="1"/>
        <v>10448</v>
      </c>
    </row>
    <row r="15" spans="1:6" ht="13.7" customHeight="1" x14ac:dyDescent="0.2">
      <c r="A15" s="714" t="s">
        <v>1220</v>
      </c>
      <c r="B15" s="1770">
        <f>'Revenues 9-14'!E9</f>
        <v>0</v>
      </c>
      <c r="C15" s="583"/>
      <c r="D15" s="1773">
        <f t="shared" si="0"/>
        <v>0</v>
      </c>
      <c r="E15" s="583"/>
      <c r="F15" s="1773">
        <f t="shared" si="1"/>
        <v>0</v>
      </c>
    </row>
    <row r="16" spans="1:6" ht="13.7" customHeight="1" x14ac:dyDescent="0.2">
      <c r="A16" s="714" t="s">
        <v>1221</v>
      </c>
      <c r="B16" s="1770">
        <f>'Revenues 9-14'!G8</f>
        <v>127105</v>
      </c>
      <c r="C16" s="583">
        <v>70432</v>
      </c>
      <c r="D16" s="1773">
        <f t="shared" si="0"/>
        <v>56673</v>
      </c>
      <c r="E16" s="583">
        <v>127909</v>
      </c>
      <c r="F16" s="1773">
        <f t="shared" si="1"/>
        <v>57477</v>
      </c>
    </row>
    <row r="17" spans="1:6" ht="13.7" customHeight="1" x14ac:dyDescent="0.2">
      <c r="A17" s="714" t="s">
        <v>1222</v>
      </c>
      <c r="B17" s="1770">
        <f>'Revenues 9-14'!C10</f>
        <v>0</v>
      </c>
      <c r="C17" s="583"/>
      <c r="D17" s="1773">
        <f t="shared" si="0"/>
        <v>0</v>
      </c>
      <c r="E17" s="583"/>
      <c r="F17" s="1773">
        <f t="shared" si="1"/>
        <v>0</v>
      </c>
    </row>
    <row r="18" spans="1:6" ht="13.7" customHeight="1" x14ac:dyDescent="0.2">
      <c r="A18" s="714" t="s">
        <v>786</v>
      </c>
      <c r="B18" s="1770">
        <f>SUM('Revenues 9-14'!C11:K11)</f>
        <v>0</v>
      </c>
      <c r="C18" s="583"/>
      <c r="D18" s="1773">
        <f t="shared" si="0"/>
        <v>0</v>
      </c>
      <c r="E18" s="583"/>
      <c r="F18" s="1773">
        <f t="shared" si="1"/>
        <v>0</v>
      </c>
    </row>
    <row r="19" spans="1:6" ht="13.7" customHeight="1" thickBot="1" x14ac:dyDescent="0.25">
      <c r="A19" s="1774" t="s">
        <v>1223</v>
      </c>
      <c r="B19" s="1771">
        <f>SUM(B4:B18)</f>
        <v>2982121</v>
      </c>
      <c r="C19" s="1771">
        <f>SUM(C4:C18)</f>
        <v>1648873</v>
      </c>
      <c r="D19" s="1771">
        <f>SUM(D4:D18)</f>
        <v>1333248</v>
      </c>
      <c r="E19" s="1771">
        <f>SUM(E4:E18)</f>
        <v>2994467</v>
      </c>
      <c r="F19" s="1771">
        <f>SUM(F4:F18)</f>
        <v>1345594</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650</v>
      </c>
      <c r="B1" s="2204"/>
      <c r="C1" s="720"/>
    </row>
    <row r="2" spans="1:7" ht="33.75" x14ac:dyDescent="0.2">
      <c r="A2" s="2212" t="s">
        <v>1905</v>
      </c>
      <c r="B2" s="2213"/>
      <c r="C2" s="1907" t="s">
        <v>2038</v>
      </c>
      <c r="D2" s="722" t="s">
        <v>2045</v>
      </c>
      <c r="E2" s="722" t="s">
        <v>2046</v>
      </c>
      <c r="F2" s="1907" t="s">
        <v>2039</v>
      </c>
    </row>
    <row r="3" spans="1:7" ht="15.75" customHeight="1" x14ac:dyDescent="0.2">
      <c r="A3" s="2216" t="s">
        <v>1176</v>
      </c>
      <c r="B3" s="2217"/>
      <c r="C3" s="2205"/>
      <c r="D3" s="2206"/>
      <c r="E3" s="2206"/>
      <c r="F3" s="2207"/>
    </row>
    <row r="4" spans="1:7" ht="12.75" customHeight="1" thickBot="1" x14ac:dyDescent="0.25">
      <c r="A4" s="2214" t="s">
        <v>651</v>
      </c>
      <c r="B4" s="2215"/>
      <c r="C4" s="579"/>
      <c r="D4" s="579"/>
      <c r="E4" s="579"/>
      <c r="F4" s="1775">
        <f>SUM(C4+D4)-E4</f>
        <v>0</v>
      </c>
    </row>
    <row r="5" spans="1:7" ht="15.75" customHeight="1" thickTop="1" x14ac:dyDescent="0.2">
      <c r="A5" s="2199" t="s">
        <v>1172</v>
      </c>
      <c r="B5" s="2200"/>
      <c r="C5" s="2208"/>
      <c r="D5" s="2209"/>
      <c r="E5" s="2209"/>
      <c r="F5" s="2210"/>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01" t="s">
        <v>652</v>
      </c>
      <c r="B15" s="2202"/>
      <c r="C15" s="1775">
        <f>SUM(C6:C14)</f>
        <v>0</v>
      </c>
      <c r="D15" s="1775">
        <f>SUM(D6:D14)</f>
        <v>0</v>
      </c>
      <c r="E15" s="1775">
        <f>SUM(E6:E14)</f>
        <v>0</v>
      </c>
      <c r="F15" s="1775">
        <f>SUM(F6:F14)</f>
        <v>0</v>
      </c>
      <c r="G15" s="550"/>
    </row>
    <row r="16" spans="1:7" s="202" customFormat="1" ht="15.75" customHeight="1" thickTop="1" x14ac:dyDescent="0.2">
      <c r="A16" s="2211" t="s">
        <v>1173</v>
      </c>
      <c r="B16" s="2200"/>
      <c r="C16" s="2208"/>
      <c r="D16" s="2209"/>
      <c r="E16" s="2209"/>
      <c r="F16" s="2210"/>
    </row>
    <row r="17" spans="1:11" ht="12.75" customHeight="1" thickBot="1" x14ac:dyDescent="0.25">
      <c r="A17" s="2224" t="s">
        <v>66</v>
      </c>
      <c r="B17" s="2225"/>
      <c r="C17" s="725"/>
      <c r="D17" s="583"/>
      <c r="E17" s="725"/>
      <c r="F17" s="1775">
        <f>SUM(C17+D17)-E17</f>
        <v>0</v>
      </c>
    </row>
    <row r="18" spans="1:11" ht="12.75" customHeight="1" thickTop="1" thickBot="1" x14ac:dyDescent="0.25">
      <c r="A18" s="2224" t="s">
        <v>6</v>
      </c>
      <c r="B18" s="2225"/>
      <c r="C18" s="725"/>
      <c r="D18" s="583"/>
      <c r="E18" s="725"/>
      <c r="F18" s="1775">
        <f>SUM(C18+D18)-E18</f>
        <v>0</v>
      </c>
    </row>
    <row r="19" spans="1:11" ht="12.75" customHeight="1" thickTop="1" thickBot="1" x14ac:dyDescent="0.25">
      <c r="A19" s="2224" t="s">
        <v>406</v>
      </c>
      <c r="B19" s="2225"/>
      <c r="C19" s="725"/>
      <c r="D19" s="583"/>
      <c r="E19" s="725"/>
      <c r="F19" s="1775">
        <f>SUM(C19+D19)-E19</f>
        <v>0</v>
      </c>
    </row>
    <row r="20" spans="1:11" ht="12.75" customHeight="1" thickTop="1" thickBot="1" x14ac:dyDescent="0.25">
      <c r="A20" s="2224" t="s">
        <v>468</v>
      </c>
      <c r="B20" s="2225"/>
      <c r="C20" s="725"/>
      <c r="D20" s="583"/>
      <c r="E20" s="725"/>
      <c r="F20" s="1775">
        <f>SUM(C20+D20)-E20</f>
        <v>0</v>
      </c>
    </row>
    <row r="21" spans="1:11" ht="14.25" thickTop="1" thickBot="1" x14ac:dyDescent="0.25">
      <c r="A21" s="2201" t="s">
        <v>653</v>
      </c>
      <c r="B21" s="2202"/>
      <c r="C21" s="1775">
        <f>SUM(C17:C20)</f>
        <v>0</v>
      </c>
      <c r="D21" s="1775">
        <f>SUM(D17:D20)</f>
        <v>0</v>
      </c>
      <c r="E21" s="1775">
        <f>SUM(E17:E20)</f>
        <v>0</v>
      </c>
      <c r="F21" s="1775">
        <f>SUM(F17:F20)</f>
        <v>0</v>
      </c>
      <c r="G21" s="550"/>
    </row>
    <row r="22" spans="1:11" ht="15.75" customHeight="1" thickTop="1" x14ac:dyDescent="0.2">
      <c r="A22" s="2226" t="s">
        <v>1174</v>
      </c>
      <c r="B22" s="2200"/>
      <c r="C22" s="2208"/>
      <c r="D22" s="2209"/>
      <c r="E22" s="2209"/>
      <c r="F22" s="2210"/>
    </row>
    <row r="23" spans="1:11" ht="13.5" thickBot="1" x14ac:dyDescent="0.25">
      <c r="A23" s="2214" t="s">
        <v>654</v>
      </c>
      <c r="B23" s="2215"/>
      <c r="C23" s="579"/>
      <c r="D23" s="579"/>
      <c r="E23" s="579"/>
      <c r="F23" s="1775">
        <f>SUM(C23+D23)-E23</f>
        <v>0</v>
      </c>
      <c r="G23" s="550"/>
    </row>
    <row r="24" spans="1:11" ht="15.75" customHeight="1" thickTop="1" x14ac:dyDescent="0.2">
      <c r="A24" s="2226" t="s">
        <v>1175</v>
      </c>
      <c r="B24" s="2200"/>
      <c r="C24" s="2208"/>
      <c r="D24" s="2209"/>
      <c r="E24" s="2209"/>
      <c r="F24" s="2210"/>
    </row>
    <row r="25" spans="1:11" ht="13.5" thickBot="1" x14ac:dyDescent="0.25">
      <c r="A25" s="2214" t="s">
        <v>655</v>
      </c>
      <c r="B25" s="2215"/>
      <c r="C25" s="579"/>
      <c r="D25" s="579"/>
      <c r="E25" s="579"/>
      <c r="F25" s="1775">
        <f>SUM(C25+D25)-E25</f>
        <v>0</v>
      </c>
      <c r="G25" s="550"/>
    </row>
    <row r="26" spans="1:11" ht="15.75" customHeight="1" thickTop="1" x14ac:dyDescent="0.2">
      <c r="A26" s="2199" t="s">
        <v>678</v>
      </c>
      <c r="B26" s="2200"/>
      <c r="C26" s="726"/>
      <c r="D26" s="726"/>
      <c r="E26" s="726"/>
      <c r="F26" s="727"/>
    </row>
    <row r="27" spans="1:11" ht="13.5" thickBot="1" x14ac:dyDescent="0.25">
      <c r="A27" s="2201" t="s">
        <v>1130</v>
      </c>
      <c r="B27" s="2202"/>
      <c r="C27" s="583"/>
      <c r="D27" s="583"/>
      <c r="E27" s="583"/>
      <c r="F27" s="1775">
        <f>SUM(C27+D27)-E27</f>
        <v>0</v>
      </c>
      <c r="G27" s="550"/>
    </row>
    <row r="28" spans="1:11" ht="7.5" customHeight="1" thickTop="1" x14ac:dyDescent="0.2">
      <c r="A28" s="592"/>
    </row>
    <row r="29" spans="1:11" ht="23.25" customHeight="1" x14ac:dyDescent="0.2">
      <c r="A29" s="2227" t="s">
        <v>603</v>
      </c>
      <c r="B29" s="2204"/>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t="s">
        <v>2097</v>
      </c>
      <c r="B31" s="732">
        <v>40238</v>
      </c>
      <c r="C31" s="733">
        <v>1000000</v>
      </c>
      <c r="D31" s="734">
        <v>4</v>
      </c>
      <c r="E31" s="733">
        <v>745000</v>
      </c>
      <c r="F31" s="733"/>
      <c r="G31" s="733">
        <v>-716820</v>
      </c>
      <c r="H31" s="733">
        <v>28180</v>
      </c>
      <c r="I31" s="1776">
        <f>((E31+F31)-H31)+G31</f>
        <v>0</v>
      </c>
      <c r="J31" s="733"/>
      <c r="K31" s="735"/>
    </row>
    <row r="32" spans="1:11" ht="12" customHeight="1" x14ac:dyDescent="0.2">
      <c r="A32" s="731" t="s">
        <v>2097</v>
      </c>
      <c r="B32" s="732">
        <v>41030</v>
      </c>
      <c r="C32" s="733">
        <v>590000</v>
      </c>
      <c r="D32" s="734">
        <v>4</v>
      </c>
      <c r="E32" s="733">
        <v>390000</v>
      </c>
      <c r="F32" s="733"/>
      <c r="G32" s="733"/>
      <c r="H32" s="733">
        <v>60000</v>
      </c>
      <c r="I32" s="1776">
        <f>((E32+F32)-H32)+G32</f>
        <v>330000</v>
      </c>
      <c r="J32" s="733">
        <f>I32-38062</f>
        <v>291938</v>
      </c>
      <c r="K32" s="735"/>
    </row>
    <row r="33" spans="1:11" ht="12" customHeight="1" x14ac:dyDescent="0.2">
      <c r="A33" s="731" t="s">
        <v>2109</v>
      </c>
      <c r="B33" s="732">
        <v>43076</v>
      </c>
      <c r="C33" s="733">
        <v>1100000</v>
      </c>
      <c r="D33" s="734">
        <v>1</v>
      </c>
      <c r="E33" s="733"/>
      <c r="F33" s="733">
        <v>1100000</v>
      </c>
      <c r="G33" s="733"/>
      <c r="H33" s="733"/>
      <c r="I33" s="1776">
        <f t="shared" ref="I33:I48" si="1">((E33+F33)-H33)+G33</f>
        <v>1100000</v>
      </c>
      <c r="J33" s="733">
        <f>I33</f>
        <v>1100000</v>
      </c>
      <c r="K33" s="735"/>
    </row>
    <row r="34" spans="1:11" ht="12" customHeight="1" x14ac:dyDescent="0.2">
      <c r="A34" s="731" t="s">
        <v>2110</v>
      </c>
      <c r="B34" s="732">
        <v>43009</v>
      </c>
      <c r="C34" s="733">
        <v>736000</v>
      </c>
      <c r="D34" s="734">
        <v>3</v>
      </c>
      <c r="E34" s="733"/>
      <c r="F34" s="733"/>
      <c r="G34" s="733">
        <v>736000</v>
      </c>
      <c r="H34" s="733">
        <v>21000</v>
      </c>
      <c r="I34" s="1776">
        <f t="shared" si="1"/>
        <v>715000</v>
      </c>
      <c r="J34" s="733">
        <f>I34-47619</f>
        <v>667381</v>
      </c>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3426000</v>
      </c>
      <c r="D49" s="744"/>
      <c r="E49" s="1776">
        <f t="shared" ref="E49:J49" si="2">SUM(E31:E48)</f>
        <v>1135000</v>
      </c>
      <c r="F49" s="1776">
        <f t="shared" si="2"/>
        <v>1100000</v>
      </c>
      <c r="G49" s="1776">
        <f t="shared" si="2"/>
        <v>19180</v>
      </c>
      <c r="H49" s="1776">
        <f t="shared" si="2"/>
        <v>109180</v>
      </c>
      <c r="I49" s="1776">
        <f t="shared" si="2"/>
        <v>2145000</v>
      </c>
      <c r="J49" s="1776">
        <f t="shared" si="2"/>
        <v>2059319</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18" t="s">
        <v>605</v>
      </c>
      <c r="C52" s="2219"/>
      <c r="D52" s="2219"/>
      <c r="E52" s="748" t="s">
        <v>900</v>
      </c>
      <c r="F52" s="2220"/>
      <c r="G52" s="2221"/>
      <c r="H52" s="735"/>
      <c r="I52" s="735"/>
      <c r="J52" s="745"/>
    </row>
    <row r="53" spans="1:11" ht="11.25" customHeight="1" x14ac:dyDescent="0.2">
      <c r="A53" s="749" t="s">
        <v>969</v>
      </c>
      <c r="B53" s="750" t="s">
        <v>1008</v>
      </c>
      <c r="C53" s="745"/>
      <c r="D53" s="736"/>
      <c r="E53" s="748" t="s">
        <v>518</v>
      </c>
      <c r="F53" s="2222"/>
      <c r="G53" s="2223"/>
      <c r="H53" s="735"/>
      <c r="I53" s="735"/>
      <c r="J53" s="745"/>
    </row>
    <row r="54" spans="1:11" ht="11.25" customHeight="1" x14ac:dyDescent="0.2">
      <c r="A54" s="751" t="s">
        <v>970</v>
      </c>
      <c r="B54" s="746" t="s">
        <v>1009</v>
      </c>
      <c r="C54" s="745"/>
      <c r="D54" s="736"/>
      <c r="E54" s="748" t="s">
        <v>519</v>
      </c>
      <c r="F54" s="2222"/>
      <c r="G54" s="2223"/>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2" t="s">
        <v>911</v>
      </c>
      <c r="B1" s="2253"/>
      <c r="C1" s="2253"/>
      <c r="D1" s="2253"/>
      <c r="E1" s="2253"/>
      <c r="F1" s="2253"/>
      <c r="G1" s="2254"/>
      <c r="H1" s="1550"/>
      <c r="I1" s="759"/>
      <c r="J1" s="433"/>
    </row>
    <row r="2" spans="1:11" ht="26.25" x14ac:dyDescent="0.2">
      <c r="A2" s="2231" t="s">
        <v>1776</v>
      </c>
      <c r="B2" s="2232"/>
      <c r="C2" s="2232"/>
      <c r="D2" s="2232"/>
      <c r="E2" s="2233"/>
      <c r="F2" s="760" t="s">
        <v>960</v>
      </c>
      <c r="G2" s="761" t="s">
        <v>1773</v>
      </c>
      <c r="H2" s="761" t="s">
        <v>430</v>
      </c>
      <c r="I2" s="761" t="s">
        <v>1220</v>
      </c>
      <c r="J2" s="761" t="s">
        <v>1919</v>
      </c>
      <c r="K2" s="761" t="s">
        <v>140</v>
      </c>
    </row>
    <row r="3" spans="1:11" x14ac:dyDescent="0.2">
      <c r="A3" s="2234" t="s">
        <v>1698</v>
      </c>
      <c r="B3" s="2235"/>
      <c r="C3" s="2235"/>
      <c r="D3" s="2235"/>
      <c r="E3" s="2236"/>
      <c r="F3" s="762"/>
      <c r="G3" s="763"/>
      <c r="H3" s="763"/>
      <c r="I3" s="763"/>
      <c r="J3" s="764">
        <v>224123</v>
      </c>
      <c r="K3" s="764"/>
    </row>
    <row r="4" spans="1:11" x14ac:dyDescent="0.2">
      <c r="A4" s="2237" t="s">
        <v>387</v>
      </c>
      <c r="B4" s="2238"/>
      <c r="C4" s="2238"/>
      <c r="D4" s="2238"/>
      <c r="E4" s="2219"/>
      <c r="F4" s="765"/>
      <c r="G4" s="766"/>
      <c r="H4" s="767"/>
      <c r="I4" s="766"/>
      <c r="J4" s="768"/>
      <c r="K4" s="768"/>
    </row>
    <row r="5" spans="1:11" x14ac:dyDescent="0.2">
      <c r="A5" s="2255" t="s">
        <v>1129</v>
      </c>
      <c r="B5" s="2228"/>
      <c r="C5" s="2228"/>
      <c r="D5" s="2228"/>
      <c r="E5" s="2256"/>
      <c r="F5" s="769" t="s">
        <v>903</v>
      </c>
      <c r="G5" s="770"/>
      <c r="H5" s="763">
        <v>23126</v>
      </c>
      <c r="I5" s="771"/>
      <c r="J5" s="772"/>
      <c r="K5" s="772"/>
    </row>
    <row r="6" spans="1:11" x14ac:dyDescent="0.2">
      <c r="A6" s="773" t="s">
        <v>744</v>
      </c>
      <c r="B6" s="774"/>
      <c r="C6" s="774"/>
      <c r="D6" s="774"/>
      <c r="E6" s="775"/>
      <c r="F6" s="776" t="s">
        <v>904</v>
      </c>
      <c r="G6" s="763"/>
      <c r="H6" s="763">
        <v>14</v>
      </c>
      <c r="I6" s="763"/>
      <c r="J6" s="764">
        <v>1428</v>
      </c>
      <c r="K6" s="764"/>
    </row>
    <row r="7" spans="1:11" x14ac:dyDescent="0.2">
      <c r="A7" s="777" t="s">
        <v>264</v>
      </c>
      <c r="B7" s="778"/>
      <c r="C7" s="778"/>
      <c r="D7" s="778"/>
      <c r="E7" s="779"/>
      <c r="F7" s="769" t="s">
        <v>905</v>
      </c>
      <c r="G7" s="766"/>
      <c r="H7" s="766"/>
      <c r="I7" s="766"/>
      <c r="J7" s="780"/>
      <c r="K7" s="764">
        <v>1600</v>
      </c>
    </row>
    <row r="8" spans="1:11" x14ac:dyDescent="0.2">
      <c r="A8" s="777" t="s">
        <v>363</v>
      </c>
      <c r="B8" s="778"/>
      <c r="C8" s="778"/>
      <c r="D8" s="778"/>
      <c r="E8" s="779"/>
      <c r="F8" s="769" t="s">
        <v>906</v>
      </c>
      <c r="G8" s="781"/>
      <c r="H8" s="781"/>
      <c r="I8" s="781"/>
      <c r="J8" s="764">
        <v>163918</v>
      </c>
      <c r="K8" s="768"/>
    </row>
    <row r="9" spans="1:11" x14ac:dyDescent="0.2">
      <c r="A9" s="777" t="s">
        <v>140</v>
      </c>
      <c r="B9" s="778"/>
      <c r="C9" s="778"/>
      <c r="D9" s="778"/>
      <c r="E9" s="779"/>
      <c r="F9" s="776" t="s">
        <v>908</v>
      </c>
      <c r="G9" s="781"/>
      <c r="H9" s="770"/>
      <c r="I9" s="770"/>
      <c r="J9" s="780"/>
      <c r="K9" s="764">
        <v>7677.17</v>
      </c>
    </row>
    <row r="10" spans="1:11" x14ac:dyDescent="0.2">
      <c r="A10" s="2255" t="s">
        <v>1920</v>
      </c>
      <c r="B10" s="2228"/>
      <c r="C10" s="2228"/>
      <c r="D10" s="2228"/>
      <c r="E10" s="2257"/>
      <c r="F10" s="782" t="s">
        <v>917</v>
      </c>
      <c r="G10" s="781"/>
      <c r="H10" s="783"/>
      <c r="I10" s="763"/>
      <c r="J10" s="764"/>
      <c r="K10" s="764"/>
    </row>
    <row r="11" spans="1:11" x14ac:dyDescent="0.2">
      <c r="A11" s="2255" t="s">
        <v>162</v>
      </c>
      <c r="B11" s="2228"/>
      <c r="C11" s="2228"/>
      <c r="D11" s="2228"/>
      <c r="E11" s="2256"/>
      <c r="F11" s="769" t="s">
        <v>907</v>
      </c>
      <c r="G11" s="770"/>
      <c r="H11" s="763"/>
      <c r="I11" s="763"/>
      <c r="J11" s="764"/>
      <c r="K11" s="772"/>
    </row>
    <row r="12" spans="1:11" ht="13.5" thickBot="1" x14ac:dyDescent="0.25">
      <c r="A12" s="2245" t="s">
        <v>961</v>
      </c>
      <c r="B12" s="2246"/>
      <c r="C12" s="2246"/>
      <c r="D12" s="2246"/>
      <c r="E12" s="2247"/>
      <c r="F12" s="1777"/>
      <c r="G12" s="1778">
        <f>SUM(G5:G11)</f>
        <v>0</v>
      </c>
      <c r="H12" s="1778">
        <f>SUM(H5:H11)</f>
        <v>23140</v>
      </c>
      <c r="I12" s="1778">
        <f>SUM(I5:I11)</f>
        <v>0</v>
      </c>
      <c r="J12" s="1778">
        <f>SUM(J5:J11)</f>
        <v>165346</v>
      </c>
      <c r="K12" s="1778">
        <f>SUM(K5:K11)</f>
        <v>9277.17</v>
      </c>
    </row>
    <row r="13" spans="1:11" ht="13.5" thickTop="1" x14ac:dyDescent="0.2">
      <c r="A13" s="2239" t="s">
        <v>388</v>
      </c>
      <c r="B13" s="2240"/>
      <c r="C13" s="2240"/>
      <c r="D13" s="2240"/>
      <c r="E13" s="2241"/>
      <c r="F13" s="784"/>
      <c r="G13" s="785"/>
      <c r="H13" s="786"/>
      <c r="I13" s="787"/>
      <c r="J13" s="787"/>
      <c r="K13" s="787"/>
    </row>
    <row r="14" spans="1:11" x14ac:dyDescent="0.2">
      <c r="A14" s="2261" t="s">
        <v>476</v>
      </c>
      <c r="B14" s="2261"/>
      <c r="C14" s="2261"/>
      <c r="D14" s="2261"/>
      <c r="E14" s="2262"/>
      <c r="F14" s="788" t="s">
        <v>909</v>
      </c>
      <c r="G14" s="781"/>
      <c r="H14" s="763">
        <v>23140</v>
      </c>
      <c r="I14" s="770"/>
      <c r="J14" s="772"/>
      <c r="K14" s="764">
        <v>9277</v>
      </c>
    </row>
    <row r="15" spans="1:11" x14ac:dyDescent="0.2">
      <c r="A15" s="2228" t="s">
        <v>4</v>
      </c>
      <c r="B15" s="2228"/>
      <c r="C15" s="2228"/>
      <c r="D15" s="2228"/>
      <c r="E15" s="2256"/>
      <c r="F15" s="788" t="s">
        <v>910</v>
      </c>
      <c r="G15" s="770"/>
      <c r="H15" s="763"/>
      <c r="I15" s="763"/>
      <c r="J15" s="764">
        <v>20022</v>
      </c>
      <c r="K15" s="764"/>
    </row>
    <row r="16" spans="1:11" x14ac:dyDescent="0.2">
      <c r="A16" s="2228" t="s">
        <v>316</v>
      </c>
      <c r="B16" s="2228"/>
      <c r="C16" s="2228"/>
      <c r="D16" s="2228"/>
      <c r="E16" s="2256"/>
      <c r="F16" s="788" t="s">
        <v>980</v>
      </c>
      <c r="G16" s="771"/>
      <c r="H16" s="766"/>
      <c r="I16" s="766"/>
      <c r="J16" s="768"/>
      <c r="K16" s="768"/>
    </row>
    <row r="17" spans="1:11" x14ac:dyDescent="0.2">
      <c r="A17" s="2250" t="s">
        <v>992</v>
      </c>
      <c r="B17" s="2250"/>
      <c r="C17" s="2250"/>
      <c r="D17" s="2250"/>
      <c r="E17" s="2251"/>
      <c r="F17" s="789"/>
      <c r="G17" s="790"/>
      <c r="H17" s="791"/>
      <c r="I17" s="791"/>
      <c r="J17" s="792"/>
      <c r="K17" s="793"/>
    </row>
    <row r="18" spans="1:11" x14ac:dyDescent="0.2">
      <c r="A18" s="2242" t="s">
        <v>386</v>
      </c>
      <c r="B18" s="2243"/>
      <c r="C18" s="2243"/>
      <c r="D18" s="2243"/>
      <c r="E18" s="2244"/>
      <c r="F18" s="788" t="s">
        <v>989</v>
      </c>
      <c r="G18" s="781"/>
      <c r="H18" s="781"/>
      <c r="I18" s="781"/>
      <c r="J18" s="764"/>
      <c r="K18" s="794"/>
    </row>
    <row r="19" spans="1:11" ht="21.75" customHeight="1" x14ac:dyDescent="0.2">
      <c r="A19" s="2263" t="s">
        <v>1916</v>
      </c>
      <c r="B19" s="2263"/>
      <c r="C19" s="2263"/>
      <c r="D19" s="2263"/>
      <c r="E19" s="2264"/>
      <c r="F19" s="788" t="s">
        <v>990</v>
      </c>
      <c r="G19" s="781"/>
      <c r="H19" s="781"/>
      <c r="I19" s="781"/>
      <c r="J19" s="764"/>
      <c r="K19" s="794"/>
    </row>
    <row r="20" spans="1:11" x14ac:dyDescent="0.2">
      <c r="A20" s="2242" t="s">
        <v>1921</v>
      </c>
      <c r="B20" s="2243"/>
      <c r="C20" s="2243"/>
      <c r="D20" s="2243"/>
      <c r="E20" s="2244"/>
      <c r="F20" s="788" t="s">
        <v>991</v>
      </c>
      <c r="G20" s="781"/>
      <c r="H20" s="781"/>
      <c r="I20" s="781"/>
      <c r="J20" s="764"/>
      <c r="K20" s="794"/>
    </row>
    <row r="21" spans="1:11" ht="13.5" thickBot="1" x14ac:dyDescent="0.25">
      <c r="A21" s="2248" t="s">
        <v>659</v>
      </c>
      <c r="B21" s="2248"/>
      <c r="C21" s="2248"/>
      <c r="D21" s="2248"/>
      <c r="E21" s="2248"/>
      <c r="F21" s="1779"/>
      <c r="G21" s="791"/>
      <c r="H21" s="795"/>
      <c r="I21" s="795"/>
      <c r="J21" s="1780">
        <f>SUM(J18:J20)</f>
        <v>0</v>
      </c>
      <c r="K21" s="792"/>
    </row>
    <row r="22" spans="1:11" ht="13.5" thickTop="1" x14ac:dyDescent="0.2">
      <c r="A22" s="2228" t="s">
        <v>1922</v>
      </c>
      <c r="B22" s="2228"/>
      <c r="C22" s="2228"/>
      <c r="D22" s="2228"/>
      <c r="E22" s="2256"/>
      <c r="F22" s="788" t="s">
        <v>917</v>
      </c>
      <c r="G22" s="781"/>
      <c r="H22" s="763"/>
      <c r="I22" s="763"/>
      <c r="J22" s="796"/>
      <c r="K22" s="764"/>
    </row>
    <row r="23" spans="1:11" ht="13.5" thickBot="1" x14ac:dyDescent="0.25">
      <c r="A23" s="2249" t="s">
        <v>962</v>
      </c>
      <c r="B23" s="2248"/>
      <c r="C23" s="2248"/>
      <c r="D23" s="2248"/>
      <c r="E23" s="2248"/>
      <c r="F23" s="1781"/>
      <c r="G23" s="1778">
        <f>SUM(G14:G16,G21,G22)</f>
        <v>0</v>
      </c>
      <c r="H23" s="1778">
        <f>SUM(H14:H16,H21,H22)</f>
        <v>23140</v>
      </c>
      <c r="I23" s="1778">
        <f>SUM(I14:I16,I21,I22)</f>
        <v>0</v>
      </c>
      <c r="J23" s="1778">
        <f>SUM(J14:J16,J21,J22)</f>
        <v>20022</v>
      </c>
      <c r="K23" s="1778">
        <f>SUM(K14:K16,K21,K22)</f>
        <v>9277</v>
      </c>
    </row>
    <row r="24" spans="1:11" ht="14.25" thickTop="1" thickBot="1" x14ac:dyDescent="0.25">
      <c r="A24" s="2249" t="s">
        <v>2026</v>
      </c>
      <c r="B24" s="2248"/>
      <c r="C24" s="2248"/>
      <c r="D24" s="2248"/>
      <c r="E24" s="2248"/>
      <c r="F24" s="1782"/>
      <c r="G24" s="1783">
        <f>SUM(G3,G12)-G23</f>
        <v>0</v>
      </c>
      <c r="H24" s="1783">
        <f>SUM(H3,H12)-H23</f>
        <v>0</v>
      </c>
      <c r="I24" s="1783">
        <f>SUM(I3,I12)-I23</f>
        <v>0</v>
      </c>
      <c r="J24" s="1783">
        <f>SUM(J3,J12)-J23</f>
        <v>369447</v>
      </c>
      <c r="K24" s="1783">
        <f>SUM(K3,K12)-K23</f>
        <v>0.17000000000007276</v>
      </c>
    </row>
    <row r="25" spans="1:11" ht="13.5" thickTop="1" x14ac:dyDescent="0.2">
      <c r="A25" s="797" t="s">
        <v>440</v>
      </c>
      <c r="B25" s="798"/>
      <c r="C25" s="798"/>
      <c r="D25" s="798"/>
      <c r="E25" s="799"/>
      <c r="F25" s="800">
        <v>714</v>
      </c>
      <c r="G25" s="801"/>
      <c r="H25" s="801"/>
      <c r="I25" s="801"/>
      <c r="J25" s="796">
        <v>369447</v>
      </c>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0.17000000000007276</v>
      </c>
    </row>
    <row r="27" spans="1:11" ht="5.2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58"/>
      <c r="I31" s="2259"/>
      <c r="J31" s="2259"/>
      <c r="K31" s="2259"/>
    </row>
    <row r="32" spans="1:11" x14ac:dyDescent="0.2">
      <c r="A32" s="808"/>
      <c r="B32" s="237"/>
      <c r="C32" s="237"/>
      <c r="D32" s="237"/>
      <c r="E32" s="804"/>
      <c r="F32" s="810" t="s">
        <v>561</v>
      </c>
      <c r="G32" s="763"/>
      <c r="H32" s="2260"/>
      <c r="I32" s="2259"/>
      <c r="J32" s="2259"/>
      <c r="K32" s="2259"/>
    </row>
    <row r="33" spans="1:11" ht="1.5" customHeight="1" x14ac:dyDescent="0.2">
      <c r="A33" s="811" t="s">
        <v>1231</v>
      </c>
      <c r="B33" s="364"/>
      <c r="C33" s="364"/>
      <c r="D33" s="364"/>
      <c r="E33" s="364"/>
      <c r="F33" s="364"/>
      <c r="G33" s="812"/>
      <c r="H33" s="2260"/>
      <c r="I33" s="2259"/>
      <c r="J33" s="2259"/>
      <c r="K33" s="2259"/>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28" t="s">
        <v>562</v>
      </c>
      <c r="B41" s="2229"/>
      <c r="C41" s="2229"/>
      <c r="D41" s="2229"/>
      <c r="E41" s="2229"/>
      <c r="F41" s="2230"/>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2035</v>
      </c>
      <c r="B1" s="2268"/>
      <c r="C1" s="2269"/>
      <c r="D1" s="825"/>
      <c r="E1" s="826"/>
      <c r="F1" s="826"/>
      <c r="G1" s="827"/>
      <c r="H1" s="828"/>
      <c r="I1" s="829"/>
      <c r="J1" s="2265"/>
      <c r="K1" s="2266"/>
      <c r="L1" s="2266"/>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v>0</v>
      </c>
      <c r="E3" s="834">
        <v>0</v>
      </c>
      <c r="F3" s="1780">
        <f>(C3+D3)-E3</f>
        <v>0</v>
      </c>
      <c r="G3" s="835"/>
      <c r="H3" s="834">
        <v>0</v>
      </c>
      <c r="I3" s="834">
        <v>0</v>
      </c>
      <c r="J3" s="834">
        <v>0</v>
      </c>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38250</v>
      </c>
      <c r="D5" s="840">
        <v>0</v>
      </c>
      <c r="E5" s="840">
        <v>0</v>
      </c>
      <c r="F5" s="1780">
        <f>(C5+D5)-E5</f>
        <v>38250</v>
      </c>
      <c r="G5" s="836"/>
      <c r="H5" s="841"/>
      <c r="I5" s="841"/>
      <c r="J5" s="841"/>
      <c r="K5" s="792"/>
      <c r="L5" s="1789">
        <f>F5-K5</f>
        <v>38250</v>
      </c>
    </row>
    <row r="6" spans="1:14" ht="14.25" thickTop="1" thickBot="1" x14ac:dyDescent="0.25">
      <c r="A6" s="777" t="s">
        <v>1179</v>
      </c>
      <c r="B6" s="839">
        <v>222</v>
      </c>
      <c r="C6" s="764">
        <v>0</v>
      </c>
      <c r="D6" s="764">
        <v>0</v>
      </c>
      <c r="E6" s="764">
        <v>0</v>
      </c>
      <c r="F6" s="1780">
        <f>(C6+D6)-E6</f>
        <v>0</v>
      </c>
      <c r="G6" s="836">
        <v>50</v>
      </c>
      <c r="H6" s="764">
        <v>0</v>
      </c>
      <c r="I6" s="764">
        <v>0</v>
      </c>
      <c r="J6" s="764">
        <v>0</v>
      </c>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5013424</v>
      </c>
      <c r="D8" s="843">
        <v>212704</v>
      </c>
      <c r="E8" s="843">
        <v>0</v>
      </c>
      <c r="F8" s="1780">
        <f>(C8+D8)-E8</f>
        <v>5226128</v>
      </c>
      <c r="G8" s="842">
        <v>50</v>
      </c>
      <c r="H8" s="764">
        <v>3043029</v>
      </c>
      <c r="I8" s="764">
        <v>61942</v>
      </c>
      <c r="J8" s="764">
        <v>0</v>
      </c>
      <c r="K8" s="1789">
        <f>(H8+I8)-J8</f>
        <v>3104971</v>
      </c>
      <c r="L8" s="1789">
        <f>F8-K8</f>
        <v>2121157</v>
      </c>
    </row>
    <row r="9" spans="1:14" ht="14.25" thickTop="1" thickBot="1" x14ac:dyDescent="0.25">
      <c r="A9" s="777" t="s">
        <v>1181</v>
      </c>
      <c r="B9" s="839">
        <v>232</v>
      </c>
      <c r="C9" s="764">
        <v>0</v>
      </c>
      <c r="D9" s="764">
        <v>0</v>
      </c>
      <c r="E9" s="764">
        <v>0</v>
      </c>
      <c r="F9" s="1780">
        <f>(C9+D9)-E9</f>
        <v>0</v>
      </c>
      <c r="G9" s="842">
        <v>20</v>
      </c>
      <c r="H9" s="764">
        <v>0</v>
      </c>
      <c r="I9" s="764">
        <v>0</v>
      </c>
      <c r="J9" s="764">
        <v>0</v>
      </c>
      <c r="K9" s="1789">
        <f>(H9+I9)-J9</f>
        <v>0</v>
      </c>
      <c r="L9" s="1789">
        <f>F9-K9</f>
        <v>0</v>
      </c>
    </row>
    <row r="10" spans="1:14" ht="24" thickTop="1" thickBot="1" x14ac:dyDescent="0.25">
      <c r="A10" s="844" t="s">
        <v>1182</v>
      </c>
      <c r="B10" s="839">
        <v>240</v>
      </c>
      <c r="C10" s="845">
        <v>425959</v>
      </c>
      <c r="D10" s="845">
        <v>0</v>
      </c>
      <c r="E10" s="845">
        <v>0</v>
      </c>
      <c r="F10" s="1784">
        <f>(C10+D10)-E10</f>
        <v>425959</v>
      </c>
      <c r="G10" s="842">
        <v>20</v>
      </c>
      <c r="H10" s="846">
        <v>369834</v>
      </c>
      <c r="I10" s="846">
        <v>3456</v>
      </c>
      <c r="J10" s="846">
        <v>0</v>
      </c>
      <c r="K10" s="1789">
        <f>(H10+I10)-J10</f>
        <v>373290</v>
      </c>
      <c r="L10" s="1789">
        <f>F10-K10</f>
        <v>52669</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326098</v>
      </c>
      <c r="D12" s="843">
        <v>53719</v>
      </c>
      <c r="E12" s="843">
        <v>34656</v>
      </c>
      <c r="F12" s="1780">
        <f>(C12+D12)-E12</f>
        <v>345161</v>
      </c>
      <c r="G12" s="842">
        <v>10</v>
      </c>
      <c r="H12" s="764">
        <v>178311</v>
      </c>
      <c r="I12" s="764">
        <v>34515</v>
      </c>
      <c r="J12" s="764">
        <v>34656</v>
      </c>
      <c r="K12" s="1789">
        <f>(H12+I12)-J12</f>
        <v>178170</v>
      </c>
      <c r="L12" s="1789">
        <f>F12-K12</f>
        <v>166991</v>
      </c>
    </row>
    <row r="13" spans="1:14" ht="14.25" thickTop="1" thickBot="1" x14ac:dyDescent="0.25">
      <c r="A13" s="847" t="s">
        <v>1184</v>
      </c>
      <c r="B13" s="839">
        <v>252</v>
      </c>
      <c r="C13" s="843">
        <v>396519</v>
      </c>
      <c r="D13" s="843">
        <v>0</v>
      </c>
      <c r="E13" s="843">
        <v>0</v>
      </c>
      <c r="F13" s="1780">
        <f>(C13+D13)-E13</f>
        <v>396519</v>
      </c>
      <c r="G13" s="842">
        <v>5</v>
      </c>
      <c r="H13" s="764">
        <v>396519</v>
      </c>
      <c r="I13" s="764">
        <v>0</v>
      </c>
      <c r="J13" s="764">
        <v>0</v>
      </c>
      <c r="K13" s="1789">
        <f>(H13+I13)-J13</f>
        <v>396519</v>
      </c>
      <c r="L13" s="1789">
        <f>F13-K13</f>
        <v>0</v>
      </c>
    </row>
    <row r="14" spans="1:14" ht="14.25" thickTop="1" thickBot="1" x14ac:dyDescent="0.25">
      <c r="A14" s="847" t="s">
        <v>1185</v>
      </c>
      <c r="B14" s="839">
        <v>253</v>
      </c>
      <c r="C14" s="764">
        <v>0</v>
      </c>
      <c r="D14" s="764">
        <v>0</v>
      </c>
      <c r="E14" s="764">
        <v>0</v>
      </c>
      <c r="F14" s="1780">
        <f>(C14+D14)-E14</f>
        <v>0</v>
      </c>
      <c r="G14" s="842">
        <v>3</v>
      </c>
      <c r="H14" s="764">
        <v>0</v>
      </c>
      <c r="I14" s="764">
        <v>0</v>
      </c>
      <c r="J14" s="764">
        <v>0</v>
      </c>
      <c r="K14" s="1789">
        <f>(H14+I14)-J14</f>
        <v>0</v>
      </c>
      <c r="L14" s="1789">
        <f>F14-K14</f>
        <v>0</v>
      </c>
    </row>
    <row r="15" spans="1:14" ht="15" customHeight="1" thickTop="1" thickBot="1" x14ac:dyDescent="0.25">
      <c r="A15" s="1651" t="s">
        <v>549</v>
      </c>
      <c r="B15" s="1650">
        <v>260</v>
      </c>
      <c r="C15" s="843">
        <v>21600</v>
      </c>
      <c r="D15" s="843">
        <v>513353</v>
      </c>
      <c r="E15" s="843">
        <v>21600</v>
      </c>
      <c r="F15" s="1780">
        <f>(C15+D15)-E15</f>
        <v>513353</v>
      </c>
      <c r="G15" s="848" t="s">
        <v>917</v>
      </c>
      <c r="H15" s="780"/>
      <c r="I15" s="780"/>
      <c r="J15" s="780"/>
      <c r="K15" s="780"/>
      <c r="L15" s="1789">
        <f>F15-K15</f>
        <v>513353</v>
      </c>
    </row>
    <row r="16" spans="1:14" ht="15" customHeight="1" thickTop="1" thickBot="1" x14ac:dyDescent="0.25">
      <c r="A16" s="1785" t="s">
        <v>664</v>
      </c>
      <c r="B16" s="1786">
        <v>200</v>
      </c>
      <c r="C16" s="1780">
        <f>SUM(C3,C5:C6,C8:C10,C12:C15)</f>
        <v>6221850</v>
      </c>
      <c r="D16" s="1780">
        <f>SUM(D3,D5:D6,D8:D10,D12:D15)</f>
        <v>779776</v>
      </c>
      <c r="E16" s="1780">
        <f>SUM(E3,E5:E6,E8:E10,E12:E15)</f>
        <v>56256</v>
      </c>
      <c r="F16" s="1780">
        <f>SUM(F3,F5:F6,F8:F10,F12:F15)</f>
        <v>6945370</v>
      </c>
      <c r="G16" s="842"/>
      <c r="H16" s="1780">
        <f>SUM(H3,H6,H8:H10,H12:H14,)</f>
        <v>3987693</v>
      </c>
      <c r="I16" s="1780">
        <f>SUM(I3,I6,I8:I10,I12:I14,)</f>
        <v>99913</v>
      </c>
      <c r="J16" s="1780">
        <f>SUM(J3,J6,J8:J10,J12:J14,)</f>
        <v>34656</v>
      </c>
      <c r="K16" s="1780">
        <f>(H16+I16)-J16</f>
        <v>4052950</v>
      </c>
      <c r="L16" s="1780">
        <f>F16-K16</f>
        <v>2892420</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99913</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P36" sqref="P36"/>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3" t="s">
        <v>1699</v>
      </c>
      <c r="B1" s="2274"/>
      <c r="C1" s="2274"/>
      <c r="D1" s="2274"/>
      <c r="E1" s="2274"/>
      <c r="F1" s="2275"/>
      <c r="G1" s="854"/>
    </row>
    <row r="2" spans="1:7" ht="15" customHeight="1" thickBot="1" x14ac:dyDescent="0.25">
      <c r="A2" s="2276" t="s">
        <v>498</v>
      </c>
      <c r="B2" s="2277"/>
      <c r="C2" s="2277"/>
      <c r="D2" s="2277"/>
      <c r="E2" s="2277"/>
      <c r="F2" s="2278"/>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79"/>
      <c r="B5" s="2280"/>
      <c r="C5" s="2280"/>
      <c r="D5" s="2280"/>
      <c r="E5" s="2280"/>
      <c r="F5" s="2280"/>
    </row>
    <row r="6" spans="1:7" ht="13.5" customHeight="1" thickBot="1" x14ac:dyDescent="0.25">
      <c r="A6" s="2270" t="s">
        <v>1166</v>
      </c>
      <c r="B6" s="2271"/>
      <c r="C6" s="2271"/>
      <c r="D6" s="2271"/>
      <c r="E6" s="2271"/>
      <c r="F6" s="2272"/>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3891711</v>
      </c>
      <c r="G8" s="864"/>
    </row>
    <row r="9" spans="1:7" x14ac:dyDescent="0.2">
      <c r="A9" s="868" t="s">
        <v>480</v>
      </c>
      <c r="B9" s="869" t="s">
        <v>1989</v>
      </c>
      <c r="C9" s="870"/>
      <c r="D9" s="868" t="s">
        <v>522</v>
      </c>
      <c r="E9" s="867"/>
      <c r="F9" s="1933">
        <f>'Expenditures 15-22'!K151</f>
        <v>398794</v>
      </c>
      <c r="G9" s="871"/>
    </row>
    <row r="10" spans="1:7" x14ac:dyDescent="0.2">
      <c r="A10" s="868" t="s">
        <v>520</v>
      </c>
      <c r="B10" s="869" t="s">
        <v>1990</v>
      </c>
      <c r="C10" s="870"/>
      <c r="D10" s="868" t="s">
        <v>522</v>
      </c>
      <c r="E10" s="867"/>
      <c r="F10" s="1933">
        <f>'Expenditures 15-22'!K174</f>
        <v>172006</v>
      </c>
      <c r="G10" s="871"/>
    </row>
    <row r="11" spans="1:7" x14ac:dyDescent="0.2">
      <c r="A11" s="868" t="s">
        <v>481</v>
      </c>
      <c r="B11" s="869" t="s">
        <v>1991</v>
      </c>
      <c r="C11" s="870"/>
      <c r="D11" s="868" t="s">
        <v>522</v>
      </c>
      <c r="E11" s="867"/>
      <c r="F11" s="1933">
        <f>'Expenditures 15-22'!K210</f>
        <v>278122</v>
      </c>
      <c r="G11" s="871"/>
    </row>
    <row r="12" spans="1:7" x14ac:dyDescent="0.2">
      <c r="A12" s="868" t="s">
        <v>482</v>
      </c>
      <c r="B12" s="869" t="s">
        <v>1992</v>
      </c>
      <c r="C12" s="870"/>
      <c r="D12" s="868" t="s">
        <v>522</v>
      </c>
      <c r="E12" s="867"/>
      <c r="F12" s="1933">
        <f>'Expenditures 15-22'!K295</f>
        <v>172671</v>
      </c>
      <c r="G12" s="871"/>
    </row>
    <row r="13" spans="1:7" x14ac:dyDescent="0.2">
      <c r="A13" s="868" t="s">
        <v>108</v>
      </c>
      <c r="B13" s="869" t="s">
        <v>1993</v>
      </c>
      <c r="C13" s="870"/>
      <c r="D13" s="868" t="s">
        <v>522</v>
      </c>
      <c r="E13" s="867"/>
      <c r="F13" s="1933">
        <f>'Expenditures 15-22'!K342</f>
        <v>372617</v>
      </c>
      <c r="G13" s="872"/>
    </row>
    <row r="14" spans="1:7" ht="12" customHeight="1" thickBot="1" x14ac:dyDescent="0.25">
      <c r="A14" s="1790"/>
      <c r="B14" s="1791"/>
      <c r="C14" s="1792"/>
      <c r="D14" s="1793" t="s">
        <v>522</v>
      </c>
      <c r="E14" s="1794" t="s">
        <v>1015</v>
      </c>
      <c r="F14" s="1795">
        <f>SUM(F8:F13)</f>
        <v>5285921</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60863</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10381</v>
      </c>
      <c r="G52" s="864"/>
    </row>
    <row r="53" spans="1:7" x14ac:dyDescent="0.2">
      <c r="A53" s="868" t="s">
        <v>479</v>
      </c>
      <c r="B53" s="868" t="s">
        <v>1551</v>
      </c>
      <c r="C53" s="888">
        <f>'Expenditures 15-22'!B102</f>
        <v>4000</v>
      </c>
      <c r="D53" s="887" t="str">
        <f>'Expenditures 15-22'!A102</f>
        <v>Total Payments to Other Govt Units</v>
      </c>
      <c r="E53" s="867"/>
      <c r="F53" s="1937">
        <f>'Expenditures 15-22'!K102</f>
        <v>254644</v>
      </c>
      <c r="G53" s="864"/>
    </row>
    <row r="54" spans="1:7" x14ac:dyDescent="0.2">
      <c r="A54" s="868" t="s">
        <v>479</v>
      </c>
      <c r="B54" s="868" t="s">
        <v>1552</v>
      </c>
      <c r="C54" s="888" t="s">
        <v>1039</v>
      </c>
      <c r="D54" s="884" t="s">
        <v>1157</v>
      </c>
      <c r="E54" s="867"/>
      <c r="F54" s="1937">
        <f>'Expenditures 15-22'!G114</f>
        <v>28052</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0</v>
      </c>
      <c r="G57" s="864"/>
    </row>
    <row r="58" spans="1:7" x14ac:dyDescent="0.2">
      <c r="A58" s="868" t="s">
        <v>480</v>
      </c>
      <c r="B58" s="868" t="s">
        <v>1995</v>
      </c>
      <c r="C58" s="885" t="s">
        <v>1039</v>
      </c>
      <c r="D58" s="884" t="s">
        <v>1157</v>
      </c>
      <c r="E58" s="867"/>
      <c r="F58" s="1939">
        <f>'Expenditures 15-22'!G151</f>
        <v>33800</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109180</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7249</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0</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2619</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0</v>
      </c>
      <c r="G71" s="864"/>
    </row>
    <row r="72" spans="1:8" x14ac:dyDescent="0.2">
      <c r="A72" s="868" t="s">
        <v>482</v>
      </c>
      <c r="B72" s="868" t="s">
        <v>2008</v>
      </c>
      <c r="C72" s="885">
        <f>'Expenditures 15-22'!B280</f>
        <v>3000</v>
      </c>
      <c r="D72" s="875" t="s">
        <v>469</v>
      </c>
      <c r="E72" s="867"/>
      <c r="F72" s="1937">
        <f>'Expenditures 15-22'!K280</f>
        <v>2006</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0</v>
      </c>
      <c r="G73" s="864"/>
    </row>
    <row r="74" spans="1:8" x14ac:dyDescent="0.2">
      <c r="A74" s="868" t="s">
        <v>456</v>
      </c>
      <c r="B74" s="868" t="s">
        <v>2010</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508794</v>
      </c>
      <c r="G76" s="864"/>
    </row>
    <row r="77" spans="1:8" s="892" customFormat="1" ht="12" customHeight="1" thickTop="1" thickBot="1" x14ac:dyDescent="0.25">
      <c r="A77" s="1799"/>
      <c r="B77" s="1796"/>
      <c r="C77" s="1792"/>
      <c r="D77" s="1797" t="s">
        <v>2012</v>
      </c>
      <c r="E77" s="1794"/>
      <c r="F77" s="1800">
        <f>(F14-F76)</f>
        <v>4777127</v>
      </c>
      <c r="G77" s="868"/>
    </row>
    <row r="78" spans="1:8" s="892" customFormat="1" ht="12" customHeight="1" thickTop="1" x14ac:dyDescent="0.2">
      <c r="A78" s="1801"/>
      <c r="B78" s="1796"/>
      <c r="C78" s="1792"/>
      <c r="D78" s="1797" t="s">
        <v>2059</v>
      </c>
      <c r="E78" s="1794"/>
      <c r="F78" s="897">
        <v>432.03</v>
      </c>
      <c r="G78" s="898"/>
      <c r="H78" s="868"/>
    </row>
    <row r="79" spans="1:8" s="892" customFormat="1" ht="12" customHeight="1" thickBot="1" x14ac:dyDescent="0.25">
      <c r="A79" s="1802"/>
      <c r="B79" s="1796"/>
      <c r="C79" s="1792"/>
      <c r="D79" s="1797" t="s">
        <v>2013</v>
      </c>
      <c r="E79" s="1794" t="s">
        <v>1015</v>
      </c>
      <c r="F79" s="1803">
        <f>IF(F78&gt;0,F77/F78," Complete Line 78")</f>
        <v>11057.396477096499</v>
      </c>
      <c r="G79" s="868"/>
    </row>
    <row r="80" spans="1:8" s="892" customFormat="1" ht="8.25" customHeight="1" thickTop="1" x14ac:dyDescent="0.2">
      <c r="A80" s="899"/>
      <c r="B80" s="868"/>
      <c r="C80" s="870"/>
      <c r="D80" s="900"/>
      <c r="E80" s="867"/>
      <c r="F80" s="901"/>
      <c r="G80" s="868"/>
    </row>
    <row r="81" spans="1:7" s="892" customFormat="1" ht="12" thickBot="1" x14ac:dyDescent="0.25">
      <c r="A81" s="2270" t="s">
        <v>1167</v>
      </c>
      <c r="B81" s="2271"/>
      <c r="C81" s="2271"/>
      <c r="D81" s="2271"/>
      <c r="E81" s="2271"/>
      <c r="F81" s="2272"/>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1450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112878</v>
      </c>
      <c r="G94" s="911"/>
    </row>
    <row r="95" spans="1:7" x14ac:dyDescent="0.2">
      <c r="A95" s="907" t="s">
        <v>142</v>
      </c>
      <c r="B95" s="907" t="s">
        <v>177</v>
      </c>
      <c r="C95" s="909">
        <v>1700</v>
      </c>
      <c r="D95" s="917" t="str">
        <f>'Revenues 9-14'!A82</f>
        <v>Total District/School Activity Income</v>
      </c>
      <c r="E95" s="905"/>
      <c r="F95" s="1809">
        <f>SUM('Revenues 9-14'!C82,'Revenues 9-14'!D82)</f>
        <v>31171</v>
      </c>
      <c r="G95" s="911"/>
    </row>
    <row r="96" spans="1:7" x14ac:dyDescent="0.2">
      <c r="A96" s="907" t="s">
        <v>479</v>
      </c>
      <c r="B96" s="907" t="s">
        <v>178</v>
      </c>
      <c r="C96" s="909">
        <f>'Revenues 9-14'!B84</f>
        <v>1811</v>
      </c>
      <c r="D96" s="910" t="str">
        <f>'Revenues 9-14'!A84</f>
        <v>Rentals - Regular Textbooks</v>
      </c>
      <c r="E96" s="905"/>
      <c r="F96" s="1809">
        <f>'Revenues 9-14'!C84</f>
        <v>16134</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2050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64729</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50278</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29593</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1360</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7677</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223489</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17127</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117606</v>
      </c>
      <c r="G129" s="929"/>
    </row>
    <row r="130" spans="1:7" x14ac:dyDescent="0.2">
      <c r="A130" s="926" t="s">
        <v>689</v>
      </c>
      <c r="B130" s="926" t="s">
        <v>804</v>
      </c>
      <c r="C130" s="931">
        <v>4300</v>
      </c>
      <c r="D130" s="932" t="str">
        <f>'Revenues 9-14'!A211</f>
        <v>Total Title I</v>
      </c>
      <c r="E130" s="905"/>
      <c r="F130" s="1809">
        <f>SUM('Revenues 9-14'!C211,'Revenues 9-14'!D211,'Revenues 9-14'!F211,'Revenues 9-14'!G211)</f>
        <v>61353</v>
      </c>
      <c r="G130" s="929"/>
    </row>
    <row r="131" spans="1:7" x14ac:dyDescent="0.2">
      <c r="A131" s="926" t="s">
        <v>689</v>
      </c>
      <c r="B131" s="926" t="s">
        <v>805</v>
      </c>
      <c r="C131" s="931">
        <v>4400</v>
      </c>
      <c r="D131" s="932" t="str">
        <f>'Revenues 9-14'!A216</f>
        <v>Total Title IV</v>
      </c>
      <c r="E131" s="905"/>
      <c r="F131" s="1809">
        <f>SUM('Revenues 9-14'!C216,'Revenues 9-14'!D216,'Revenues 9-14'!F216,'Revenues 9-14'!G216)</f>
        <v>129814</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21818</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2487</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16174</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2058</v>
      </c>
      <c r="C175" s="1944">
        <v>3100</v>
      </c>
      <c r="D175" s="1945" t="s">
        <v>2061</v>
      </c>
      <c r="E175" s="905"/>
      <c r="F175" s="1929">
        <v>102640.2</v>
      </c>
      <c r="G175" s="926"/>
    </row>
    <row r="176" spans="1:7" x14ac:dyDescent="0.2">
      <c r="A176" s="1942" t="s">
        <v>685</v>
      </c>
      <c r="B176" s="1943" t="s">
        <v>2058</v>
      </c>
      <c r="C176" s="1944">
        <v>3300</v>
      </c>
      <c r="D176" s="1945" t="s">
        <v>2062</v>
      </c>
      <c r="E176" s="905"/>
      <c r="F176" s="1929">
        <v>0</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1011328.2</v>
      </c>
    </row>
    <row r="179" spans="1:7" ht="12" customHeight="1" x14ac:dyDescent="0.2">
      <c r="A179" s="1790"/>
      <c r="B179" s="1804"/>
      <c r="C179" s="1805"/>
      <c r="D179" s="1806" t="s">
        <v>2015</v>
      </c>
      <c r="E179" s="1807"/>
      <c r="F179" s="1809">
        <f>'PCTC-OEPP 27-28'!F77-F178</f>
        <v>3765798.8</v>
      </c>
    </row>
    <row r="180" spans="1:7" ht="12" customHeight="1" x14ac:dyDescent="0.2">
      <c r="A180" s="1790"/>
      <c r="B180" s="1804"/>
      <c r="C180" s="1805"/>
      <c r="D180" s="1806" t="s">
        <v>1924</v>
      </c>
      <c r="E180" s="1807"/>
      <c r="F180" s="1809">
        <f>'Cap Outlay Deprec 26'!I18</f>
        <v>99913</v>
      </c>
    </row>
    <row r="181" spans="1:7" ht="12" customHeight="1" x14ac:dyDescent="0.2">
      <c r="A181" s="1790"/>
      <c r="B181" s="1804"/>
      <c r="C181" s="1805"/>
      <c r="D181" s="1806" t="s">
        <v>2016</v>
      </c>
      <c r="E181" s="1807"/>
      <c r="F181" s="1809">
        <f>F179+F180</f>
        <v>3865711.8</v>
      </c>
    </row>
    <row r="182" spans="1:7" ht="12" customHeight="1" x14ac:dyDescent="0.2">
      <c r="A182" s="1790"/>
      <c r="B182" s="1810"/>
      <c r="C182" s="1805"/>
      <c r="D182" s="1806" t="str">
        <f>D78</f>
        <v>9 Month ADA from District Average Daily Attendance/Prior General State Aid Inquiry 2017-2018</v>
      </c>
      <c r="E182" s="1807"/>
      <c r="F182" s="1811">
        <f>'PCTC-OEPP 27-28'!F78</f>
        <v>432.03</v>
      </c>
      <c r="G182" s="929"/>
    </row>
    <row r="183" spans="1:7" ht="12" customHeight="1" thickBot="1" x14ac:dyDescent="0.25">
      <c r="A183" s="1790"/>
      <c r="B183" s="1810"/>
      <c r="C183" s="1805"/>
      <c r="D183" s="1806" t="s">
        <v>2017</v>
      </c>
      <c r="E183" s="1807" t="s">
        <v>1626</v>
      </c>
      <c r="F183" s="1812">
        <f>F181/F182</f>
        <v>8947.7855704464964</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4" t="s">
        <v>1925</v>
      </c>
      <c r="B4" s="2285"/>
      <c r="C4" s="2285"/>
      <c r="D4" s="2285"/>
      <c r="E4" s="2285"/>
      <c r="F4" s="2285"/>
      <c r="G4" s="2286"/>
    </row>
    <row r="5" spans="1:7" x14ac:dyDescent="0.25">
      <c r="A5" s="2287"/>
      <c r="B5" s="2288"/>
      <c r="C5" s="2288"/>
      <c r="D5" s="2288"/>
      <c r="E5" s="2288"/>
      <c r="F5" s="2288"/>
      <c r="G5" s="2289"/>
    </row>
    <row r="6" spans="1:7" ht="18.75" x14ac:dyDescent="0.25">
      <c r="A6" s="1554" t="s">
        <v>1926</v>
      </c>
      <c r="B6" s="1555"/>
      <c r="C6" s="1555"/>
      <c r="D6" s="1555"/>
      <c r="E6" s="1555"/>
      <c r="F6" s="1555"/>
      <c r="G6" s="1556"/>
    </row>
    <row r="7" spans="1:7" ht="30.75" customHeight="1" x14ac:dyDescent="0.25">
      <c r="A7" s="2290" t="s">
        <v>2075</v>
      </c>
      <c r="B7" s="2291"/>
      <c r="C7" s="2291"/>
      <c r="D7" s="2291"/>
      <c r="E7" s="2291"/>
      <c r="F7" s="2291"/>
      <c r="G7" s="2292"/>
    </row>
    <row r="8" spans="1:7" ht="15.75" customHeight="1" x14ac:dyDescent="0.25">
      <c r="A8" s="2293" t="s">
        <v>2024</v>
      </c>
      <c r="B8" s="2294"/>
      <c r="C8" s="2294"/>
      <c r="D8" s="2294"/>
      <c r="E8" s="2294"/>
      <c r="F8" s="2294"/>
      <c r="G8" s="2295"/>
    </row>
    <row r="9" spans="1:7" ht="35.25" customHeight="1" x14ac:dyDescent="0.25">
      <c r="A9" s="2290" t="s">
        <v>2023</v>
      </c>
      <c r="B9" s="2291"/>
      <c r="C9" s="2291"/>
      <c r="D9" s="2291"/>
      <c r="E9" s="2291"/>
      <c r="F9" s="2291"/>
      <c r="G9" s="2292"/>
    </row>
    <row r="10" spans="1:7" ht="15" customHeight="1" x14ac:dyDescent="0.25">
      <c r="A10" s="1557" t="s">
        <v>1927</v>
      </c>
      <c r="B10" s="1558"/>
      <c r="C10" s="1558"/>
      <c r="D10" s="1558"/>
      <c r="E10" s="1558"/>
      <c r="F10" s="1558"/>
      <c r="G10" s="1559"/>
    </row>
    <row r="11" spans="1:7" ht="17.25" customHeight="1" x14ac:dyDescent="0.25">
      <c r="A11" s="2290" t="s">
        <v>1941</v>
      </c>
      <c r="B11" s="2291"/>
      <c r="C11" s="2291"/>
      <c r="D11" s="2291"/>
      <c r="E11" s="2291"/>
      <c r="F11" s="2291"/>
      <c r="G11" s="2292"/>
    </row>
    <row r="12" spans="1:7" ht="15" customHeight="1" x14ac:dyDescent="0.25">
      <c r="A12" s="1557" t="s">
        <v>1932</v>
      </c>
      <c r="B12" s="1558"/>
      <c r="C12" s="1558"/>
      <c r="D12" s="1558"/>
      <c r="E12" s="1558"/>
      <c r="F12" s="1558"/>
      <c r="G12" s="1559"/>
    </row>
    <row r="13" spans="1:7" ht="32.25" customHeight="1" x14ac:dyDescent="0.25">
      <c r="A13" s="2281" t="s">
        <v>1933</v>
      </c>
      <c r="B13" s="2282"/>
      <c r="C13" s="2282"/>
      <c r="D13" s="2282"/>
      <c r="E13" s="2282"/>
      <c r="F13" s="2282"/>
      <c r="G13" s="2283"/>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4" t="s">
        <v>2111</v>
      </c>
      <c r="B17" s="1866"/>
      <c r="C17" s="1676"/>
      <c r="D17" s="1865"/>
      <c r="E17" s="1560">
        <f t="shared" ref="E17:E141" si="1">IF(D17&lt;=25000,D17,IF(D17&gt;25000,25000,0))</f>
        <v>0</v>
      </c>
      <c r="F17" s="1813">
        <f t="shared" si="0"/>
        <v>0</v>
      </c>
      <c r="G17" s="1814">
        <f>IF(F17=0,0,D17-F17)</f>
        <v>0</v>
      </c>
      <c r="H17" s="1667"/>
    </row>
    <row r="18" spans="1:8"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673"/>
      <c r="B19" s="1867"/>
      <c r="C19" s="1676"/>
      <c r="D19" s="1865"/>
      <c r="E19" s="1560">
        <f t="shared" si="2"/>
        <v>0</v>
      </c>
      <c r="F19" s="1813">
        <f t="shared" si="3"/>
        <v>0</v>
      </c>
      <c r="G19" s="1814">
        <f t="shared" si="4"/>
        <v>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6" t="s">
        <v>1778</v>
      </c>
      <c r="B5" s="2297"/>
      <c r="C5" s="2297"/>
      <c r="D5" s="2297"/>
      <c r="E5" s="2297"/>
      <c r="F5" s="2297"/>
      <c r="G5" s="2298"/>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102259</v>
      </c>
      <c r="F10" s="973"/>
      <c r="G10" s="974"/>
      <c r="H10" s="162"/>
      <c r="I10" s="162"/>
    </row>
    <row r="11" spans="1:9" s="667" customFormat="1" ht="22.5" customHeight="1" x14ac:dyDescent="0.2">
      <c r="A11" s="2301" t="s">
        <v>1945</v>
      </c>
      <c r="B11" s="2302"/>
      <c r="C11" s="2302"/>
      <c r="D11" s="2303"/>
      <c r="E11" s="976">
        <v>19792</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2909714</v>
      </c>
      <c r="F19" s="1820"/>
      <c r="G19" s="1822">
        <f>'Expenditures 15-22'!K33-SUM('Expenditures 15-22'!G33,'Expenditures 15-22'!I33)+'Expenditures 15-22'!D229</f>
        <v>2909714</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17409</v>
      </c>
      <c r="F21" s="1823"/>
      <c r="G21" s="1826">
        <f>'Expenditures 15-22'!K42-SUM('Expenditures 15-22'!G42,'Expenditures 15-22'!I42)+'Expenditures 15-22'!K120-SUM('Expenditures 15-22'!G120,'Expenditures 15-22'!I120)+'Expenditures 15-22'!K180-SUM('Expenditures 15-22'!G180,'Expenditures 15-22'!I180)+'Expenditures 15-22'!D238</f>
        <v>17409</v>
      </c>
      <c r="H21" s="986"/>
      <c r="I21" s="162"/>
    </row>
    <row r="22" spans="1:9" s="667" customFormat="1" ht="12" customHeight="1" x14ac:dyDescent="0.2">
      <c r="A22" s="993" t="s">
        <v>585</v>
      </c>
      <c r="B22" s="994"/>
      <c r="C22" s="992">
        <v>2200</v>
      </c>
      <c r="D22" s="1823"/>
      <c r="E22" s="1825">
        <f>'Expenditures 15-22'!K47-SUM('Expenditures 15-22'!G47,'Expenditures 15-22'!I47)+'Expenditures 15-22'!D243</f>
        <v>38196</v>
      </c>
      <c r="F22" s="1823"/>
      <c r="G22" s="1826">
        <f>'Expenditures 15-22'!K47-SUM('Expenditures 15-22'!G47,'Expenditures 15-22'!I47)+'Expenditures 15-22'!D243</f>
        <v>38196</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501151</v>
      </c>
      <c r="F23" s="1823"/>
      <c r="G23" s="1825">
        <f>'Expenditures 15-22'!K53-SUM('Expenditures 15-22'!G53,'Expenditures 15-22'!I53)+'Expenditures 15-22'!D257+'Expenditures 15-22'!K330-SUM('Expenditures 15-22'!G330,'Expenditures 15-22'!I330)</f>
        <v>501151</v>
      </c>
      <c r="H23" s="986"/>
      <c r="I23" s="162"/>
    </row>
    <row r="24" spans="1:9" s="667" customFormat="1" ht="12" customHeight="1" x14ac:dyDescent="0.2">
      <c r="A24" s="993" t="s">
        <v>587</v>
      </c>
      <c r="B24" s="994"/>
      <c r="C24" s="992">
        <v>2400</v>
      </c>
      <c r="D24" s="1823"/>
      <c r="E24" s="1825">
        <f>'Expenditures 15-22'!K57-SUM('Expenditures 15-22'!G57,'Expenditures 15-22'!I57)+'Expenditures 15-22'!D261</f>
        <v>295904</v>
      </c>
      <c r="F24" s="1823"/>
      <c r="G24" s="1826">
        <f>'Expenditures 15-22'!K57-SUM('Expenditures 15-22'!G57,'Expenditures 15-22'!I57)+'Expenditures 15-22'!D261</f>
        <v>295904</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125615</v>
      </c>
      <c r="E27" s="1825">
        <f>E8</f>
        <v>0</v>
      </c>
      <c r="F27" s="1825">
        <f>'Expenditures 15-22'!K60-SUM('Expenditures 15-22'!G60,'Expenditures 15-22'!I60)+'Expenditures 15-22'!D264-E8</f>
        <v>125615</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384250</v>
      </c>
      <c r="F28" s="1827">
        <f>'Expenditures 15-22'!K61-SUM('Expenditures 15-22'!G61,'Expenditures 15-22'!I61)+'Expenditures 15-22'!K124-SUM('Expenditures 15-22'!G124,'Expenditures 15-22'!I124)+'Expenditures 15-22'!D266-E9</f>
        <v>384250</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296024</v>
      </c>
      <c r="F29" s="1823"/>
      <c r="G29" s="1826">
        <f>'Expenditures 15-22'!K62-SUM('Expenditures 15-22'!G62,'Expenditures 15-22'!I62)+'Expenditures 15-22'!K125-SUM('Expenditures 15-22'!G125,'Expenditures 15-22'!I125)+'Expenditures 15-22'!K182-SUM('Expenditures 15-22'!G182,'Expenditures 15-22'!I182)+'Expenditures 15-22'!D267</f>
        <v>296024</v>
      </c>
      <c r="H29" s="984"/>
    </row>
    <row r="30" spans="1:9" ht="12" customHeight="1" x14ac:dyDescent="0.2">
      <c r="A30" s="993" t="s">
        <v>102</v>
      </c>
      <c r="B30" s="996"/>
      <c r="C30" s="992">
        <v>2560</v>
      </c>
      <c r="D30" s="1823"/>
      <c r="E30" s="1825">
        <f>'Expenditures 15-22'!K63-SUM('Expenditures 15-22'!G63,'Expenditures 15-22'!I63)+'Expenditures 15-22'!D268-E10</f>
        <v>105980</v>
      </c>
      <c r="F30" s="1823"/>
      <c r="G30" s="1825">
        <f>'Expenditures 15-22'!K63-SUM('Expenditures 15-22'!G63,'Expenditures 15-22'!I63)+'Expenditures 15-22'!D268-E10</f>
        <v>105980</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1281</v>
      </c>
      <c r="F38" s="1823"/>
      <c r="G38" s="1825">
        <f>'Expenditures 15-22'!K73-SUM('Expenditures 15-22'!G73,'Expenditures 15-22'!I73)+'Expenditures 15-22'!K128-SUM('Expenditures 15-22'!G128,'Expenditures 15-22'!I128)+'Expenditures 15-22'!K183-SUM('Expenditures 15-22'!G183,'Expenditures 15-22'!I183)+'Expenditures 15-22'!D278</f>
        <v>1281</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12387</v>
      </c>
      <c r="F39" s="1823"/>
      <c r="G39" s="1825">
        <f>'Expenditures 15-22'!K75-SUM('Expenditures 15-22'!G75,'Expenditures 15-22'!I75)+'Expenditures 15-22'!K130-SUM('Expenditures 15-22'!G130,'Expenditures 15-22'!I130)+'Expenditures 15-22'!K185-SUM('Expenditures 15-22'!G185,'Expenditures 15-22'!I185)+'Expenditures 15-22'!D280</f>
        <v>12387</v>
      </c>
    </row>
    <row r="40" spans="1:7" ht="12" customHeight="1" x14ac:dyDescent="0.2">
      <c r="A40" s="989" t="s">
        <v>1930</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125615</v>
      </c>
      <c r="E41" s="1827">
        <f>SUM(E19:E40)</f>
        <v>4562296</v>
      </c>
      <c r="F41" s="1827">
        <f>SUM(F19:F39)</f>
        <v>509865</v>
      </c>
      <c r="G41" s="1827">
        <f>SUM(G19:G40)</f>
        <v>4178046</v>
      </c>
    </row>
    <row r="42" spans="1:7" x14ac:dyDescent="0.2">
      <c r="A42" s="986"/>
      <c r="B42" s="162"/>
      <c r="C42" s="1000"/>
      <c r="D42" s="2299" t="s">
        <v>543</v>
      </c>
      <c r="E42" s="2300"/>
      <c r="F42" s="1001" t="s">
        <v>544</v>
      </c>
      <c r="G42" s="1002"/>
    </row>
    <row r="43" spans="1:7" ht="12" customHeight="1" x14ac:dyDescent="0.2">
      <c r="A43" s="986"/>
      <c r="B43" s="162"/>
      <c r="C43" s="1000"/>
      <c r="D43" s="1828" t="s">
        <v>493</v>
      </c>
      <c r="E43" s="1829">
        <f>D41</f>
        <v>125615</v>
      </c>
      <c r="F43" s="1828" t="s">
        <v>495</v>
      </c>
      <c r="G43" s="1829">
        <f>F41</f>
        <v>509865</v>
      </c>
    </row>
    <row r="44" spans="1:7" ht="12" customHeight="1" x14ac:dyDescent="0.2">
      <c r="A44" s="986"/>
      <c r="B44" s="162"/>
      <c r="C44" s="1000"/>
      <c r="D44" s="1828" t="s">
        <v>494</v>
      </c>
      <c r="E44" s="1829">
        <f>E41</f>
        <v>4562296</v>
      </c>
      <c r="F44" s="1828" t="s">
        <v>494</v>
      </c>
      <c r="G44" s="1829">
        <f>G41</f>
        <v>4178046</v>
      </c>
    </row>
    <row r="45" spans="1:7" ht="12" customHeight="1" x14ac:dyDescent="0.2">
      <c r="A45" s="986"/>
      <c r="B45" s="162"/>
      <c r="C45" s="162"/>
      <c r="D45" s="1830" t="s">
        <v>1063</v>
      </c>
      <c r="E45" s="1831">
        <f>(E43/E44)</f>
        <v>2.7533285871850489E-2</v>
      </c>
      <c r="F45" s="1830" t="s">
        <v>1063</v>
      </c>
      <c r="G45" s="1831">
        <f>(G43/G44)</f>
        <v>0.12203431939236667</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P36" sqref="P36"/>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07" t="s">
        <v>1446</v>
      </c>
      <c r="B1" s="2307"/>
      <c r="C1" s="2307"/>
      <c r="D1" s="2307"/>
      <c r="E1" s="2307"/>
      <c r="F1" s="2307"/>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08" t="s">
        <v>1627</v>
      </c>
      <c r="B5" s="2309"/>
      <c r="C5" s="2310"/>
      <c r="D5" s="2310"/>
      <c r="E5" s="2310"/>
      <c r="F5" s="2310"/>
    </row>
    <row r="6" spans="1:10" ht="12" customHeight="1" x14ac:dyDescent="0.25">
      <c r="A6" s="1873"/>
      <c r="B6" s="1874"/>
      <c r="C6" s="2311" t="str">
        <f>COVER!A17</f>
        <v>Cambridge Community Unit School District No. 227</v>
      </c>
      <c r="D6" s="2311"/>
      <c r="E6" s="2311"/>
      <c r="F6" s="1875"/>
    </row>
    <row r="7" spans="1:10" ht="11.25" customHeight="1" thickBot="1" x14ac:dyDescent="0.3">
      <c r="A7" s="1873"/>
      <c r="B7" s="1874"/>
      <c r="C7" s="2312" t="str">
        <f>COVER!A13</f>
        <v>28-037-2270-26</v>
      </c>
      <c r="D7" s="2312"/>
      <c r="E7" s="2312"/>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t="s">
        <v>2098</v>
      </c>
      <c r="D13" s="1888" t="s">
        <v>2098</v>
      </c>
      <c r="E13" s="1891"/>
      <c r="F13" s="1890" t="s">
        <v>2099</v>
      </c>
      <c r="H13" s="1901">
        <f t="shared" si="0"/>
        <v>5</v>
      </c>
      <c r="I13" s="1901">
        <f t="shared" si="1"/>
        <v>5</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t="s">
        <v>2098</v>
      </c>
      <c r="D15" s="1888" t="s">
        <v>2098</v>
      </c>
      <c r="E15" s="1891"/>
      <c r="F15" s="1890" t="s">
        <v>2100</v>
      </c>
      <c r="H15" s="1901">
        <f t="shared" si="0"/>
        <v>5</v>
      </c>
      <c r="I15" s="1901">
        <f t="shared" si="1"/>
        <v>5</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2098</v>
      </c>
      <c r="D19" s="1888" t="s">
        <v>2098</v>
      </c>
      <c r="E19" s="1891"/>
      <c r="F19" s="1890" t="s">
        <v>2101</v>
      </c>
      <c r="H19" s="1901">
        <f t="shared" si="0"/>
        <v>5</v>
      </c>
      <c r="I19" s="1901">
        <f t="shared" si="1"/>
        <v>5</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t="s">
        <v>2098</v>
      </c>
      <c r="D24" s="1888" t="s">
        <v>2098</v>
      </c>
      <c r="E24" s="1891"/>
      <c r="F24" s="1890" t="s">
        <v>2102</v>
      </c>
      <c r="H24" s="1901">
        <f t="shared" si="0"/>
        <v>5</v>
      </c>
      <c r="I24" s="1901">
        <f t="shared" si="1"/>
        <v>5</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2098</v>
      </c>
      <c r="D26" s="1888" t="s">
        <v>2098</v>
      </c>
      <c r="E26" s="1891"/>
      <c r="F26" s="1890" t="s">
        <v>2103</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t="s">
        <v>2098</v>
      </c>
      <c r="D31" s="1888" t="s">
        <v>2098</v>
      </c>
      <c r="E31" s="1891"/>
      <c r="F31" s="1890" t="s">
        <v>2104</v>
      </c>
      <c r="H31" s="1901">
        <f t="shared" si="0"/>
        <v>5</v>
      </c>
      <c r="I31" s="1901">
        <f t="shared" si="1"/>
        <v>5</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t="s">
        <v>2098</v>
      </c>
      <c r="D33" s="1888" t="s">
        <v>2098</v>
      </c>
      <c r="E33" s="1891"/>
      <c r="F33" s="1890"/>
      <c r="H33" s="1901">
        <f t="shared" si="0"/>
        <v>5</v>
      </c>
      <c r="I33" s="1901">
        <f t="shared" si="1"/>
        <v>5</v>
      </c>
      <c r="J33" s="1901">
        <f t="shared" si="2"/>
        <v>0</v>
      </c>
    </row>
    <row r="34" spans="1:11" ht="12" customHeight="1" x14ac:dyDescent="0.25">
      <c r="A34" s="1893"/>
      <c r="B34" s="1893"/>
      <c r="C34" s="1893"/>
      <c r="D34" s="1893"/>
      <c r="E34" s="1893"/>
      <c r="F34" s="1893"/>
      <c r="H34" s="1901">
        <f>SUM(H11:H32)</f>
        <v>30</v>
      </c>
      <c r="I34" s="1901">
        <f>SUM(I11:I32)</f>
        <v>30</v>
      </c>
      <c r="J34" s="1901">
        <f>SUM(J11:J32)</f>
        <v>0</v>
      </c>
      <c r="K34" s="1901">
        <f>SUM(H34:J34)</f>
        <v>60</v>
      </c>
    </row>
    <row r="35" spans="1:11" ht="12" customHeight="1" x14ac:dyDescent="0.2">
      <c r="A35" s="1894" t="s">
        <v>1459</v>
      </c>
      <c r="B35" s="1895"/>
      <c r="C35" s="2313"/>
      <c r="D35" s="2313"/>
      <c r="E35" s="2313"/>
      <c r="F35" s="2314"/>
    </row>
    <row r="36" spans="1:11" ht="12" customHeight="1" x14ac:dyDescent="0.2">
      <c r="A36" s="2304"/>
      <c r="B36" s="2305"/>
      <c r="C36" s="2305"/>
      <c r="D36" s="2305"/>
      <c r="E36" s="2305"/>
      <c r="F36" s="2306"/>
    </row>
    <row r="37" spans="1:11" ht="12" customHeight="1" x14ac:dyDescent="0.2">
      <c r="A37" s="2304"/>
      <c r="B37" s="2305"/>
      <c r="C37" s="2305"/>
      <c r="D37" s="2305"/>
      <c r="E37" s="2305"/>
      <c r="F37" s="2306"/>
    </row>
    <row r="38" spans="1:11" ht="12" customHeight="1" x14ac:dyDescent="0.2">
      <c r="A38" s="2318"/>
      <c r="B38" s="2319"/>
      <c r="C38" s="2319"/>
      <c r="D38" s="2319"/>
      <c r="E38" s="2319"/>
      <c r="F38" s="2320"/>
    </row>
    <row r="39" spans="1:11" ht="4.5" hidden="1" customHeight="1" x14ac:dyDescent="0.2">
      <c r="A39" s="1896"/>
      <c r="B39" s="1896"/>
      <c r="C39" s="1896"/>
      <c r="D39" s="1896"/>
      <c r="E39" s="1896"/>
      <c r="F39" s="1896"/>
    </row>
    <row r="40" spans="1:11" s="1893" customFormat="1" ht="12" customHeight="1" x14ac:dyDescent="0.25">
      <c r="A40" s="1897" t="s">
        <v>1458</v>
      </c>
      <c r="B40" s="1898"/>
      <c r="C40" s="2321"/>
      <c r="D40" s="2321"/>
      <c r="E40" s="2321"/>
      <c r="F40" s="2322"/>
      <c r="H40" s="1902"/>
      <c r="I40" s="1902"/>
      <c r="J40" s="1902"/>
      <c r="K40" s="1902"/>
    </row>
    <row r="41" spans="1:11" s="1893" customFormat="1" ht="12" customHeight="1" x14ac:dyDescent="0.25">
      <c r="A41" s="2323"/>
      <c r="B41" s="2324"/>
      <c r="C41" s="2324"/>
      <c r="D41" s="2324"/>
      <c r="E41" s="2324"/>
      <c r="F41" s="2325"/>
      <c r="H41" s="1902"/>
      <c r="I41" s="1902"/>
      <c r="J41" s="1902"/>
      <c r="K41" s="1902"/>
    </row>
    <row r="42" spans="1:11" s="1893" customFormat="1" ht="12" customHeight="1" x14ac:dyDescent="0.25">
      <c r="A42" s="2323"/>
      <c r="B42" s="2324"/>
      <c r="C42" s="2324"/>
      <c r="D42" s="2324"/>
      <c r="E42" s="2324"/>
      <c r="F42" s="2325"/>
      <c r="H42" s="1902"/>
      <c r="I42" s="1902"/>
      <c r="J42" s="1902"/>
      <c r="K42" s="1902"/>
    </row>
    <row r="43" spans="1:11" s="1893" customFormat="1" ht="15" x14ac:dyDescent="0.25">
      <c r="A43" s="2315"/>
      <c r="B43" s="2316"/>
      <c r="C43" s="2316"/>
      <c r="D43" s="2316"/>
      <c r="E43" s="2316"/>
      <c r="F43" s="2317"/>
      <c r="H43" s="1902"/>
      <c r="I43" s="1902"/>
      <c r="J43" s="1902"/>
      <c r="K43" s="1902"/>
    </row>
    <row r="44" spans="1:11" s="1893" customFormat="1" ht="12" hidden="1" customHeight="1" x14ac:dyDescent="0.25">
      <c r="A44" s="2315"/>
      <c r="B44" s="2316"/>
      <c r="C44" s="2316"/>
      <c r="D44" s="2316"/>
      <c r="E44" s="2316"/>
      <c r="F44" s="2317"/>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1" t="str">
        <f>COVER!A17</f>
        <v>Cambridge Community Unit School District No. 227</v>
      </c>
      <c r="J6" s="2332"/>
      <c r="Q6" s="1684"/>
    </row>
    <row r="7" spans="1:17" x14ac:dyDescent="0.2">
      <c r="A7" s="2333" t="s">
        <v>924</v>
      </c>
      <c r="B7" s="2334"/>
      <c r="C7" s="2334"/>
      <c r="D7" s="2334"/>
      <c r="E7" s="2335"/>
      <c r="F7" s="1016"/>
      <c r="G7" s="1008"/>
      <c r="H7" s="1015" t="s">
        <v>390</v>
      </c>
      <c r="I7" s="2336" t="str">
        <f>COVER!A13</f>
        <v>28-037-2270-26</v>
      </c>
      <c r="J7" s="2336"/>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7" t="s">
        <v>502</v>
      </c>
      <c r="B11" s="2338"/>
      <c r="C11" s="2339"/>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90880</v>
      </c>
      <c r="F12" s="1038"/>
      <c r="G12" s="1832">
        <f t="shared" ref="G12:G18" si="0">SUM(E12:F12)</f>
        <v>90880</v>
      </c>
      <c r="H12" s="1039">
        <v>88787</v>
      </c>
      <c r="I12" s="1038"/>
      <c r="J12" s="1832">
        <f t="shared" ref="J12:J18" si="1">SUM(H12:I12)</f>
        <v>88787</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0" t="s">
        <v>7</v>
      </c>
      <c r="C18" s="2341"/>
      <c r="D18" s="2342"/>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90880</v>
      </c>
      <c r="F19" s="1834">
        <f t="shared" si="2"/>
        <v>0</v>
      </c>
      <c r="G19" s="1834">
        <f t="shared" si="2"/>
        <v>90880</v>
      </c>
      <c r="H19" s="1834">
        <f t="shared" si="2"/>
        <v>88787</v>
      </c>
      <c r="I19" s="1834">
        <f t="shared" si="2"/>
        <v>0</v>
      </c>
      <c r="J19" s="1834">
        <f t="shared" si="2"/>
        <v>88787</v>
      </c>
    </row>
    <row r="20" spans="1:10" ht="13.5" thickTop="1" x14ac:dyDescent="0.2">
      <c r="A20" s="1034">
        <v>9</v>
      </c>
      <c r="B20" s="2343" t="s">
        <v>1703</v>
      </c>
      <c r="C20" s="2343"/>
      <c r="D20" s="2344"/>
      <c r="E20" s="1045"/>
      <c r="F20" s="1045"/>
      <c r="G20" s="1045"/>
      <c r="H20" s="1045"/>
      <c r="I20" s="1045"/>
      <c r="J20" s="1835">
        <f>IF(AND(G19&gt;0,J19&gt;0),(((J19-G19)/G19)),"Enter Budget Data")</f>
        <v>-2.3030369718309858E-2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49"/>
      <c r="D26" s="2349"/>
      <c r="E26" s="1049"/>
      <c r="F26" s="2348"/>
      <c r="G26" s="2348"/>
    </row>
    <row r="27" spans="1:10" x14ac:dyDescent="0.2">
      <c r="B27" s="1046"/>
      <c r="C27" s="1050" t="s">
        <v>1093</v>
      </c>
      <c r="D27" s="1051"/>
      <c r="E27" s="1052"/>
      <c r="F27" s="2345" t="s">
        <v>1589</v>
      </c>
      <c r="G27" s="2345"/>
    </row>
    <row r="28" spans="1:10" ht="28.5" customHeight="1" x14ac:dyDescent="0.2">
      <c r="B28" s="1046"/>
      <c r="C28" s="2347"/>
      <c r="D28" s="2347"/>
      <c r="E28" s="1053"/>
      <c r="F28" s="2347"/>
      <c r="G28" s="2347"/>
    </row>
    <row r="29" spans="1:10" x14ac:dyDescent="0.2">
      <c r="B29" s="1046"/>
      <c r="C29" s="1054" t="s">
        <v>1642</v>
      </c>
      <c r="E29" s="1055"/>
      <c r="F29" s="2346" t="s">
        <v>1590</v>
      </c>
      <c r="G29" s="2346"/>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1"/>
    </row>
    <row r="36" spans="1:10" ht="13.5" customHeight="1" x14ac:dyDescent="0.2">
      <c r="B36" s="1060"/>
      <c r="C36" s="2330" t="s">
        <v>1944</v>
      </c>
      <c r="D36" s="2329"/>
      <c r="E36" s="2329"/>
      <c r="F36" s="2329"/>
      <c r="G36" s="2329"/>
      <c r="H36" s="2329"/>
      <c r="I36" s="2329"/>
      <c r="J36" s="1062"/>
    </row>
    <row r="37" spans="1:10" ht="22.5" customHeight="1" x14ac:dyDescent="0.2">
      <c r="C37" s="2329"/>
      <c r="D37" s="2329"/>
      <c r="E37" s="2329"/>
      <c r="F37" s="2329"/>
      <c r="G37" s="2329"/>
      <c r="H37" s="2329"/>
      <c r="I37" s="2329"/>
      <c r="J37" s="1062"/>
    </row>
    <row r="38" spans="1:10" ht="7.5" customHeight="1" x14ac:dyDescent="0.2">
      <c r="C38" s="1061"/>
      <c r="D38" s="1063"/>
      <c r="E38" s="1064"/>
      <c r="F38" s="1065"/>
      <c r="G38" s="1064"/>
    </row>
    <row r="39" spans="1:10" ht="13.5" customHeight="1" x14ac:dyDescent="0.2">
      <c r="B39" s="1060"/>
      <c r="C39" s="2326" t="s">
        <v>937</v>
      </c>
      <c r="D39" s="2327"/>
      <c r="E39" s="2327"/>
      <c r="F39" s="2327"/>
      <c r="G39" s="2327"/>
      <c r="H39" s="2327"/>
      <c r="I39" s="2327"/>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F65"/>
  <sheetViews>
    <sheetView showGridLines="0" zoomScale="110" zoomScaleNormal="110" workbookViewId="0"/>
  </sheetViews>
  <sheetFormatPr defaultColWidth="9.140625" defaultRowHeight="12.75" x14ac:dyDescent="0.2"/>
  <cols>
    <col min="1" max="1" width="3" style="329" customWidth="1"/>
    <col min="2" max="2" width="90" style="329" customWidth="1"/>
    <col min="3" max="3" width="0.5703125" style="329" customWidth="1"/>
    <col min="4" max="4" width="0.140625" style="329" hidden="1" customWidth="1"/>
    <col min="5" max="6" width="9.140625" style="329" hidden="1" customWidth="1"/>
    <col min="7" max="16384" width="9.140625" style="329"/>
  </cols>
  <sheetData>
    <row r="2" spans="1:2" x14ac:dyDescent="0.2">
      <c r="A2" s="389" t="s">
        <v>276</v>
      </c>
    </row>
    <row r="3" spans="1:2" x14ac:dyDescent="0.2">
      <c r="A3" s="329" t="s">
        <v>277</v>
      </c>
    </row>
    <row r="5" spans="1:2" x14ac:dyDescent="0.2">
      <c r="A5" s="1067">
        <v>1</v>
      </c>
      <c r="B5" s="329" t="s">
        <v>2112</v>
      </c>
    </row>
    <row r="6" spans="1:2" x14ac:dyDescent="0.2">
      <c r="A6" s="1067">
        <v>2</v>
      </c>
      <c r="B6" s="329" t="s">
        <v>2113</v>
      </c>
    </row>
    <row r="7" spans="1:2" x14ac:dyDescent="0.2">
      <c r="A7" s="1067">
        <v>3</v>
      </c>
      <c r="B7" s="329" t="s">
        <v>2114</v>
      </c>
    </row>
    <row r="8" spans="1:2" x14ac:dyDescent="0.2">
      <c r="A8" s="1067"/>
      <c r="B8" s="329" t="s">
        <v>2115</v>
      </c>
    </row>
    <row r="9" spans="1:2" x14ac:dyDescent="0.2">
      <c r="A9" s="1068"/>
      <c r="B9" s="329" t="s">
        <v>2116</v>
      </c>
    </row>
    <row r="10" spans="1:2" x14ac:dyDescent="0.2">
      <c r="A10" s="1068"/>
      <c r="B10" s="329" t="s">
        <v>2117</v>
      </c>
    </row>
    <row r="11" spans="1:2" x14ac:dyDescent="0.2">
      <c r="A11" s="1068"/>
      <c r="B11" s="329" t="s">
        <v>2118</v>
      </c>
    </row>
    <row r="12" spans="1:2" x14ac:dyDescent="0.2">
      <c r="A12" s="1068"/>
      <c r="B12" s="329" t="s">
        <v>2119</v>
      </c>
    </row>
    <row r="13" spans="1:2" x14ac:dyDescent="0.2">
      <c r="A13" s="1068"/>
      <c r="B13" s="329" t="s">
        <v>2120</v>
      </c>
    </row>
    <row r="14" spans="1:2" x14ac:dyDescent="0.2">
      <c r="A14" s="1068">
        <v>4</v>
      </c>
      <c r="B14" s="329" t="s">
        <v>2121</v>
      </c>
    </row>
    <row r="15" spans="1:2" x14ac:dyDescent="0.2">
      <c r="A15" s="1068">
        <v>5</v>
      </c>
      <c r="B15" s="329" t="s">
        <v>2123</v>
      </c>
    </row>
    <row r="16" spans="1:2" x14ac:dyDescent="0.2">
      <c r="A16" s="1068">
        <v>6</v>
      </c>
      <c r="B16" s="329" t="s">
        <v>2122</v>
      </c>
    </row>
    <row r="17" spans="1:2" x14ac:dyDescent="0.2">
      <c r="A17" s="1068">
        <v>7</v>
      </c>
      <c r="B17" s="329" t="s">
        <v>2124</v>
      </c>
    </row>
    <row r="18" spans="1:2" x14ac:dyDescent="0.2">
      <c r="A18" s="1068">
        <v>8</v>
      </c>
      <c r="B18" s="329" t="s">
        <v>2125</v>
      </c>
    </row>
    <row r="19" spans="1:2" x14ac:dyDescent="0.2">
      <c r="A19" s="1068">
        <v>9</v>
      </c>
      <c r="B19" s="329" t="s">
        <v>2126</v>
      </c>
    </row>
    <row r="20" spans="1:2" x14ac:dyDescent="0.2">
      <c r="A20" s="1068"/>
      <c r="B20" s="329" t="s">
        <v>2127</v>
      </c>
    </row>
    <row r="21" spans="1:2" x14ac:dyDescent="0.2">
      <c r="A21" s="1068"/>
      <c r="B21" s="329" t="s">
        <v>2128</v>
      </c>
    </row>
    <row r="22" spans="1:2" x14ac:dyDescent="0.2">
      <c r="A22" s="1068"/>
    </row>
    <row r="23" spans="1:2" x14ac:dyDescent="0.2">
      <c r="A23" s="1068"/>
    </row>
    <row r="24" spans="1:2" x14ac:dyDescent="0.2">
      <c r="A24" s="1068"/>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c r="B51" s="329" t="str">
        <f>COVER!A17</f>
        <v>Cambridge Community Unit School District No. 227</v>
      </c>
    </row>
    <row r="52" spans="1:2" x14ac:dyDescent="0.2">
      <c r="A52" s="1068"/>
      <c r="B52" s="329" t="str">
        <f>COVER!A13</f>
        <v>28-037-2270-26</v>
      </c>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row>
    <row r="65" spans="2:2" x14ac:dyDescent="0.2">
      <c r="B65" s="1069"/>
    </row>
  </sheetData>
  <phoneticPr fontId="13" type="noConversion"/>
  <pageMargins left="0.2" right="0.2" top="1.17" bottom="0.75" header="0.19" footer="0.16"/>
  <pageSetup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7" t="s">
        <v>1125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715</v>
      </c>
      <c r="B40" s="2064"/>
      <c r="C40" s="2064"/>
      <c r="D40" s="2064"/>
      <c r="E40" s="2064"/>
    </row>
    <row r="41" spans="1:5" x14ac:dyDescent="0.2">
      <c r="A41" s="2065" t="s">
        <v>1706</v>
      </c>
      <c r="B41" s="2065"/>
      <c r="C41" s="2065"/>
      <c r="D41" s="2065"/>
      <c r="E41" s="2065"/>
    </row>
    <row r="42" spans="1:5" ht="12.75" customHeight="1" x14ac:dyDescent="0.2">
      <c r="A42" s="2066" t="s">
        <v>1080</v>
      </c>
      <c r="B42" s="2066"/>
      <c r="C42" s="2066"/>
      <c r="D42" s="2066"/>
      <c r="E42" s="2066"/>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0" t="s">
        <v>1784</v>
      </c>
      <c r="B18" s="235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1790</v>
      </c>
      <c r="B1" s="2352"/>
      <c r="C1" s="2352"/>
      <c r="D1" s="2352"/>
      <c r="E1" s="2352"/>
      <c r="F1" s="2353"/>
    </row>
    <row r="2" spans="1:8" ht="45" customHeight="1" x14ac:dyDescent="0.2">
      <c r="A2" s="2361" t="s">
        <v>1791</v>
      </c>
      <c r="B2" s="2362"/>
      <c r="C2" s="2362"/>
      <c r="D2" s="2362"/>
      <c r="E2" s="2362"/>
      <c r="F2" s="2363"/>
      <c r="G2" s="1073"/>
      <c r="H2" s="1073"/>
    </row>
    <row r="3" spans="1:8" ht="57" customHeight="1" x14ac:dyDescent="0.2">
      <c r="A3" s="2364" t="s">
        <v>1786</v>
      </c>
      <c r="B3" s="2365"/>
      <c r="C3" s="2365"/>
      <c r="D3" s="2365"/>
      <c r="E3" s="2365"/>
      <c r="F3" s="2366"/>
      <c r="G3" s="1073"/>
      <c r="H3" s="1073"/>
    </row>
    <row r="4" spans="1:8" ht="14.25" customHeight="1" x14ac:dyDescent="0.2">
      <c r="A4" s="2370" t="s">
        <v>2056</v>
      </c>
      <c r="B4" s="2371"/>
      <c r="C4" s="2371"/>
      <c r="D4" s="2371"/>
      <c r="E4" s="2371"/>
      <c r="F4" s="2372"/>
      <c r="G4" s="1073"/>
      <c r="H4" s="1073"/>
    </row>
    <row r="5" spans="1:8" ht="14.25" customHeight="1" x14ac:dyDescent="0.2">
      <c r="A5" s="2373" t="s">
        <v>2057</v>
      </c>
      <c r="B5" s="2374"/>
      <c r="C5" s="2374"/>
      <c r="D5" s="2374"/>
      <c r="E5" s="2374"/>
      <c r="F5" s="2375"/>
      <c r="G5" s="1073"/>
      <c r="H5" s="1073"/>
    </row>
    <row r="6" spans="1:8" s="1074" customFormat="1" ht="41.25" customHeight="1" x14ac:dyDescent="0.2">
      <c r="A6" s="2367" t="s">
        <v>1792</v>
      </c>
      <c r="B6" s="2368"/>
      <c r="C6" s="2368"/>
      <c r="D6" s="2368"/>
      <c r="E6" s="2368"/>
      <c r="F6" s="2369"/>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3831534</v>
      </c>
      <c r="C8" s="1836">
        <f>'Acct Summary 7-8'!D8</f>
        <v>380747</v>
      </c>
      <c r="D8" s="1836">
        <f>'Acct Summary 7-8'!F8</f>
        <v>410123</v>
      </c>
      <c r="E8" s="1836">
        <f>'Acct Summary 7-8'!I8</f>
        <v>29345</v>
      </c>
      <c r="F8" s="1836">
        <f>SUM(B8:E8)</f>
        <v>4651749</v>
      </c>
    </row>
    <row r="9" spans="1:8" s="1078" customFormat="1" ht="14.25" customHeight="1" thickBot="1" x14ac:dyDescent="0.25">
      <c r="A9" s="1077" t="s">
        <v>1436</v>
      </c>
      <c r="B9" s="1837">
        <f>'Acct Summary 7-8'!C17</f>
        <v>3891711</v>
      </c>
      <c r="C9" s="1837">
        <f>'Acct Summary 7-8'!D17</f>
        <v>398794</v>
      </c>
      <c r="D9" s="1837">
        <f>'Acct Summary 7-8'!F17</f>
        <v>278122</v>
      </c>
      <c r="E9" s="1836"/>
      <c r="F9" s="1836">
        <f>SUM(B9:E9)</f>
        <v>4568627</v>
      </c>
    </row>
    <row r="10" spans="1:8" s="1078" customFormat="1" ht="14.25" thickTop="1" thickBot="1" x14ac:dyDescent="0.25">
      <c r="A10" s="1079" t="s">
        <v>1437</v>
      </c>
      <c r="B10" s="1838">
        <f>(B8-B9)</f>
        <v>-60177</v>
      </c>
      <c r="C10" s="1838">
        <f>(C8-C9)</f>
        <v>-18047</v>
      </c>
      <c r="D10" s="1838">
        <f>(D8-D9)</f>
        <v>132001</v>
      </c>
      <c r="E10" s="1837">
        <f>(E8-E9)</f>
        <v>29345</v>
      </c>
      <c r="F10" s="1839">
        <f>SUM(F8-F9)</f>
        <v>83122</v>
      </c>
    </row>
    <row r="11" spans="1:8" s="1078" customFormat="1" ht="14.25" thickTop="1" thickBot="1" x14ac:dyDescent="0.25">
      <c r="A11" s="1080" t="s">
        <v>1785</v>
      </c>
      <c r="B11" s="1840">
        <f>'Acct Summary 7-8'!C81</f>
        <v>623671</v>
      </c>
      <c r="C11" s="1840">
        <f>'Acct Summary 7-8'!D81</f>
        <v>388024</v>
      </c>
      <c r="D11" s="1840">
        <f>'Acct Summary 7-8'!F81</f>
        <v>319524</v>
      </c>
      <c r="E11" s="1840">
        <f>'Acct Summary 7-8'!I81</f>
        <v>121741</v>
      </c>
      <c r="F11" s="1841">
        <f>SUM(B11:E11)</f>
        <v>1452960</v>
      </c>
    </row>
    <row r="12" spans="1:8" ht="16.5" customHeight="1" thickTop="1" x14ac:dyDescent="0.2">
      <c r="A12" s="1081"/>
      <c r="B12" s="1082"/>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3"/>
      <c r="B13" s="1084"/>
      <c r="C13" s="2355"/>
      <c r="D13" s="2356"/>
      <c r="E13" s="2356"/>
      <c r="F13" s="2357"/>
      <c r="H13" s="1073"/>
    </row>
    <row r="14" spans="1:8" ht="19.5" customHeight="1" x14ac:dyDescent="0.2">
      <c r="A14" s="1083"/>
      <c r="B14" s="1084"/>
      <c r="C14" s="2355"/>
      <c r="D14" s="2356"/>
      <c r="E14" s="2356"/>
      <c r="F14" s="2357"/>
      <c r="H14" s="1073"/>
    </row>
    <row r="15" spans="1:8" ht="17.25" customHeight="1" x14ac:dyDescent="0.2">
      <c r="A15" s="1083"/>
      <c r="B15" s="1084"/>
      <c r="C15" s="2358"/>
      <c r="D15" s="2359"/>
      <c r="E15" s="2359"/>
      <c r="F15" s="2360"/>
      <c r="H15" s="1073"/>
    </row>
    <row r="16" spans="1:8" s="310" customFormat="1" ht="51.75" hidden="1" customHeight="1" x14ac:dyDescent="0.2">
      <c r="A16" s="2354" t="s">
        <v>1787</v>
      </c>
      <c r="B16" s="2354"/>
      <c r="C16" s="2354"/>
      <c r="D16" s="2354"/>
      <c r="E16" s="2354"/>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6"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76" t="s">
        <v>686</v>
      </c>
      <c r="B3" s="2377"/>
      <c r="C3" s="2377"/>
      <c r="D3" s="2378"/>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7" t="s">
        <v>1584</v>
      </c>
      <c r="D7" s="2388"/>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79" t="s">
        <v>1065</v>
      </c>
      <c r="B15" s="2380"/>
      <c r="C15" s="2380"/>
      <c r="D15" s="2381"/>
    </row>
    <row r="16" spans="1:4" s="667" customFormat="1" ht="24" customHeight="1" x14ac:dyDescent="0.2">
      <c r="A16" s="2382" t="s">
        <v>684</v>
      </c>
      <c r="B16" s="2383"/>
      <c r="C16" s="2383"/>
      <c r="D16" s="2384"/>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1" t="s">
        <v>332</v>
      </c>
      <c r="D21" s="2392"/>
    </row>
    <row r="22" spans="1:10" ht="12.75" x14ac:dyDescent="0.2">
      <c r="A22" s="1138"/>
      <c r="B22" s="1139">
        <v>2</v>
      </c>
      <c r="C22" s="2389" t="s">
        <v>1605</v>
      </c>
      <c r="D22" s="2390"/>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3" t="s">
        <v>557</v>
      </c>
      <c r="D43" s="2394"/>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5" t="s">
        <v>817</v>
      </c>
      <c r="D56" s="2386"/>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85" t="s">
        <v>1797</v>
      </c>
      <c r="D70" s="2386"/>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28-037-2270-26</v>
      </c>
    </row>
    <row r="3" spans="1:2" x14ac:dyDescent="0.2">
      <c r="A3" t="s">
        <v>1013</v>
      </c>
      <c r="B3" s="138" t="str">
        <f>COVER!A15</f>
        <v>Henry</v>
      </c>
    </row>
    <row r="4" spans="1:2" x14ac:dyDescent="0.2">
      <c r="A4" t="s">
        <v>1064</v>
      </c>
      <c r="B4" s="138" t="str">
        <f>COVER!A17</f>
        <v>Cambridge Community Unit School District No. 227</v>
      </c>
    </row>
    <row r="5" spans="1:2" x14ac:dyDescent="0.2">
      <c r="A5" t="s">
        <v>728</v>
      </c>
      <c r="B5" s="138" t="str">
        <f>COVER!A38</f>
        <v>Thomas Akers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Thomas Peffer, CPA</v>
      </c>
    </row>
    <row r="18" spans="1:2" x14ac:dyDescent="0.2">
      <c r="A18" t="s">
        <v>1212</v>
      </c>
      <c r="B18" s="138" t="str">
        <f>COVER!T17</f>
        <v>4200 N Knoxville Ave</v>
      </c>
    </row>
    <row r="19" spans="1:2" x14ac:dyDescent="0.2">
      <c r="A19" t="s">
        <v>941</v>
      </c>
      <c r="B19" s="138" t="str">
        <f>COVER!T25</f>
        <v>tpeffer@gorenzcpa.com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627283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3612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3612</v>
      </c>
      <c r="C91" s="2" t="s">
        <v>594</v>
      </c>
      <c r="D91" s="2" t="str">
        <f t="shared" si="0"/>
        <v>Error?</v>
      </c>
    </row>
    <row r="92" spans="1:4" x14ac:dyDescent="0.2">
      <c r="A92" s="5">
        <v>31</v>
      </c>
      <c r="B92" s="138">
        <f>'Assets-Liab 5-6'!C39</f>
        <v>623671</v>
      </c>
      <c r="D92" s="2" t="str">
        <f t="shared" si="0"/>
        <v>Error?</v>
      </c>
    </row>
    <row r="93" spans="1:4" x14ac:dyDescent="0.2">
      <c r="A93" s="5">
        <v>32</v>
      </c>
      <c r="B93" s="138">
        <f>'Assets-Liab 5-6'!C41</f>
        <v>627283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388024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388024</v>
      </c>
      <c r="D123" s="2" t="str">
        <f t="shared" si="0"/>
        <v>Error?</v>
      </c>
    </row>
    <row r="124" spans="1:4" x14ac:dyDescent="0.2">
      <c r="A124" s="5">
        <v>63</v>
      </c>
      <c r="B124" s="138">
        <f>'Assets-Liab 5-6'!D41</f>
        <v>388024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85681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85681</v>
      </c>
      <c r="D140" s="2" t="str">
        <f t="shared" si="1"/>
        <v>Error?</v>
      </c>
    </row>
    <row r="141" spans="1:4" x14ac:dyDescent="0.2">
      <c r="A141" s="5">
        <v>80</v>
      </c>
      <c r="B141" s="138">
        <f>'Assets-Liab 5-6'!E41</f>
        <v>85681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319524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319524</v>
      </c>
      <c r="D170" s="2" t="str">
        <f t="shared" si="1"/>
        <v>Error?</v>
      </c>
    </row>
    <row r="171" spans="1:4" x14ac:dyDescent="0.2">
      <c r="A171" s="5">
        <v>110</v>
      </c>
      <c r="B171" s="138">
        <f>'Assets-Liab 5-6'!F41</f>
        <v>319524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310590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100042</v>
      </c>
      <c r="D189" s="2" t="str">
        <f t="shared" si="1"/>
        <v>Error?</v>
      </c>
    </row>
    <row r="190" spans="1:4" x14ac:dyDescent="0.2">
      <c r="A190" s="5">
        <v>129</v>
      </c>
      <c r="B190" s="138">
        <f>'Assets-Liab 5-6'!G41</f>
        <v>310590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783275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413828</v>
      </c>
      <c r="D212" s="2" t="str">
        <f t="shared" si="2"/>
        <v>Error?</v>
      </c>
    </row>
    <row r="213" spans="1:4" x14ac:dyDescent="0.2">
      <c r="A213" s="12">
        <v>152</v>
      </c>
      <c r="B213" s="138">
        <f>'Assets-Liab 5-6'!H41</f>
        <v>783275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38250</v>
      </c>
      <c r="D273" s="2" t="str">
        <f t="shared" si="3"/>
        <v>Error?</v>
      </c>
    </row>
    <row r="274" spans="1:4" x14ac:dyDescent="0.2">
      <c r="A274" s="5">
        <v>213</v>
      </c>
      <c r="B274" s="138">
        <f>'Assets-Liab 5-6'!M17</f>
        <v>5226128</v>
      </c>
      <c r="D274" s="2" t="str">
        <f t="shared" si="3"/>
        <v>Error?</v>
      </c>
    </row>
    <row r="275" spans="1:4" x14ac:dyDescent="0.2">
      <c r="A275" s="5">
        <v>214</v>
      </c>
      <c r="B275" s="138">
        <f>'Assets-Liab 5-6'!M18</f>
        <v>425959</v>
      </c>
      <c r="D275" s="2" t="str">
        <f t="shared" si="3"/>
        <v>Error?</v>
      </c>
    </row>
    <row r="276" spans="1:4" x14ac:dyDescent="0.2">
      <c r="A276" s="5">
        <v>215</v>
      </c>
      <c r="B276" s="138">
        <f>'Assets-Liab 5-6'!M19</f>
        <v>741680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6945370</v>
      </c>
      <c r="C279" s="2" t="s">
        <v>594</v>
      </c>
      <c r="D279" s="2" t="str">
        <f t="shared" si="3"/>
        <v>Error?</v>
      </c>
    </row>
    <row r="280" spans="1:4" x14ac:dyDescent="0.2">
      <c r="A280" s="5">
        <v>219</v>
      </c>
      <c r="B280" s="138">
        <f>'Assets-Liab 5-6'!M40</f>
        <v>6945370</v>
      </c>
      <c r="D280" s="2" t="str">
        <f t="shared" si="3"/>
        <v>Error?</v>
      </c>
    </row>
    <row r="281" spans="1:4" x14ac:dyDescent="0.2">
      <c r="A281" s="5">
        <v>220</v>
      </c>
      <c r="B281" s="138">
        <f>'Assets-Liab 5-6'!M41</f>
        <v>6945370</v>
      </c>
      <c r="C281" s="2" t="s">
        <v>594</v>
      </c>
      <c r="D281" s="2" t="str">
        <f t="shared" si="3"/>
        <v>Error?</v>
      </c>
    </row>
    <row r="282" spans="1:4" x14ac:dyDescent="0.2">
      <c r="A282" s="5">
        <v>221</v>
      </c>
      <c r="B282" s="138">
        <f>'Assets-Liab 5-6'!N21</f>
        <v>85681</v>
      </c>
      <c r="D282" s="2" t="str">
        <f t="shared" si="3"/>
        <v>Error?</v>
      </c>
    </row>
    <row r="283" spans="1:4" x14ac:dyDescent="0.2">
      <c r="A283" s="5">
        <v>222</v>
      </c>
      <c r="B283" s="138">
        <f>'Assets-Liab 5-6'!N22</f>
        <v>2059319</v>
      </c>
      <c r="D283" s="2" t="str">
        <f t="shared" si="3"/>
        <v>Error?</v>
      </c>
    </row>
    <row r="284" spans="1:4" x14ac:dyDescent="0.2">
      <c r="A284" s="5">
        <v>223</v>
      </c>
      <c r="B284" s="138">
        <f>'Assets-Liab 5-6'!N23</f>
        <v>2145000</v>
      </c>
      <c r="C284" s="2" t="s">
        <v>594</v>
      </c>
      <c r="D284" s="2" t="str">
        <f t="shared" si="3"/>
        <v>Error?</v>
      </c>
    </row>
    <row r="285" spans="1:4" x14ac:dyDescent="0.2">
      <c r="A285" s="5">
        <v>224</v>
      </c>
      <c r="B285" s="138">
        <f>'Assets-Liab 5-6'!N36</f>
        <v>2145000</v>
      </c>
      <c r="D285" s="2" t="str">
        <f t="shared" si="3"/>
        <v>Error?</v>
      </c>
    </row>
    <row r="286" spans="1:4" x14ac:dyDescent="0.2">
      <c r="A286" s="10">
        <v>225</v>
      </c>
      <c r="D286" s="2" t="str">
        <f t="shared" si="3"/>
        <v>OK</v>
      </c>
    </row>
    <row r="287" spans="1:4" x14ac:dyDescent="0.2">
      <c r="A287" s="5">
        <v>226</v>
      </c>
      <c r="B287" s="138">
        <f>'Assets-Liab 5-6'!N37</f>
        <v>2145000</v>
      </c>
      <c r="C287" s="2" t="s">
        <v>594</v>
      </c>
      <c r="D287" s="2" t="str">
        <f t="shared" si="3"/>
        <v>Error?</v>
      </c>
    </row>
    <row r="288" spans="1:4" x14ac:dyDescent="0.2">
      <c r="A288" s="5">
        <v>227</v>
      </c>
      <c r="B288" s="138">
        <f>'Assets-Liab 5-6'!N41</f>
        <v>2145000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455</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1100000</v>
      </c>
      <c r="D618" s="2" t="str">
        <f t="shared" si="8"/>
        <v>Error?</v>
      </c>
    </row>
    <row r="619" spans="1:4" x14ac:dyDescent="0.2">
      <c r="A619" s="5">
        <v>558</v>
      </c>
      <c r="B619" s="138">
        <f>'Acct Summary 7-8'!H34</f>
        <v>219</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1791558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192755</v>
      </c>
      <c r="D717" s="2" t="str">
        <f t="shared" si="10"/>
        <v>Error?</v>
      </c>
    </row>
    <row r="718" spans="1:4" x14ac:dyDescent="0.2">
      <c r="A718" s="5">
        <v>657</v>
      </c>
      <c r="B718" s="138">
        <f>'Expenditures 15-22'!C14</f>
        <v>100204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2409534</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5460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5460</v>
      </c>
      <c r="C727" s="2" t="s">
        <v>594</v>
      </c>
      <c r="D727" s="2" t="str">
        <f t="shared" si="10"/>
        <v>Error?</v>
      </c>
    </row>
    <row r="728" spans="1:4" x14ac:dyDescent="0.2">
      <c r="A728" s="5">
        <v>667</v>
      </c>
      <c r="B728" s="138">
        <f>'Expenditures 15-22'!C44</f>
        <v>1351</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1351</v>
      </c>
      <c r="C731" s="2" t="s">
        <v>594</v>
      </c>
      <c r="D731" s="2" t="str">
        <f t="shared" si="10"/>
        <v>Error?</v>
      </c>
    </row>
    <row r="732" spans="1:4" x14ac:dyDescent="0.2">
      <c r="A732" s="5">
        <v>671</v>
      </c>
      <c r="B732" s="138">
        <f>'Expenditures 15-22'!C49</f>
        <v>1478</v>
      </c>
      <c r="D732" s="2" t="str">
        <f t="shared" si="10"/>
        <v>Error?</v>
      </c>
    </row>
    <row r="733" spans="1:4" x14ac:dyDescent="0.2">
      <c r="A733" s="5">
        <v>672</v>
      </c>
      <c r="B733" s="138">
        <f>'Expenditures 15-22'!C50</f>
        <v>61863</v>
      </c>
      <c r="D733" s="2" t="str">
        <f t="shared" si="10"/>
        <v>Error?</v>
      </c>
    </row>
    <row r="734" spans="1:4" x14ac:dyDescent="0.2">
      <c r="A734" s="5">
        <v>673</v>
      </c>
      <c r="B734" s="138">
        <f>'Expenditures 15-22'!C53</f>
        <v>63341</v>
      </c>
      <c r="C734" s="2" t="s">
        <v>594</v>
      </c>
      <c r="D734" s="2" t="str">
        <f t="shared" si="10"/>
        <v>Error?</v>
      </c>
    </row>
    <row r="735" spans="1:4" x14ac:dyDescent="0.2">
      <c r="A735" s="5">
        <v>674</v>
      </c>
      <c r="B735" s="138">
        <f>'Expenditures 15-22'!C55</f>
        <v>194216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194216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65143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63387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128530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392898</v>
      </c>
      <c r="C755" s="2" t="s">
        <v>594</v>
      </c>
      <c r="D755" s="2" t="str">
        <f t="shared" si="10"/>
        <v>Error?</v>
      </c>
    </row>
    <row r="756" spans="1:4" x14ac:dyDescent="0.2">
      <c r="A756" s="5">
        <v>695</v>
      </c>
      <c r="B756" s="138">
        <f>'Expenditures 15-22'!C75</f>
        <v>10381</v>
      </c>
      <c r="D756" s="2" t="str">
        <f t="shared" si="10"/>
        <v>Error?</v>
      </c>
    </row>
    <row r="757" spans="1:4" x14ac:dyDescent="0.2">
      <c r="A757" s="5">
        <v>696</v>
      </c>
      <c r="B757" s="138">
        <f>'Expenditures 15-22'!C114</f>
        <v>2812813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193505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22817</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257399</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5145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5145</v>
      </c>
      <c r="C785" s="2" t="s">
        <v>594</v>
      </c>
      <c r="D785" s="2" t="str">
        <f t="shared" si="11"/>
        <v>Error?</v>
      </c>
    </row>
    <row r="786" spans="1:4" x14ac:dyDescent="0.2">
      <c r="A786" s="5">
        <v>725</v>
      </c>
      <c r="B786" s="138">
        <f>'Expenditures 15-22'!D44</f>
        <v>7100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7100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29017</v>
      </c>
      <c r="D791" s="2" t="str">
        <f t="shared" si="11"/>
        <v>Error?</v>
      </c>
    </row>
    <row r="792" spans="1:4" x14ac:dyDescent="0.2">
      <c r="A792" s="5">
        <v>731</v>
      </c>
      <c r="B792" s="138">
        <f>'Expenditures 15-22'!D53</f>
        <v>29017</v>
      </c>
      <c r="C792" s="2" t="s">
        <v>594</v>
      </c>
      <c r="D792" s="2" t="str">
        <f t="shared" si="11"/>
        <v>Error?</v>
      </c>
    </row>
    <row r="793" spans="1:4" x14ac:dyDescent="0.2">
      <c r="A793" s="5">
        <v>732</v>
      </c>
      <c r="B793" s="138">
        <f>'Expenditures 15-22'!D55</f>
        <v>83072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83072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8250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16879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25129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149463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406862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11003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778</v>
      </c>
      <c r="D833" s="2" t="str">
        <f t="shared" si="12"/>
        <v>Error?</v>
      </c>
    </row>
    <row r="834" spans="1:4" x14ac:dyDescent="0.2">
      <c r="A834" s="5">
        <v>773</v>
      </c>
      <c r="B834" s="138">
        <f>'Expenditures 15-22'!E14</f>
        <v>9231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24431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70</v>
      </c>
      <c r="C843" s="2" t="s">
        <v>594</v>
      </c>
      <c r="D843" s="2" t="str">
        <f t="shared" si="12"/>
        <v>Error?</v>
      </c>
    </row>
    <row r="844" spans="1:4" x14ac:dyDescent="0.2">
      <c r="A844" s="5">
        <v>783</v>
      </c>
      <c r="B844" s="138">
        <f>'Expenditures 15-22'!E44</f>
        <v>6499</v>
      </c>
      <c r="D844" s="2" t="str">
        <f t="shared" si="12"/>
        <v>Error?</v>
      </c>
    </row>
    <row r="845" spans="1:4" x14ac:dyDescent="0.2">
      <c r="A845" s="5">
        <v>784</v>
      </c>
      <c r="B845" s="138">
        <f>'Expenditures 15-22'!E45</f>
        <v>3790</v>
      </c>
      <c r="D845" s="2" t="str">
        <f t="shared" si="12"/>
        <v>Error?</v>
      </c>
    </row>
    <row r="846" spans="1:4" x14ac:dyDescent="0.2">
      <c r="A846" s="5">
        <v>785</v>
      </c>
      <c r="B846" s="138">
        <f>'Expenditures 15-22'!E46</f>
        <v>16982</v>
      </c>
      <c r="D846" s="2" t="str">
        <f t="shared" si="12"/>
        <v>Error?</v>
      </c>
    </row>
    <row r="847" spans="1:4" x14ac:dyDescent="0.2">
      <c r="A847" s="5">
        <v>786</v>
      </c>
      <c r="B847" s="138">
        <f>'Expenditures 15-22'!E47</f>
        <v>27271</v>
      </c>
      <c r="C847" s="2" t="s">
        <v>594</v>
      </c>
      <c r="D847" s="2" t="str">
        <f t="shared" si="12"/>
        <v>Error?</v>
      </c>
    </row>
    <row r="848" spans="1:4" x14ac:dyDescent="0.2">
      <c r="A848" s="5">
        <v>787</v>
      </c>
      <c r="B848" s="138">
        <f>'Expenditures 15-22'!E49</f>
        <v>22962</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22962</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38272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38327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88630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137373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88130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13123</v>
      </c>
      <c r="D891" s="2" t="str">
        <f t="shared" si="12"/>
        <v>Error?</v>
      </c>
    </row>
    <row r="892" spans="1:4" x14ac:dyDescent="0.2">
      <c r="A892" s="5">
        <v>831</v>
      </c>
      <c r="B892" s="138">
        <f>'Expenditures 15-22'!F14</f>
        <v>21333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137212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270</v>
      </c>
      <c r="D896" s="2" t="str">
        <f t="shared" si="13"/>
        <v>Error?</v>
      </c>
    </row>
    <row r="897" spans="1:4" x14ac:dyDescent="0.2">
      <c r="A897" s="5">
        <v>836</v>
      </c>
      <c r="B897" s="138">
        <f>'Expenditures 15-22'!F38</f>
        <v>1317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1587</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2474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2474</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1389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113128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114517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1281</v>
      </c>
      <c r="D928" s="2" t="str">
        <f t="shared" si="13"/>
        <v>Error?</v>
      </c>
    </row>
    <row r="929" spans="1:4" x14ac:dyDescent="0.2">
      <c r="A929" s="5">
        <v>868</v>
      </c>
      <c r="B929" s="138">
        <f>'Expenditures 15-22'!F74</f>
        <v>119859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257071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24765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573</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28052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28052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6184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850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7034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11404</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11404</v>
      </c>
      <c r="C1024" s="2" t="s">
        <v>594</v>
      </c>
      <c r="D1024" s="2" t="str">
        <f t="shared" si="15"/>
        <v>Error?</v>
      </c>
    </row>
    <row r="1025" spans="1:4" x14ac:dyDescent="0.2">
      <c r="A1025" s="5">
        <v>964</v>
      </c>
      <c r="B1025" s="138">
        <f>'Expenditures 15-22'!H55</f>
        <v>770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770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12174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230332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249540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2115145</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230046</v>
      </c>
      <c r="C1105" s="2" t="s">
        <v>594</v>
      </c>
      <c r="D1105" s="2" t="str">
        <f t="shared" si="16"/>
        <v>Error?</v>
      </c>
    </row>
    <row r="1106" spans="1:4" x14ac:dyDescent="0.2">
      <c r="A1106" s="5">
        <v>1045</v>
      </c>
      <c r="B1106" s="138">
        <f>'Expenditures 15-22'!K14</f>
        <v>131618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2863662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270</v>
      </c>
      <c r="C1110" s="2" t="s">
        <v>594</v>
      </c>
      <c r="D1110" s="2" t="str">
        <f t="shared" si="16"/>
        <v>Error?</v>
      </c>
    </row>
    <row r="1111" spans="1:4" x14ac:dyDescent="0.2">
      <c r="A1111" s="5">
        <v>1050</v>
      </c>
      <c r="B1111" s="138">
        <f>'Expenditures 15-22'!K38</f>
        <v>11992</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12262</v>
      </c>
      <c r="C1115" s="2" t="s">
        <v>594</v>
      </c>
      <c r="D1115" s="2" t="str">
        <f t="shared" si="16"/>
        <v>Error?</v>
      </c>
    </row>
    <row r="1116" spans="1:4" x14ac:dyDescent="0.2">
      <c r="A1116" s="5">
        <v>1055</v>
      </c>
      <c r="B1116" s="138">
        <f>'Expenditures 15-22'!K44</f>
        <v>14950</v>
      </c>
      <c r="C1116" s="2" t="s">
        <v>594</v>
      </c>
      <c r="D1116" s="2" t="str">
        <f t="shared" si="16"/>
        <v>Error?</v>
      </c>
    </row>
    <row r="1117" spans="1:4" x14ac:dyDescent="0.2">
      <c r="A1117" s="5">
        <v>1056</v>
      </c>
      <c r="B1117" s="138">
        <f>'Expenditures 15-22'!K45</f>
        <v>6264</v>
      </c>
      <c r="C1117" s="2" t="s">
        <v>594</v>
      </c>
      <c r="D1117" s="2" t="str">
        <f t="shared" si="16"/>
        <v>Error?</v>
      </c>
    </row>
    <row r="1118" spans="1:4" x14ac:dyDescent="0.2">
      <c r="A1118" s="5">
        <v>1057</v>
      </c>
      <c r="B1118" s="138">
        <f>'Expenditures 15-22'!K46</f>
        <v>16982</v>
      </c>
      <c r="C1118" s="2" t="s">
        <v>594</v>
      </c>
      <c r="D1118" s="2" t="str">
        <f t="shared" si="16"/>
        <v>Error?</v>
      </c>
    </row>
    <row r="1119" spans="1:4" x14ac:dyDescent="0.2">
      <c r="A1119" s="5">
        <v>1058</v>
      </c>
      <c r="B1119" s="138">
        <f>'Expenditures 15-22'!K47</f>
        <v>38196</v>
      </c>
      <c r="C1119" s="2" t="s">
        <v>594</v>
      </c>
      <c r="D1119" s="2" t="str">
        <f t="shared" si="16"/>
        <v>Error?</v>
      </c>
    </row>
    <row r="1120" spans="1:4" x14ac:dyDescent="0.2">
      <c r="A1120" s="5">
        <v>1059</v>
      </c>
      <c r="B1120" s="138">
        <f>'Expenditures 15-22'!K49</f>
        <v>35844</v>
      </c>
      <c r="C1120" s="2" t="s">
        <v>594</v>
      </c>
      <c r="D1120" s="2" t="str">
        <f t="shared" si="16"/>
        <v>Error?</v>
      </c>
    </row>
    <row r="1121" spans="1:4" x14ac:dyDescent="0.2">
      <c r="A1121" s="5">
        <v>1060</v>
      </c>
      <c r="B1121" s="138">
        <f>'Expenditures 15-22'!K50</f>
        <v>90880</v>
      </c>
      <c r="C1121" s="2" t="s">
        <v>594</v>
      </c>
      <c r="D1121" s="2" t="str">
        <f t="shared" si="16"/>
        <v>Error?</v>
      </c>
    </row>
    <row r="1122" spans="1:4" x14ac:dyDescent="0.2">
      <c r="A1122" s="5">
        <v>1061</v>
      </c>
      <c r="B1122" s="138">
        <f>'Expenditures 15-22'!K53</f>
        <v>126724</v>
      </c>
      <c r="C1122" s="2" t="s">
        <v>594</v>
      </c>
      <c r="D1122" s="2" t="str">
        <f t="shared" si="16"/>
        <v>Error?</v>
      </c>
    </row>
    <row r="1123" spans="1:4" x14ac:dyDescent="0.2">
      <c r="A1123" s="5">
        <v>1062</v>
      </c>
      <c r="B1123" s="138">
        <f>'Expenditures 15-22'!K55</f>
        <v>278058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278058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113054</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193449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306503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1281</v>
      </c>
      <c r="C1142" s="2" t="s">
        <v>594</v>
      </c>
      <c r="D1142" s="2" t="str">
        <f t="shared" si="16"/>
        <v>Error?</v>
      </c>
    </row>
    <row r="1143" spans="1:4" x14ac:dyDescent="0.2">
      <c r="A1143" s="5">
        <v>1082</v>
      </c>
      <c r="B1143" s="138">
        <f>'Expenditures 15-22'!K74</f>
        <v>763024</v>
      </c>
      <c r="C1143" s="2" t="s">
        <v>594</v>
      </c>
      <c r="D1143" s="2" t="str">
        <f t="shared" si="16"/>
        <v>Error?</v>
      </c>
    </row>
    <row r="1144" spans="1:4" x14ac:dyDescent="0.2">
      <c r="A1144" s="5">
        <v>1083</v>
      </c>
      <c r="B1144" s="138">
        <f>'Expenditures 15-22'!K75</f>
        <v>10381</v>
      </c>
      <c r="C1144" s="2" t="s">
        <v>594</v>
      </c>
      <c r="D1144" s="2" t="str">
        <f t="shared" si="16"/>
        <v>Error?</v>
      </c>
    </row>
    <row r="1145" spans="1:4" x14ac:dyDescent="0.2">
      <c r="A1145" s="5">
        <v>1084</v>
      </c>
      <c r="B1145" s="138">
        <f>'Expenditures 15-22'!K102</f>
        <v>254644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3891711</v>
      </c>
      <c r="C1152" s="2" t="s">
        <v>594</v>
      </c>
      <c r="D1152" s="2" t="str">
        <f t="shared" si="17"/>
        <v>Error?</v>
      </c>
    </row>
    <row r="1153" spans="1:4" x14ac:dyDescent="0.2">
      <c r="A1153" s="5">
        <v>1092</v>
      </c>
      <c r="B1153" s="138">
        <f>'Expenditures 15-22'!K115</f>
        <v>-60177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105204</v>
      </c>
      <c r="D1221" s="2" t="str">
        <f t="shared" si="18"/>
        <v>Error?</v>
      </c>
    </row>
    <row r="1222" spans="1:4" x14ac:dyDescent="0.2">
      <c r="A1222" s="10">
        <v>1161</v>
      </c>
      <c r="D1222" s="2" t="str">
        <f t="shared" si="18"/>
        <v>OK</v>
      </c>
    </row>
    <row r="1223" spans="1:4" x14ac:dyDescent="0.2">
      <c r="A1223" s="5">
        <v>1162</v>
      </c>
      <c r="B1223" s="138">
        <f>'Expenditures 15-22'!C127</f>
        <v>105204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105204</v>
      </c>
      <c r="C1225" s="2" t="s">
        <v>594</v>
      </c>
      <c r="D1225" s="2" t="str">
        <f t="shared" si="18"/>
        <v>Error?</v>
      </c>
    </row>
    <row r="1226" spans="1:4" x14ac:dyDescent="0.2">
      <c r="A1226" s="5">
        <v>1165</v>
      </c>
      <c r="B1226" s="138">
        <f>'Expenditures 15-22'!C151</f>
        <v>105204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5743</v>
      </c>
      <c r="D1229" s="2" t="str">
        <f t="shared" si="18"/>
        <v>Error?</v>
      </c>
    </row>
    <row r="1230" spans="1:4" x14ac:dyDescent="0.2">
      <c r="A1230" s="10">
        <v>1169</v>
      </c>
      <c r="D1230" s="2" t="str">
        <f t="shared" si="18"/>
        <v>OK</v>
      </c>
    </row>
    <row r="1231" spans="1:4" x14ac:dyDescent="0.2">
      <c r="A1231" s="5">
        <v>1170</v>
      </c>
      <c r="B1231" s="138">
        <f>'Expenditures 15-22'!D127</f>
        <v>5743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5743</v>
      </c>
      <c r="C1233" s="2" t="s">
        <v>594</v>
      </c>
      <c r="D1233" s="2" t="str">
        <f t="shared" si="18"/>
        <v>Error?</v>
      </c>
    </row>
    <row r="1234" spans="1:4" x14ac:dyDescent="0.2">
      <c r="A1234" s="5">
        <v>1173</v>
      </c>
      <c r="B1234" s="138">
        <f>'Expenditures 15-22'!D151</f>
        <v>5743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210534</v>
      </c>
      <c r="D1237" s="2" t="str">
        <f t="shared" si="18"/>
        <v>Error?</v>
      </c>
    </row>
    <row r="1238" spans="1:4" x14ac:dyDescent="0.2">
      <c r="A1238" s="10">
        <v>1177</v>
      </c>
      <c r="D1238" s="2" t="str">
        <f t="shared" si="18"/>
        <v>OK</v>
      </c>
    </row>
    <row r="1239" spans="1:4" x14ac:dyDescent="0.2">
      <c r="A1239" s="5">
        <v>1178</v>
      </c>
      <c r="B1239" s="138">
        <f>'Expenditures 15-22'!E127</f>
        <v>210534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210534</v>
      </c>
      <c r="C1241" s="2" t="s">
        <v>594</v>
      </c>
      <c r="D1241" s="2" t="str">
        <f t="shared" si="18"/>
        <v>Error?</v>
      </c>
    </row>
    <row r="1242" spans="1:4" x14ac:dyDescent="0.2">
      <c r="A1242" s="5">
        <v>1181</v>
      </c>
      <c r="B1242" s="138">
        <f>'Expenditures 15-22'!E151</f>
        <v>210534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43513</v>
      </c>
      <c r="D1245" s="2" t="str">
        <f t="shared" si="18"/>
        <v>Error?</v>
      </c>
    </row>
    <row r="1246" spans="1:4" x14ac:dyDescent="0.2">
      <c r="A1246" s="10">
        <v>1185</v>
      </c>
      <c r="D1246" s="2" t="str">
        <f t="shared" si="18"/>
        <v>OK</v>
      </c>
    </row>
    <row r="1247" spans="1:4" x14ac:dyDescent="0.2">
      <c r="A1247" s="5">
        <v>1186</v>
      </c>
      <c r="B1247" s="138">
        <f>'Expenditures 15-22'!F127</f>
        <v>43513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43513</v>
      </c>
      <c r="C1249" s="2" t="s">
        <v>594</v>
      </c>
      <c r="D1249" s="2" t="str">
        <f t="shared" si="18"/>
        <v>Error?</v>
      </c>
    </row>
    <row r="1250" spans="1:4" x14ac:dyDescent="0.2">
      <c r="A1250" s="5">
        <v>1189</v>
      </c>
      <c r="B1250" s="138">
        <f>'Expenditures 15-22'!F151</f>
        <v>43513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33800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33800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33800</v>
      </c>
      <c r="C1258" s="2" t="s">
        <v>594</v>
      </c>
      <c r="D1258" s="2" t="str">
        <f t="shared" si="18"/>
        <v>Error?</v>
      </c>
    </row>
    <row r="1259" spans="1:4" x14ac:dyDescent="0.2">
      <c r="A1259" s="5">
        <v>1198</v>
      </c>
      <c r="B1259" s="138">
        <f>'Expenditures 15-22'!G151</f>
        <v>33800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398794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398794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398794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398794</v>
      </c>
      <c r="C1288" s="2" t="s">
        <v>594</v>
      </c>
      <c r="D1288" s="2" t="str">
        <f t="shared" si="19"/>
        <v>Error?</v>
      </c>
    </row>
    <row r="1289" spans="1:4" x14ac:dyDescent="0.2">
      <c r="A1289" s="5">
        <v>1228</v>
      </c>
      <c r="B1289" s="138">
        <f>'Expenditures 15-22'!K152</f>
        <v>-18047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1000</v>
      </c>
      <c r="D1307" s="2" t="str">
        <f t="shared" si="19"/>
        <v>Error?</v>
      </c>
    </row>
    <row r="1308" spans="1:4" x14ac:dyDescent="0.2">
      <c r="A1308" s="5">
        <v>1247</v>
      </c>
      <c r="B1308" s="138">
        <f>'Expenditures 15-22'!E172</f>
        <v>1000</v>
      </c>
      <c r="C1308" s="2" t="s">
        <v>594</v>
      </c>
      <c r="D1308" s="2" t="str">
        <f t="shared" si="19"/>
        <v>Error?</v>
      </c>
    </row>
    <row r="1309" spans="1:4" x14ac:dyDescent="0.2">
      <c r="A1309" s="5">
        <v>1248</v>
      </c>
      <c r="B1309" s="138">
        <f>'Expenditures 15-22'!E174</f>
        <v>1000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61826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109180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171006</v>
      </c>
      <c r="C1317" s="2" t="s">
        <v>594</v>
      </c>
      <c r="D1317" s="2" t="str">
        <f t="shared" si="19"/>
        <v>Error?</v>
      </c>
    </row>
    <row r="1318" spans="1:4" x14ac:dyDescent="0.2">
      <c r="A1318" s="5">
        <v>1257</v>
      </c>
      <c r="B1318" s="138">
        <f>'Expenditures 15-22'!H174</f>
        <v>171006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61826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109180</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172006</v>
      </c>
      <c r="C1331" s="2" t="s">
        <v>594</v>
      </c>
      <c r="D1331" s="2" t="str">
        <f t="shared" si="19"/>
        <v>Error?</v>
      </c>
    </row>
    <row r="1332" spans="1:4" x14ac:dyDescent="0.2">
      <c r="A1332" s="5">
        <v>1271</v>
      </c>
      <c r="B1332" s="138">
        <f>'Expenditures 15-22'!K174</f>
        <v>172006</v>
      </c>
      <c r="C1332" s="2" t="s">
        <v>594</v>
      </c>
      <c r="D1332" s="2" t="str">
        <f t="shared" si="19"/>
        <v>Error?</v>
      </c>
    </row>
    <row r="1333" spans="1:4" x14ac:dyDescent="0.2">
      <c r="A1333" s="5">
        <v>1272</v>
      </c>
      <c r="B1333" s="138">
        <f>'Expenditures 15-22'!K175</f>
        <v>-4853</v>
      </c>
      <c r="C1333" s="2" t="s">
        <v>594</v>
      </c>
      <c r="D1333" s="2" t="str">
        <f t="shared" si="19"/>
        <v>Error?</v>
      </c>
    </row>
    <row r="1334" spans="1:4" x14ac:dyDescent="0.2">
      <c r="A1334" s="10">
        <v>1273</v>
      </c>
      <c r="D1334" s="2" t="str">
        <f t="shared" si="19"/>
        <v>OK</v>
      </c>
    </row>
    <row r="1335" spans="1:4" x14ac:dyDescent="0.2">
      <c r="A1335" s="5">
        <v>1274</v>
      </c>
      <c r="B1335" s="138">
        <f>'Expenditures 15-22'!C182</f>
        <v>119023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119023</v>
      </c>
      <c r="C1339" s="2" t="s">
        <v>594</v>
      </c>
      <c r="D1339" s="2" t="str">
        <f t="shared" si="19"/>
        <v>Error?</v>
      </c>
    </row>
    <row r="1340" spans="1:4" x14ac:dyDescent="0.2">
      <c r="A1340" s="5">
        <v>1279</v>
      </c>
      <c r="B1340" s="138">
        <f>'Expenditures 15-22'!C210</f>
        <v>119023</v>
      </c>
      <c r="C1340" s="2" t="s">
        <v>594</v>
      </c>
      <c r="D1340" s="2" t="str">
        <f t="shared" si="19"/>
        <v>Error?</v>
      </c>
    </row>
    <row r="1341" spans="1:4" x14ac:dyDescent="0.2">
      <c r="A1341" s="5">
        <v>1280</v>
      </c>
      <c r="B1341" s="138">
        <f>'Expenditures 15-22'!D182</f>
        <v>10762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10762</v>
      </c>
      <c r="C1345" s="2" t="s">
        <v>594</v>
      </c>
      <c r="D1345" s="2" t="str">
        <f t="shared" si="20"/>
        <v>Error?</v>
      </c>
    </row>
    <row r="1346" spans="1:4" x14ac:dyDescent="0.2">
      <c r="A1346" s="5">
        <v>1285</v>
      </c>
      <c r="B1346" s="138">
        <f>'Expenditures 15-22'!D210</f>
        <v>10762</v>
      </c>
      <c r="C1346" s="2" t="s">
        <v>594</v>
      </c>
      <c r="D1346" s="2" t="str">
        <f t="shared" si="20"/>
        <v>Error?</v>
      </c>
    </row>
    <row r="1347" spans="1:4" x14ac:dyDescent="0.2">
      <c r="A1347" s="5">
        <v>1286</v>
      </c>
      <c r="B1347" s="138">
        <f>'Expenditures 15-22'!E182</f>
        <v>101599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101599</v>
      </c>
      <c r="C1351" s="2" t="s">
        <v>594</v>
      </c>
      <c r="D1351" s="2" t="str">
        <f t="shared" si="20"/>
        <v>Error?</v>
      </c>
    </row>
    <row r="1352" spans="1:4" x14ac:dyDescent="0.2">
      <c r="A1352" s="5">
        <v>1291</v>
      </c>
      <c r="B1352" s="138">
        <f>'Expenditures 15-22'!E196</f>
        <v>7249</v>
      </c>
      <c r="C1352" s="2" t="s">
        <v>594</v>
      </c>
      <c r="D1352" s="2" t="str">
        <f t="shared" si="20"/>
        <v>Error?</v>
      </c>
    </row>
    <row r="1353" spans="1:4" x14ac:dyDescent="0.2">
      <c r="A1353" s="5">
        <v>1292</v>
      </c>
      <c r="B1353" s="138">
        <f>'Expenditures 15-22'!E210</f>
        <v>108848</v>
      </c>
      <c r="C1353" s="2" t="s">
        <v>594</v>
      </c>
      <c r="D1353" s="2" t="str">
        <f t="shared" si="20"/>
        <v>Error?</v>
      </c>
    </row>
    <row r="1354" spans="1:4" x14ac:dyDescent="0.2">
      <c r="A1354" s="5">
        <v>1293</v>
      </c>
      <c r="B1354" s="138">
        <f>'Expenditures 15-22'!F182</f>
        <v>39489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39489</v>
      </c>
      <c r="C1358" s="2" t="s">
        <v>594</v>
      </c>
      <c r="D1358" s="2" t="str">
        <f t="shared" si="20"/>
        <v>Error?</v>
      </c>
    </row>
    <row r="1359" spans="1:4" x14ac:dyDescent="0.2">
      <c r="A1359" s="5">
        <v>1298</v>
      </c>
      <c r="B1359" s="138">
        <f>'Expenditures 15-22'!F210</f>
        <v>39489</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270873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270873</v>
      </c>
      <c r="C1381" s="2" t="s">
        <v>594</v>
      </c>
      <c r="D1381" s="2" t="str">
        <f t="shared" si="20"/>
        <v>Error?</v>
      </c>
    </row>
    <row r="1382" spans="1:4" x14ac:dyDescent="0.2">
      <c r="A1382" s="5">
        <v>1321</v>
      </c>
      <c r="B1382" s="138">
        <f>'Expenditures 15-22'!K196</f>
        <v>7249</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278122</v>
      </c>
      <c r="C1388" s="2" t="s">
        <v>594</v>
      </c>
      <c r="D1388" s="2" t="str">
        <f t="shared" si="20"/>
        <v>Error?</v>
      </c>
    </row>
    <row r="1389" spans="1:4" x14ac:dyDescent="0.2">
      <c r="A1389" s="5">
        <v>1328</v>
      </c>
      <c r="B1389" s="138">
        <f>'Expenditures 15-22'!K211</f>
        <v>132001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2717</v>
      </c>
      <c r="D1407" s="2" t="str">
        <f t="shared" ref="D1407:D1470" si="21">IF(ISBLANK(B1407),"OK",IF(A1407-B1407=0,"OK","Error?"))</f>
        <v>Error?</v>
      </c>
    </row>
    <row r="1408" spans="1:4" x14ac:dyDescent="0.2">
      <c r="A1408" s="5">
        <v>1347</v>
      </c>
      <c r="B1408" s="138">
        <f>'Expenditures 15-22'!D223</f>
        <v>5902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74104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5147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5147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113</v>
      </c>
      <c r="D1422" s="2" t="str">
        <f t="shared" si="21"/>
        <v>Error?</v>
      </c>
    </row>
    <row r="1423" spans="1:4" x14ac:dyDescent="0.2">
      <c r="A1423" s="5">
        <v>1362</v>
      </c>
      <c r="B1423" s="138">
        <f>'Expenditures 15-22'!D246</f>
        <v>1697</v>
      </c>
      <c r="D1423" s="2" t="str">
        <f t="shared" si="21"/>
        <v>Error?</v>
      </c>
    </row>
    <row r="1424" spans="1:4" x14ac:dyDescent="0.2">
      <c r="A1424" s="5">
        <v>1363</v>
      </c>
      <c r="B1424" s="138">
        <f>'Expenditures 15-22'!D257</f>
        <v>1810</v>
      </c>
      <c r="C1424" s="2" t="s">
        <v>594</v>
      </c>
      <c r="D1424" s="2" t="str">
        <f t="shared" si="21"/>
        <v>Error?</v>
      </c>
    </row>
    <row r="1425" spans="1:4" x14ac:dyDescent="0.2">
      <c r="A1425" s="5">
        <v>1364</v>
      </c>
      <c r="B1425" s="138">
        <f>'Expenditures 15-22'!D259</f>
        <v>17846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17846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12561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19256</v>
      </c>
      <c r="D1431" s="2" t="str">
        <f t="shared" si="21"/>
        <v>Error?</v>
      </c>
    </row>
    <row r="1432" spans="1:4" x14ac:dyDescent="0.2">
      <c r="A1432" s="5">
        <v>1371</v>
      </c>
      <c r="B1432" s="138">
        <f>'Expenditures 15-22'!D267</f>
        <v>25151</v>
      </c>
      <c r="D1432" s="2" t="str">
        <f t="shared" si="21"/>
        <v>Error?</v>
      </c>
    </row>
    <row r="1433" spans="1:4" x14ac:dyDescent="0.2">
      <c r="A1433" s="5">
        <v>1372</v>
      </c>
      <c r="B1433" s="138">
        <f>'Expenditures 15-22'!D268</f>
        <v>14790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71758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96561</v>
      </c>
      <c r="C1446" s="2" t="s">
        <v>594</v>
      </c>
      <c r="D1446" s="2" t="str">
        <f t="shared" si="21"/>
        <v>Error?</v>
      </c>
    </row>
    <row r="1447" spans="1:4" x14ac:dyDescent="0.2">
      <c r="A1447" s="5">
        <v>1386</v>
      </c>
      <c r="B1447" s="138">
        <f>'Expenditures 15-22'!D280</f>
        <v>2006</v>
      </c>
      <c r="D1447" s="2" t="str">
        <f t="shared" si="21"/>
        <v>Error?</v>
      </c>
    </row>
    <row r="1448" spans="1:4" x14ac:dyDescent="0.2">
      <c r="A1448" s="5">
        <v>1387</v>
      </c>
      <c r="B1448" s="138">
        <f>'Expenditures 15-22'!D295</f>
        <v>172671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2717</v>
      </c>
      <c r="C1471" s="2" t="s">
        <v>594</v>
      </c>
      <c r="D1471" s="2" t="str">
        <f t="shared" ref="D1471:D1534" si="22">IF(ISBLANK(B1471),"OK",IF(A1471-B1471=0,"OK","Error?"))</f>
        <v>Error?</v>
      </c>
    </row>
    <row r="1472" spans="1:4" x14ac:dyDescent="0.2">
      <c r="A1472" s="5">
        <v>1411</v>
      </c>
      <c r="B1472" s="138">
        <f>'Expenditures 15-22'!K223</f>
        <v>5902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74104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5147</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5147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113</v>
      </c>
      <c r="C1486" s="2" t="s">
        <v>594</v>
      </c>
      <c r="D1486" s="2" t="str">
        <f t="shared" si="22"/>
        <v>Error?</v>
      </c>
    </row>
    <row r="1487" spans="1:4" x14ac:dyDescent="0.2">
      <c r="A1487" s="5">
        <v>1426</v>
      </c>
      <c r="B1487" s="138">
        <f>'Expenditures 15-22'!K246</f>
        <v>1697</v>
      </c>
      <c r="C1487" s="2" t="s">
        <v>594</v>
      </c>
      <c r="D1487" s="2" t="str">
        <f t="shared" si="22"/>
        <v>Error?</v>
      </c>
    </row>
    <row r="1488" spans="1:4" x14ac:dyDescent="0.2">
      <c r="A1488" s="5">
        <v>1427</v>
      </c>
      <c r="B1488" s="138">
        <f>'Expenditures 15-22'!K257</f>
        <v>1810</v>
      </c>
      <c r="C1488" s="2" t="s">
        <v>594</v>
      </c>
      <c r="D1488" s="2" t="str">
        <f t="shared" si="22"/>
        <v>Error?</v>
      </c>
    </row>
    <row r="1489" spans="1:4" x14ac:dyDescent="0.2">
      <c r="A1489" s="5">
        <v>1428</v>
      </c>
      <c r="B1489" s="138">
        <f>'Expenditures 15-22'!K259</f>
        <v>17846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17846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12561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19256</v>
      </c>
      <c r="C1495" s="2" t="s">
        <v>594</v>
      </c>
      <c r="D1495" s="2" t="str">
        <f t="shared" si="22"/>
        <v>Error?</v>
      </c>
    </row>
    <row r="1496" spans="1:4" x14ac:dyDescent="0.2">
      <c r="A1496" s="5">
        <v>1435</v>
      </c>
      <c r="B1496" s="138">
        <f>'Expenditures 15-22'!K267</f>
        <v>25151</v>
      </c>
      <c r="C1496" s="2" t="s">
        <v>594</v>
      </c>
      <c r="D1496" s="2" t="str">
        <f t="shared" si="22"/>
        <v>Error?</v>
      </c>
    </row>
    <row r="1497" spans="1:4" x14ac:dyDescent="0.2">
      <c r="A1497" s="5">
        <v>1436</v>
      </c>
      <c r="B1497" s="138">
        <f>'Expenditures 15-22'!K268</f>
        <v>14790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71758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96561</v>
      </c>
      <c r="C1510" s="2" t="s">
        <v>594</v>
      </c>
      <c r="D1510" s="2" t="str">
        <f t="shared" si="22"/>
        <v>Error?</v>
      </c>
    </row>
    <row r="1511" spans="1:4" x14ac:dyDescent="0.2">
      <c r="A1511" s="5">
        <v>1450</v>
      </c>
      <c r="B1511" s="138">
        <f>'Expenditures 15-22'!K280</f>
        <v>2006</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172671</v>
      </c>
      <c r="C1517" s="2" t="s">
        <v>594</v>
      </c>
      <c r="D1517" s="2" t="str">
        <f t="shared" si="22"/>
        <v>Error?</v>
      </c>
    </row>
    <row r="1518" spans="1:4" x14ac:dyDescent="0.2">
      <c r="A1518" s="5">
        <v>1457</v>
      </c>
      <c r="B1518" s="138">
        <f>'Expenditures 15-22'!K296</f>
        <v>18466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10580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10580</v>
      </c>
      <c r="C1535" s="2" t="s">
        <v>594</v>
      </c>
      <c r="D1535" s="2" t="str">
        <f t="shared" ref="D1535:D1598" si="23">IF(ISBLANK(B1535),"OK",IF(A1535-B1535=0,"OK","Error?"))</f>
        <v>Error?</v>
      </c>
    </row>
    <row r="1536" spans="1:4" x14ac:dyDescent="0.2">
      <c r="A1536" s="5">
        <v>1475</v>
      </c>
      <c r="B1536" s="138">
        <f>'Expenditures 15-22'!E312</f>
        <v>10580</v>
      </c>
      <c r="C1536" s="2" t="s">
        <v>594</v>
      </c>
      <c r="D1536" s="2" t="str">
        <f t="shared" si="23"/>
        <v>Error?</v>
      </c>
    </row>
    <row r="1537" spans="1:4" x14ac:dyDescent="0.2">
      <c r="A1537" s="5">
        <v>1476</v>
      </c>
      <c r="B1537" s="138">
        <f>'Expenditures 15-22'!F301</f>
        <v>400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400</v>
      </c>
      <c r="C1541" s="2" t="s">
        <v>594</v>
      </c>
      <c r="D1541" s="2" t="str">
        <f t="shared" si="23"/>
        <v>Error?</v>
      </c>
    </row>
    <row r="1542" spans="1:4" x14ac:dyDescent="0.2">
      <c r="A1542" s="5">
        <v>1481</v>
      </c>
      <c r="B1542" s="138">
        <f>'Expenditures 15-22'!F312</f>
        <v>400</v>
      </c>
      <c r="C1542" s="2" t="s">
        <v>594</v>
      </c>
      <c r="D1542" s="2" t="str">
        <f t="shared" si="23"/>
        <v>Error?</v>
      </c>
    </row>
    <row r="1543" spans="1:4" x14ac:dyDescent="0.2">
      <c r="A1543" s="5">
        <v>1482</v>
      </c>
      <c r="B1543" s="138">
        <f>'Expenditures 15-22'!G301</f>
        <v>696324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696324</v>
      </c>
      <c r="C1547" s="2" t="s">
        <v>594</v>
      </c>
      <c r="D1547" s="2" t="str">
        <f t="shared" si="23"/>
        <v>Error?</v>
      </c>
    </row>
    <row r="1548" spans="1:4" x14ac:dyDescent="0.2">
      <c r="A1548" s="5">
        <v>1487</v>
      </c>
      <c r="B1548" s="138">
        <f>'Expenditures 15-22'!G312</f>
        <v>696324</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707304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707304</v>
      </c>
      <c r="C1559" s="2" t="s">
        <v>594</v>
      </c>
      <c r="D1559" s="2" t="str">
        <f t="shared" si="23"/>
        <v>Error?</v>
      </c>
    </row>
    <row r="1560" spans="1:4" x14ac:dyDescent="0.2">
      <c r="A1560" s="5">
        <v>1499</v>
      </c>
      <c r="B1560" s="138">
        <f>'Expenditures 15-22'!K312</f>
        <v>707304</v>
      </c>
      <c r="C1560" s="2" t="s">
        <v>594</v>
      </c>
      <c r="D1560" s="2" t="str">
        <f t="shared" si="23"/>
        <v>Error?</v>
      </c>
    </row>
    <row r="1561" spans="1:4" x14ac:dyDescent="0.2">
      <c r="A1561" s="5">
        <v>1500</v>
      </c>
      <c r="B1561" s="138">
        <f>'Expenditures 15-22'!K313</f>
        <v>-541067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655393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623671</v>
      </c>
      <c r="C1630" s="2" t="s">
        <v>594</v>
      </c>
      <c r="D1630" s="2" t="str">
        <f t="shared" si="24"/>
        <v>Error?</v>
      </c>
    </row>
    <row r="1631" spans="1:4" x14ac:dyDescent="0.2">
      <c r="A1631" s="5">
        <v>1570</v>
      </c>
      <c r="B1631" s="138">
        <f>'Acct Summary 7-8'!D79</f>
        <v>406071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388024</v>
      </c>
      <c r="C1644" s="2" t="s">
        <v>594</v>
      </c>
      <c r="D1644" s="2" t="str">
        <f t="shared" si="24"/>
        <v>Error?</v>
      </c>
    </row>
    <row r="1645" spans="1:4" x14ac:dyDescent="0.2">
      <c r="A1645" s="5">
        <v>1584</v>
      </c>
      <c r="B1645" s="138">
        <f>'Acct Summary 7-8'!E79</f>
        <v>90534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85681</v>
      </c>
      <c r="C1658" s="2" t="s">
        <v>594</v>
      </c>
      <c r="D1658" s="2" t="str">
        <f t="shared" si="24"/>
        <v>Error?</v>
      </c>
    </row>
    <row r="1659" spans="1:4" x14ac:dyDescent="0.2">
      <c r="A1659" s="5">
        <v>1598</v>
      </c>
      <c r="B1659" s="138">
        <f>'Acct Summary 7-8'!F79</f>
        <v>187523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319524</v>
      </c>
      <c r="C1672" s="2" t="s">
        <v>594</v>
      </c>
      <c r="D1672" s="2" t="str">
        <f t="shared" si="25"/>
        <v>Error?</v>
      </c>
    </row>
    <row r="1673" spans="1:4" x14ac:dyDescent="0.2">
      <c r="A1673" s="5">
        <v>1612</v>
      </c>
      <c r="B1673" s="138">
        <f>'Acct Summary 7-8'!G79</f>
        <v>292124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310590</v>
      </c>
      <c r="C1686" s="2" t="s">
        <v>594</v>
      </c>
      <c r="D1686" s="2" t="str">
        <f t="shared" si="25"/>
        <v>Error?</v>
      </c>
    </row>
    <row r="1687" spans="1:4" x14ac:dyDescent="0.2">
      <c r="A1687" s="5">
        <v>1626</v>
      </c>
      <c r="B1687" s="138">
        <f>'Acct Summary 7-8'!H79</f>
        <v>224123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783275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1732608</v>
      </c>
      <c r="C1744" s="2" t="s">
        <v>594</v>
      </c>
      <c r="D1744" s="2" t="str">
        <f t="shared" si="26"/>
        <v>Error?</v>
      </c>
    </row>
    <row r="1745" spans="1:5" x14ac:dyDescent="0.2">
      <c r="A1745" s="5">
        <v>1684</v>
      </c>
      <c r="B1745" s="138">
        <f>'Tax Sched 23'!B5</f>
        <v>317680</v>
      </c>
      <c r="C1745" s="2" t="s">
        <v>594</v>
      </c>
      <c r="D1745" s="2" t="str">
        <f t="shared" si="26"/>
        <v>Error?</v>
      </c>
    </row>
    <row r="1746" spans="1:5" x14ac:dyDescent="0.2">
      <c r="A1746" s="5">
        <v>1685</v>
      </c>
      <c r="B1746" s="138">
        <f>'Tax Sched 23'!B6</f>
        <v>146206</v>
      </c>
      <c r="C1746" s="2" t="s">
        <v>594</v>
      </c>
      <c r="D1746" s="2" t="str">
        <f t="shared" si="26"/>
        <v>Error?</v>
      </c>
    </row>
    <row r="1747" spans="1:5" x14ac:dyDescent="0.2">
      <c r="A1747" s="5">
        <v>1686</v>
      </c>
      <c r="B1747" s="138">
        <f>'Tax Sched 23'!B7</f>
        <v>115522</v>
      </c>
      <c r="C1747" s="2" t="s">
        <v>594</v>
      </c>
      <c r="D1747" s="2" t="str">
        <f t="shared" si="26"/>
        <v>Error?</v>
      </c>
    </row>
    <row r="1748" spans="1:5" x14ac:dyDescent="0.2">
      <c r="A1748" s="5">
        <v>1687</v>
      </c>
      <c r="B1748" s="138">
        <f>'Tax Sched 23'!B8</f>
        <v>37576</v>
      </c>
      <c r="C1748" s="2" t="s">
        <v>594</v>
      </c>
      <c r="D1748" s="2" t="str">
        <f t="shared" si="26"/>
        <v>Error?</v>
      </c>
    </row>
    <row r="1749" spans="1:5" x14ac:dyDescent="0.2">
      <c r="A1749" s="5">
        <v>1688</v>
      </c>
      <c r="B1749" s="138">
        <f>'Tax Sched 23'!B10</f>
        <v>28889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395631</v>
      </c>
      <c r="C1752" s="2" t="s">
        <v>594</v>
      </c>
      <c r="D1752" s="2" t="str">
        <f t="shared" si="26"/>
        <v>Error?</v>
      </c>
    </row>
    <row r="1753" spans="1:5" x14ac:dyDescent="0.2">
      <c r="A1753" s="5">
        <v>1692</v>
      </c>
      <c r="B1753" s="138">
        <f>'Tax Sched 23'!B12</f>
        <v>28889</v>
      </c>
      <c r="C1753" s="2" t="s">
        <v>594</v>
      </c>
      <c r="D1753" s="2" t="str">
        <f t="shared" si="26"/>
        <v>Error?</v>
      </c>
    </row>
    <row r="1754" spans="1:5" x14ac:dyDescent="0.2">
      <c r="A1754" s="5">
        <v>1693</v>
      </c>
      <c r="B1754" s="138">
        <f>'Tax Sched 23'!B14</f>
        <v>23126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2982121</v>
      </c>
      <c r="C1759" s="2" t="s">
        <v>594</v>
      </c>
      <c r="D1759" s="2" t="str">
        <f t="shared" si="26"/>
        <v>Error?</v>
      </c>
    </row>
    <row r="1760" spans="1:5" x14ac:dyDescent="0.2">
      <c r="A1760" s="5">
        <v>1699</v>
      </c>
      <c r="B1760" s="138">
        <f>'Tax Sched 23'!D4</f>
        <v>772554</v>
      </c>
      <c r="C1760" s="2" t="s">
        <v>594</v>
      </c>
      <c r="D1760" s="2" t="str">
        <f t="shared" si="26"/>
        <v>Error?</v>
      </c>
    </row>
    <row r="1761" spans="1:5" x14ac:dyDescent="0.2">
      <c r="A1761" s="5">
        <v>1700</v>
      </c>
      <c r="B1761" s="138">
        <f>'Tax Sched 23'!D5</f>
        <v>141649</v>
      </c>
      <c r="C1761" s="2" t="s">
        <v>594</v>
      </c>
      <c r="D1761" s="2" t="str">
        <f t="shared" si="26"/>
        <v>Error?</v>
      </c>
    </row>
    <row r="1762" spans="1:5" s="8" customFormat="1" x14ac:dyDescent="0.2">
      <c r="A1762" s="5">
        <v>1701</v>
      </c>
      <c r="B1762" s="138">
        <f>'Tax Sched 23'!D6</f>
        <v>68747</v>
      </c>
      <c r="C1762" s="2" t="s">
        <v>594</v>
      </c>
      <c r="D1762" s="2" t="str">
        <f t="shared" si="26"/>
        <v>Error?</v>
      </c>
      <c r="E1762" s="9"/>
    </row>
    <row r="1763" spans="1:5" x14ac:dyDescent="0.2">
      <c r="A1763" s="5">
        <v>1702</v>
      </c>
      <c r="B1763" s="138">
        <f>'Tax Sched 23'!D7</f>
        <v>51508</v>
      </c>
      <c r="C1763" s="2" t="s">
        <v>594</v>
      </c>
      <c r="D1763" s="2" t="str">
        <f t="shared" si="26"/>
        <v>Error?</v>
      </c>
    </row>
    <row r="1764" spans="1:5" x14ac:dyDescent="0.2">
      <c r="A1764" s="5">
        <v>1703</v>
      </c>
      <c r="B1764" s="138">
        <f>'Tax Sched 23'!D8</f>
        <v>16751</v>
      </c>
      <c r="C1764" s="2" t="s">
        <v>594</v>
      </c>
      <c r="D1764" s="2" t="str">
        <f t="shared" si="26"/>
        <v>Error?</v>
      </c>
    </row>
    <row r="1765" spans="1:5" x14ac:dyDescent="0.2">
      <c r="A1765" s="5">
        <v>1704</v>
      </c>
      <c r="B1765" s="138">
        <f>'Tax Sched 23'!D10</f>
        <v>12877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176410</v>
      </c>
      <c r="C1768" s="2" t="s">
        <v>594</v>
      </c>
      <c r="D1768" s="2" t="str">
        <f t="shared" si="26"/>
        <v>Error?</v>
      </c>
    </row>
    <row r="1769" spans="1:5" x14ac:dyDescent="0.2">
      <c r="A1769" s="5">
        <v>1708</v>
      </c>
      <c r="B1769" s="138">
        <f>'Tax Sched 23'!D12</f>
        <v>12877</v>
      </c>
      <c r="C1769" s="2" t="s">
        <v>594</v>
      </c>
      <c r="D1769" s="2" t="str">
        <f t="shared" si="26"/>
        <v>Error?</v>
      </c>
    </row>
    <row r="1770" spans="1:5" x14ac:dyDescent="0.2">
      <c r="A1770" s="5">
        <v>1709</v>
      </c>
      <c r="B1770" s="138">
        <f>'Tax Sched 23'!D14</f>
        <v>10323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1333248</v>
      </c>
      <c r="C1775" s="2" t="s">
        <v>594</v>
      </c>
      <c r="D1775" s="2" t="str">
        <f t="shared" si="26"/>
        <v>Error?</v>
      </c>
    </row>
    <row r="1776" spans="1:5" x14ac:dyDescent="0.2">
      <c r="A1776" s="5">
        <v>1715</v>
      </c>
      <c r="B1776" s="138">
        <f>'Tax Sched 23'!C4</f>
        <v>960054</v>
      </c>
      <c r="D1776" s="2" t="str">
        <f t="shared" si="26"/>
        <v>Error?</v>
      </c>
    </row>
    <row r="1777" spans="1:4" x14ac:dyDescent="0.2">
      <c r="A1777" s="5">
        <v>1716</v>
      </c>
      <c r="B1777" s="138">
        <f>'Tax Sched 23'!C5</f>
        <v>176031</v>
      </c>
      <c r="D1777" s="2" t="str">
        <f t="shared" si="26"/>
        <v>Error?</v>
      </c>
    </row>
    <row r="1778" spans="1:4" x14ac:dyDescent="0.2">
      <c r="A1778" s="5">
        <v>1717</v>
      </c>
      <c r="B1778" s="138">
        <f>'Tax Sched 23'!C6</f>
        <v>77459</v>
      </c>
      <c r="D1778" s="2" t="str">
        <f t="shared" si="26"/>
        <v>Error?</v>
      </c>
    </row>
    <row r="1779" spans="1:4" x14ac:dyDescent="0.2">
      <c r="A1779" s="5">
        <v>1718</v>
      </c>
      <c r="B1779" s="138">
        <f>'Tax Sched 23'!C7</f>
        <v>64014</v>
      </c>
      <c r="D1779" s="2" t="str">
        <f t="shared" si="26"/>
        <v>Error?</v>
      </c>
    </row>
    <row r="1780" spans="1:4" x14ac:dyDescent="0.2">
      <c r="A1780" s="5">
        <v>1719</v>
      </c>
      <c r="B1780" s="138">
        <f>'Tax Sched 23'!C8</f>
        <v>20825</v>
      </c>
      <c r="D1780" s="2" t="str">
        <f t="shared" si="26"/>
        <v>Error?</v>
      </c>
    </row>
    <row r="1781" spans="1:4" x14ac:dyDescent="0.2">
      <c r="A1781" s="5">
        <v>1720</v>
      </c>
      <c r="B1781" s="138">
        <f>'Tax Sched 23'!C10</f>
        <v>16012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219221</v>
      </c>
      <c r="D1784" s="2" t="str">
        <f t="shared" si="26"/>
        <v>Error?</v>
      </c>
    </row>
    <row r="1785" spans="1:4" x14ac:dyDescent="0.2">
      <c r="A1785" s="5">
        <v>1724</v>
      </c>
      <c r="B1785" s="138">
        <f>'Tax Sched 23'!C12</f>
        <v>16012</v>
      </c>
      <c r="D1785" s="2" t="str">
        <f t="shared" si="26"/>
        <v>Error?</v>
      </c>
    </row>
    <row r="1786" spans="1:4" x14ac:dyDescent="0.2">
      <c r="A1786" s="5">
        <v>1725</v>
      </c>
      <c r="B1786" s="138">
        <f>'Tax Sched 23'!C14</f>
        <v>12803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1648873</v>
      </c>
      <c r="C1791" s="2" t="s">
        <v>594</v>
      </c>
      <c r="D1791" s="2" t="str">
        <f t="shared" ref="D1791:D1854" si="27">IF(ISBLANK(B1791),"OK",IF(A1791-B1791=0,"OK","Error?"))</f>
        <v>Error?</v>
      </c>
    </row>
    <row r="1792" spans="1:4" x14ac:dyDescent="0.2">
      <c r="A1792" s="5">
        <v>1731</v>
      </c>
      <c r="B1792" s="138">
        <f>'Tax Sched 23'!F4</f>
        <v>783470</v>
      </c>
      <c r="C1792" s="2" t="s">
        <v>594</v>
      </c>
      <c r="D1792" s="2" t="str">
        <f t="shared" si="27"/>
        <v>Error?</v>
      </c>
    </row>
    <row r="1793" spans="1:4" x14ac:dyDescent="0.2">
      <c r="A1793" s="5">
        <v>1732</v>
      </c>
      <c r="B1793" s="138">
        <f>'Tax Sched 23'!F5</f>
        <v>143654</v>
      </c>
      <c r="C1793" s="2" t="s">
        <v>594</v>
      </c>
      <c r="D1793" s="2" t="str">
        <f t="shared" si="27"/>
        <v>Error?</v>
      </c>
    </row>
    <row r="1794" spans="1:4" x14ac:dyDescent="0.2">
      <c r="A1794" s="5">
        <v>1733</v>
      </c>
      <c r="B1794" s="138">
        <f>'Tax Sched 23'!F6</f>
        <v>63212</v>
      </c>
      <c r="C1794" s="2" t="s">
        <v>594</v>
      </c>
      <c r="D1794" s="2" t="str">
        <f t="shared" si="27"/>
        <v>Error?</v>
      </c>
    </row>
    <row r="1795" spans="1:4" x14ac:dyDescent="0.2">
      <c r="A1795" s="5">
        <v>1734</v>
      </c>
      <c r="B1795" s="138">
        <f>'Tax Sched 23'!F7</f>
        <v>52240</v>
      </c>
      <c r="C1795" s="2" t="s">
        <v>594</v>
      </c>
      <c r="D1795" s="2" t="str">
        <f t="shared" si="27"/>
        <v>Error?</v>
      </c>
    </row>
    <row r="1796" spans="1:4" x14ac:dyDescent="0.2">
      <c r="A1796" s="5">
        <v>1735</v>
      </c>
      <c r="B1796" s="138">
        <f>'Tax Sched 23'!F8</f>
        <v>16994</v>
      </c>
      <c r="C1796" s="2" t="s">
        <v>594</v>
      </c>
      <c r="D1796" s="2" t="str">
        <f t="shared" si="27"/>
        <v>Error?</v>
      </c>
    </row>
    <row r="1797" spans="1:4" x14ac:dyDescent="0.2">
      <c r="A1797" s="5">
        <v>1736</v>
      </c>
      <c r="B1797" s="138">
        <f>'Tax Sched 23'!F10</f>
        <v>13066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178899</v>
      </c>
      <c r="C1800" s="2" t="s">
        <v>594</v>
      </c>
      <c r="D1800" s="2" t="str">
        <f t="shared" si="27"/>
        <v>Error?</v>
      </c>
    </row>
    <row r="1801" spans="1:4" x14ac:dyDescent="0.2">
      <c r="A1801" s="5">
        <v>1740</v>
      </c>
      <c r="B1801" s="138">
        <f>'Tax Sched 23'!F12</f>
        <v>13066</v>
      </c>
      <c r="C1801" s="2" t="s">
        <v>594</v>
      </c>
      <c r="D1801" s="2" t="str">
        <f t="shared" si="27"/>
        <v>Error?</v>
      </c>
    </row>
    <row r="1802" spans="1:4" x14ac:dyDescent="0.2">
      <c r="A1802" s="5">
        <v>1741</v>
      </c>
      <c r="B1802" s="138">
        <f>'Tax Sched 23'!F14</f>
        <v>10448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1345594</v>
      </c>
      <c r="C1807" s="2" t="s">
        <v>594</v>
      </c>
      <c r="D1807" s="2" t="str">
        <f t="shared" si="27"/>
        <v>Error?</v>
      </c>
    </row>
    <row r="1808" spans="1:4" x14ac:dyDescent="0.2">
      <c r="A1808" s="5">
        <v>1747</v>
      </c>
      <c r="B1808" s="138">
        <f>'Tax Sched 23'!E4</f>
        <v>1743524</v>
      </c>
      <c r="D1808" s="2" t="str">
        <f t="shared" si="27"/>
        <v>Error?</v>
      </c>
    </row>
    <row r="1809" spans="1:4" x14ac:dyDescent="0.2">
      <c r="A1809" s="5">
        <v>1748</v>
      </c>
      <c r="B1809" s="138">
        <f>'Tax Sched 23'!E5</f>
        <v>319685</v>
      </c>
      <c r="D1809" s="2" t="str">
        <f t="shared" si="27"/>
        <v>Error?</v>
      </c>
    </row>
    <row r="1810" spans="1:4" x14ac:dyDescent="0.2">
      <c r="A1810" s="5">
        <v>1749</v>
      </c>
      <c r="B1810" s="138">
        <f>'Tax Sched 23'!E6</f>
        <v>140671</v>
      </c>
      <c r="D1810" s="2" t="str">
        <f t="shared" si="27"/>
        <v>Error?</v>
      </c>
    </row>
    <row r="1811" spans="1:4" x14ac:dyDescent="0.2">
      <c r="A1811" s="5">
        <v>1750</v>
      </c>
      <c r="B1811" s="138">
        <f>'Tax Sched 23'!E7</f>
        <v>116254</v>
      </c>
      <c r="D1811" s="2" t="str">
        <f t="shared" si="27"/>
        <v>Error?</v>
      </c>
    </row>
    <row r="1812" spans="1:4" x14ac:dyDescent="0.2">
      <c r="A1812" s="5">
        <v>1751</v>
      </c>
      <c r="B1812" s="138">
        <f>'Tax Sched 23'!E8</f>
        <v>37819</v>
      </c>
      <c r="D1812" s="2" t="str">
        <f t="shared" si="27"/>
        <v>Error?</v>
      </c>
    </row>
    <row r="1813" spans="1:4" x14ac:dyDescent="0.2">
      <c r="A1813" s="5">
        <v>1752</v>
      </c>
      <c r="B1813" s="138">
        <f>'Tax Sched 23'!E10</f>
        <v>29078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398120</v>
      </c>
      <c r="D1816" s="2" t="str">
        <f t="shared" si="27"/>
        <v>Error?</v>
      </c>
    </row>
    <row r="1817" spans="1:4" x14ac:dyDescent="0.2">
      <c r="A1817" s="5">
        <v>1756</v>
      </c>
      <c r="B1817" s="138">
        <f>'Tax Sched 23'!E12</f>
        <v>29078</v>
      </c>
      <c r="D1817" s="2" t="str">
        <f t="shared" si="27"/>
        <v>Error?</v>
      </c>
    </row>
    <row r="1818" spans="1:4" x14ac:dyDescent="0.2">
      <c r="A1818" s="5">
        <v>1757</v>
      </c>
      <c r="B1818" s="138">
        <f>'Tax Sched 23'!E14</f>
        <v>23251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2994467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1135000</v>
      </c>
      <c r="C1939" s="2" t="s">
        <v>594</v>
      </c>
      <c r="D1939" s="2" t="str">
        <f t="shared" si="29"/>
        <v>Error?</v>
      </c>
    </row>
    <row r="1940" spans="1:5" x14ac:dyDescent="0.2">
      <c r="A1940" s="5">
        <v>1879</v>
      </c>
      <c r="B1940" s="138">
        <f>'Short-Term Long-Term Debt 24'!F49</f>
        <v>1100000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23126</v>
      </c>
      <c r="D1972" s="2" t="str">
        <f t="shared" si="29"/>
        <v>Error?</v>
      </c>
    </row>
    <row r="1973" spans="1:5" x14ac:dyDescent="0.2">
      <c r="A1973" s="5">
        <v>1912</v>
      </c>
      <c r="B1973" s="138">
        <f>'Rest Tax Levies-Tort Im 25'!H6</f>
        <v>14</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23140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23140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38250</v>
      </c>
      <c r="D2008" s="2" t="str">
        <f t="shared" si="30"/>
        <v>Error?</v>
      </c>
    </row>
    <row r="2009" spans="1:4" x14ac:dyDescent="0.2">
      <c r="A2009" s="5">
        <v>1948</v>
      </c>
      <c r="B2009" s="138">
        <f>'Cap Outlay Deprec 26'!C8</f>
        <v>5013424</v>
      </c>
      <c r="D2009" s="2" t="str">
        <f t="shared" si="30"/>
        <v>Error?</v>
      </c>
    </row>
    <row r="2010" spans="1:4" x14ac:dyDescent="0.2">
      <c r="A2010" s="5">
        <v>1949</v>
      </c>
      <c r="B2010" s="138">
        <f>'Cap Outlay Deprec 26'!C10</f>
        <v>425959</v>
      </c>
      <c r="D2010" s="2" t="str">
        <f t="shared" si="30"/>
        <v>Error?</v>
      </c>
    </row>
    <row r="2011" spans="1:4" x14ac:dyDescent="0.2">
      <c r="A2011" s="5">
        <v>1950</v>
      </c>
      <c r="B2011" s="138">
        <f>'Cap Outlay Deprec 26'!C12</f>
        <v>326098</v>
      </c>
      <c r="D2011" s="2" t="str">
        <f t="shared" si="30"/>
        <v>Error?</v>
      </c>
    </row>
    <row r="2012" spans="1:4" x14ac:dyDescent="0.2">
      <c r="A2012" s="5">
        <v>1951</v>
      </c>
      <c r="B2012" s="138">
        <f>'Cap Outlay Deprec 26'!C13</f>
        <v>396519</v>
      </c>
      <c r="D2012" s="2" t="str">
        <f t="shared" si="30"/>
        <v>Error?</v>
      </c>
    </row>
    <row r="2013" spans="1:4" x14ac:dyDescent="0.2">
      <c r="A2013" s="5">
        <v>1952</v>
      </c>
      <c r="B2013" s="138">
        <f>'Cap Outlay Deprec 26'!C16</f>
        <v>6221850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212704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53719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779776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34656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56256</v>
      </c>
      <c r="C2025" s="2" t="s">
        <v>594</v>
      </c>
      <c r="D2025" s="2" t="str">
        <f t="shared" si="30"/>
        <v>Error?</v>
      </c>
    </row>
    <row r="2026" spans="1:4" x14ac:dyDescent="0.2">
      <c r="A2026" s="5">
        <v>1965</v>
      </c>
      <c r="B2026" s="138">
        <f>'Cap Outlay Deprec 26'!F5</f>
        <v>38250</v>
      </c>
      <c r="C2026" s="2" t="s">
        <v>594</v>
      </c>
      <c r="D2026" s="2" t="str">
        <f t="shared" si="30"/>
        <v>Error?</v>
      </c>
    </row>
    <row r="2027" spans="1:4" x14ac:dyDescent="0.2">
      <c r="A2027" s="5">
        <v>1966</v>
      </c>
      <c r="B2027" s="138">
        <f>'Cap Outlay Deprec 26'!F8</f>
        <v>5226128</v>
      </c>
      <c r="C2027" s="2" t="s">
        <v>594</v>
      </c>
      <c r="D2027" s="2" t="str">
        <f t="shared" si="30"/>
        <v>Error?</v>
      </c>
    </row>
    <row r="2028" spans="1:4" x14ac:dyDescent="0.2">
      <c r="A2028" s="5">
        <v>1967</v>
      </c>
      <c r="B2028" s="138">
        <f>'Cap Outlay Deprec 26'!F10</f>
        <v>425959</v>
      </c>
      <c r="C2028" s="2" t="s">
        <v>594</v>
      </c>
      <c r="D2028" s="2" t="str">
        <f t="shared" si="30"/>
        <v>Error?</v>
      </c>
    </row>
    <row r="2029" spans="1:4" x14ac:dyDescent="0.2">
      <c r="A2029" s="5">
        <v>1968</v>
      </c>
      <c r="B2029" s="138">
        <f>'Cap Outlay Deprec 26'!F12</f>
        <v>345161</v>
      </c>
      <c r="C2029" s="2" t="s">
        <v>594</v>
      </c>
      <c r="D2029" s="2" t="str">
        <f t="shared" si="30"/>
        <v>Error?</v>
      </c>
    </row>
    <row r="2030" spans="1:4" x14ac:dyDescent="0.2">
      <c r="A2030" s="5">
        <v>1969</v>
      </c>
      <c r="B2030" s="138">
        <f>'Cap Outlay Deprec 26'!F13</f>
        <v>396519</v>
      </c>
      <c r="C2030" s="2" t="s">
        <v>594</v>
      </c>
      <c r="D2030" s="2" t="str">
        <f t="shared" si="30"/>
        <v>Error?</v>
      </c>
    </row>
    <row r="2031" spans="1:4" x14ac:dyDescent="0.2">
      <c r="A2031" s="5">
        <v>1970</v>
      </c>
      <c r="B2031" s="138">
        <f>'Cap Outlay Deprec 26'!F16</f>
        <v>6945370</v>
      </c>
      <c r="C2031" s="2" t="s">
        <v>594</v>
      </c>
      <c r="D2031" s="2" t="str">
        <f t="shared" si="30"/>
        <v>Error?</v>
      </c>
    </row>
    <row r="2032" spans="1:4" x14ac:dyDescent="0.2">
      <c r="A2032" s="10">
        <v>1971</v>
      </c>
      <c r="D2032" s="2" t="str">
        <f t="shared" si="30"/>
        <v>OK</v>
      </c>
    </row>
    <row r="2033" spans="1:4" x14ac:dyDescent="0.2">
      <c r="A2033" s="5">
        <v>1972</v>
      </c>
      <c r="B2033" s="138">
        <f>'Cap Outlay Deprec 26'!H8</f>
        <v>3043029</v>
      </c>
      <c r="D2033" s="2" t="str">
        <f t="shared" si="30"/>
        <v>Error?</v>
      </c>
    </row>
    <row r="2034" spans="1:4" x14ac:dyDescent="0.2">
      <c r="A2034" s="5">
        <v>1973</v>
      </c>
      <c r="B2034" s="138">
        <f>'Cap Outlay Deprec 26'!H10</f>
        <v>369834</v>
      </c>
      <c r="D2034" s="2" t="str">
        <f t="shared" si="30"/>
        <v>Error?</v>
      </c>
    </row>
    <row r="2035" spans="1:4" x14ac:dyDescent="0.2">
      <c r="A2035" s="5">
        <v>1974</v>
      </c>
      <c r="B2035" s="138">
        <f>'Cap Outlay Deprec 26'!H12</f>
        <v>178311</v>
      </c>
      <c r="D2035" s="2" t="str">
        <f t="shared" si="30"/>
        <v>Error?</v>
      </c>
    </row>
    <row r="2036" spans="1:4" x14ac:dyDescent="0.2">
      <c r="A2036" s="5">
        <v>1975</v>
      </c>
      <c r="B2036" s="138">
        <f>'Cap Outlay Deprec 26'!H13</f>
        <v>396519</v>
      </c>
      <c r="D2036" s="2" t="str">
        <f t="shared" si="30"/>
        <v>Error?</v>
      </c>
    </row>
    <row r="2037" spans="1:4" x14ac:dyDescent="0.2">
      <c r="A2037" s="5">
        <v>1976</v>
      </c>
      <c r="B2037" s="138">
        <f>'Cap Outlay Deprec 26'!H16</f>
        <v>3987693</v>
      </c>
      <c r="C2037" s="2" t="s">
        <v>594</v>
      </c>
      <c r="D2037" s="2" t="str">
        <f t="shared" si="30"/>
        <v>Error?</v>
      </c>
    </row>
    <row r="2038" spans="1:4" x14ac:dyDescent="0.2">
      <c r="A2038" s="10">
        <v>1977</v>
      </c>
      <c r="D2038" s="2" t="str">
        <f t="shared" si="30"/>
        <v>OK</v>
      </c>
    </row>
    <row r="2039" spans="1:4" x14ac:dyDescent="0.2">
      <c r="A2039" s="5">
        <v>1978</v>
      </c>
      <c r="B2039" s="138">
        <f>'Cap Outlay Deprec 26'!I8</f>
        <v>61942</v>
      </c>
      <c r="D2039" s="2" t="str">
        <f t="shared" si="30"/>
        <v>Error?</v>
      </c>
    </row>
    <row r="2040" spans="1:4" x14ac:dyDescent="0.2">
      <c r="A2040" s="5">
        <v>1979</v>
      </c>
      <c r="B2040" s="138">
        <f>'Cap Outlay Deprec 26'!I10</f>
        <v>3456</v>
      </c>
      <c r="D2040" s="2" t="str">
        <f t="shared" si="30"/>
        <v>Error?</v>
      </c>
    </row>
    <row r="2041" spans="1:4" x14ac:dyDescent="0.2">
      <c r="A2041" s="5">
        <v>1980</v>
      </c>
      <c r="B2041" s="138">
        <f>'Cap Outlay Deprec 26'!I12</f>
        <v>34515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99913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34656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34656</v>
      </c>
      <c r="C2049" s="2" t="s">
        <v>594</v>
      </c>
      <c r="D2049" s="2" t="str">
        <f t="shared" si="31"/>
        <v>Error?</v>
      </c>
    </row>
    <row r="2050" spans="1:4" x14ac:dyDescent="0.2">
      <c r="A2050" s="10">
        <v>1989</v>
      </c>
      <c r="D2050" s="2" t="str">
        <f t="shared" si="31"/>
        <v>OK</v>
      </c>
    </row>
    <row r="2051" spans="1:4" x14ac:dyDescent="0.2">
      <c r="A2051" s="5">
        <v>1990</v>
      </c>
      <c r="B2051" s="138">
        <f>'Cap Outlay Deprec 26'!K8</f>
        <v>3104971</v>
      </c>
      <c r="C2051" s="2" t="s">
        <v>594</v>
      </c>
      <c r="D2051" s="2" t="str">
        <f t="shared" si="31"/>
        <v>Error?</v>
      </c>
    </row>
    <row r="2052" spans="1:4" x14ac:dyDescent="0.2">
      <c r="A2052" s="5">
        <v>1991</v>
      </c>
      <c r="B2052" s="138">
        <f>'Cap Outlay Deprec 26'!K10</f>
        <v>373290</v>
      </c>
      <c r="C2052" s="2" t="s">
        <v>594</v>
      </c>
      <c r="D2052" s="2" t="str">
        <f t="shared" si="31"/>
        <v>Error?</v>
      </c>
    </row>
    <row r="2053" spans="1:4" x14ac:dyDescent="0.2">
      <c r="A2053" s="5">
        <v>1992</v>
      </c>
      <c r="B2053" s="138">
        <f>'Cap Outlay Deprec 26'!K12</f>
        <v>178170</v>
      </c>
      <c r="C2053" s="2" t="s">
        <v>594</v>
      </c>
      <c r="D2053" s="2" t="str">
        <f t="shared" si="31"/>
        <v>Error?</v>
      </c>
    </row>
    <row r="2054" spans="1:4" x14ac:dyDescent="0.2">
      <c r="A2054" s="5">
        <v>1993</v>
      </c>
      <c r="B2054" s="138">
        <f>'Cap Outlay Deprec 26'!K13</f>
        <v>396519</v>
      </c>
      <c r="C2054" s="2" t="s">
        <v>594</v>
      </c>
      <c r="D2054" s="2" t="str">
        <f t="shared" si="31"/>
        <v>Error?</v>
      </c>
    </row>
    <row r="2055" spans="1:4" x14ac:dyDescent="0.2">
      <c r="A2055" s="5">
        <v>1994</v>
      </c>
      <c r="B2055" s="138">
        <f>'Cap Outlay Deprec 26'!K16</f>
        <v>4052950</v>
      </c>
      <c r="C2055" s="2" t="s">
        <v>594</v>
      </c>
      <c r="D2055" s="2" t="str">
        <f t="shared" si="31"/>
        <v>Error?</v>
      </c>
    </row>
    <row r="2056" spans="1:4" x14ac:dyDescent="0.2">
      <c r="A2056" s="5">
        <v>1995</v>
      </c>
      <c r="B2056" s="138">
        <f>'Cap Outlay Deprec 26'!L5</f>
        <v>38250</v>
      </c>
      <c r="C2056" s="2" t="s">
        <v>594</v>
      </c>
      <c r="D2056" s="2" t="str">
        <f t="shared" si="31"/>
        <v>Error?</v>
      </c>
    </row>
    <row r="2057" spans="1:4" x14ac:dyDescent="0.2">
      <c r="A2057" s="5">
        <v>1996</v>
      </c>
      <c r="B2057" s="138">
        <f>'Cap Outlay Deprec 26'!L8</f>
        <v>2121157</v>
      </c>
      <c r="C2057" s="2" t="s">
        <v>594</v>
      </c>
      <c r="D2057" s="2" t="str">
        <f t="shared" si="31"/>
        <v>Error?</v>
      </c>
    </row>
    <row r="2058" spans="1:4" x14ac:dyDescent="0.2">
      <c r="A2058" s="5">
        <v>1997</v>
      </c>
      <c r="B2058" s="138">
        <f>'Cap Outlay Deprec 26'!L10</f>
        <v>52669</v>
      </c>
      <c r="C2058" s="2" t="s">
        <v>594</v>
      </c>
      <c r="D2058" s="2" t="str">
        <f t="shared" si="31"/>
        <v>Error?</v>
      </c>
    </row>
    <row r="2059" spans="1:4" x14ac:dyDescent="0.2">
      <c r="A2059" s="5">
        <v>1998</v>
      </c>
      <c r="B2059" s="138">
        <f>'Cap Outlay Deprec 26'!L12</f>
        <v>166991</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2892420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2904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27216</v>
      </c>
      <c r="C2088" s="2" t="s">
        <v>594</v>
      </c>
      <c r="D2088" s="2" t="str">
        <f t="shared" si="31"/>
        <v>Error?</v>
      </c>
    </row>
    <row r="2089" spans="1:4" x14ac:dyDescent="0.2">
      <c r="A2089" s="5">
        <v>2028</v>
      </c>
      <c r="B2089" s="138">
        <f>'Expenditures 15-22'!K92</f>
        <v>227428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28000</v>
      </c>
      <c r="C2105" s="2" t="s">
        <v>594</v>
      </c>
      <c r="D2105" s="2" t="str">
        <f t="shared" si="31"/>
        <v>Error?</v>
      </c>
    </row>
    <row r="2106" spans="1:4" x14ac:dyDescent="0.2">
      <c r="A2106" s="5">
        <v>2045</v>
      </c>
      <c r="B2106" s="138">
        <f>'Acct Summary 7-8'!I48</f>
        <v>455</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210548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369447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2116556</v>
      </c>
      <c r="C2551" s="2" t="s">
        <v>594</v>
      </c>
      <c r="D2551" s="2" t="str">
        <f t="shared" si="38"/>
        <v>Error?</v>
      </c>
    </row>
    <row r="2552" spans="1:4" x14ac:dyDescent="0.2">
      <c r="A2552" s="10">
        <v>2491</v>
      </c>
      <c r="D2552" s="2" t="str">
        <f t="shared" si="38"/>
        <v>OK</v>
      </c>
    </row>
    <row r="2553" spans="1:4" x14ac:dyDescent="0.2">
      <c r="A2553" s="5">
        <v>2492</v>
      </c>
      <c r="B2553" s="138">
        <f>'Acct Summary 7-8'!C6</f>
        <v>1359629</v>
      </c>
      <c r="C2553" s="2" t="s">
        <v>594</v>
      </c>
      <c r="D2553" s="2" t="str">
        <f t="shared" si="38"/>
        <v>Error?</v>
      </c>
    </row>
    <row r="2554" spans="1:4" x14ac:dyDescent="0.2">
      <c r="A2554" s="5">
        <v>2493</v>
      </c>
      <c r="B2554" s="138">
        <f>'Acct Summary 7-8'!C7</f>
        <v>355349</v>
      </c>
      <c r="C2554" s="2" t="s">
        <v>594</v>
      </c>
      <c r="D2554" s="2" t="str">
        <f t="shared" si="38"/>
        <v>Error?</v>
      </c>
    </row>
    <row r="2555" spans="1:4" x14ac:dyDescent="0.2">
      <c r="A2555" s="5">
        <v>2494</v>
      </c>
      <c r="B2555" s="138">
        <f>'Acct Summary 7-8'!C8</f>
        <v>3831534</v>
      </c>
      <c r="C2555" s="2" t="s">
        <v>594</v>
      </c>
      <c r="D2555" s="2" t="str">
        <f t="shared" si="38"/>
        <v>Error?</v>
      </c>
    </row>
    <row r="2556" spans="1:4" x14ac:dyDescent="0.2">
      <c r="A2556" s="5">
        <v>2495</v>
      </c>
      <c r="B2556" s="138">
        <f>'Acct Summary 7-8'!C12</f>
        <v>2863662</v>
      </c>
      <c r="C2556" s="2" t="s">
        <v>594</v>
      </c>
      <c r="D2556" s="2" t="str">
        <f t="shared" si="38"/>
        <v>Error?</v>
      </c>
    </row>
    <row r="2557" spans="1:4" x14ac:dyDescent="0.2">
      <c r="A2557" s="5">
        <v>2496</v>
      </c>
      <c r="B2557" s="138">
        <f>'Acct Summary 7-8'!C13</f>
        <v>763024</v>
      </c>
      <c r="C2557" s="2" t="s">
        <v>594</v>
      </c>
      <c r="D2557" s="2" t="str">
        <f t="shared" si="38"/>
        <v>Error?</v>
      </c>
    </row>
    <row r="2558" spans="1:4" x14ac:dyDescent="0.2">
      <c r="A2558" s="5">
        <v>2497</v>
      </c>
      <c r="B2558" s="138">
        <f>'Acct Summary 7-8'!C14</f>
        <v>10381</v>
      </c>
      <c r="C2558" s="2" t="s">
        <v>594</v>
      </c>
      <c r="D2558" s="2" t="str">
        <f t="shared" si="38"/>
        <v>Error?</v>
      </c>
    </row>
    <row r="2559" spans="1:4" x14ac:dyDescent="0.2">
      <c r="A2559" s="5">
        <v>2498</v>
      </c>
      <c r="B2559" s="138">
        <f>'Acct Summary 7-8'!C15</f>
        <v>254644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3891711</v>
      </c>
      <c r="C2561" s="2" t="s">
        <v>594</v>
      </c>
      <c r="D2561" s="2" t="str">
        <f t="shared" si="39"/>
        <v>Error?</v>
      </c>
    </row>
    <row r="2562" spans="1:4" x14ac:dyDescent="0.2">
      <c r="A2562" s="5">
        <v>2501</v>
      </c>
      <c r="B2562" s="138">
        <f>'Acct Summary 7-8'!C20</f>
        <v>-60177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380747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380747</v>
      </c>
      <c r="C2568" s="2" t="s">
        <v>594</v>
      </c>
      <c r="D2568" s="2" t="str">
        <f t="shared" si="39"/>
        <v>Error?</v>
      </c>
    </row>
    <row r="2569" spans="1:4" x14ac:dyDescent="0.2">
      <c r="A2569" s="5">
        <v>2508</v>
      </c>
      <c r="B2569" s="138">
        <f>'Acct Summary 7-8'!D13</f>
        <v>398794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398794</v>
      </c>
      <c r="C2573" s="2" t="s">
        <v>594</v>
      </c>
      <c r="D2573" s="2" t="str">
        <f t="shared" si="39"/>
        <v>Error?</v>
      </c>
    </row>
    <row r="2574" spans="1:4" x14ac:dyDescent="0.2">
      <c r="A2574" s="5">
        <v>2513</v>
      </c>
      <c r="B2574" s="138">
        <f>'Acct Summary 7-8'!D20</f>
        <v>-18047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166326</v>
      </c>
      <c r="C2591" s="2" t="s">
        <v>594</v>
      </c>
      <c r="D2591" s="2" t="str">
        <f t="shared" si="39"/>
        <v>Error?</v>
      </c>
    </row>
    <row r="2592" spans="1:4" x14ac:dyDescent="0.2">
      <c r="A2592" s="10">
        <v>2531</v>
      </c>
      <c r="D2592" s="2" t="str">
        <f t="shared" si="39"/>
        <v>OK</v>
      </c>
    </row>
    <row r="2593" spans="1:4" x14ac:dyDescent="0.2">
      <c r="A2593" s="5">
        <v>2532</v>
      </c>
      <c r="B2593" s="138">
        <f>'Acct Summary 7-8'!F6</f>
        <v>241176</v>
      </c>
      <c r="C2593" s="2" t="s">
        <v>594</v>
      </c>
      <c r="D2593" s="2" t="str">
        <f t="shared" si="39"/>
        <v>Error?</v>
      </c>
    </row>
    <row r="2594" spans="1:4" x14ac:dyDescent="0.2">
      <c r="A2594" s="5">
        <v>2533</v>
      </c>
      <c r="B2594" s="138">
        <f>'Acct Summary 7-8'!F7</f>
        <v>2621</v>
      </c>
      <c r="C2594" s="2" t="s">
        <v>594</v>
      </c>
      <c r="D2594" s="2" t="str">
        <f t="shared" si="39"/>
        <v>Error?</v>
      </c>
    </row>
    <row r="2595" spans="1:4" x14ac:dyDescent="0.2">
      <c r="A2595" s="5">
        <v>2534</v>
      </c>
      <c r="B2595" s="138">
        <f>'Acct Summary 7-8'!F8</f>
        <v>410123</v>
      </c>
      <c r="C2595" s="2" t="s">
        <v>594</v>
      </c>
      <c r="D2595" s="2" t="str">
        <f t="shared" si="39"/>
        <v>Error?</v>
      </c>
    </row>
    <row r="2596" spans="1:4" x14ac:dyDescent="0.2">
      <c r="A2596" s="5">
        <v>2535</v>
      </c>
      <c r="B2596" s="138">
        <f>'Acct Summary 7-8'!F13</f>
        <v>270873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7249</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278122</v>
      </c>
      <c r="C2600" s="2" t="s">
        <v>594</v>
      </c>
      <c r="D2600" s="2" t="str">
        <f t="shared" si="39"/>
        <v>Error?</v>
      </c>
    </row>
    <row r="2601" spans="1:4" x14ac:dyDescent="0.2">
      <c r="A2601" s="5">
        <v>2540</v>
      </c>
      <c r="B2601" s="138">
        <f>'Acct Summary 7-8'!F20</f>
        <v>132001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182728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8409</v>
      </c>
      <c r="C2605" s="2" t="s">
        <v>594</v>
      </c>
      <c r="D2605" s="2" t="str">
        <f t="shared" si="39"/>
        <v>Error?</v>
      </c>
    </row>
    <row r="2606" spans="1:4" x14ac:dyDescent="0.2">
      <c r="A2606" s="5">
        <v>2545</v>
      </c>
      <c r="B2606" s="138">
        <f>'Acct Summary 7-8'!G8</f>
        <v>191137</v>
      </c>
      <c r="C2606" s="2" t="s">
        <v>594</v>
      </c>
      <c r="D2606" s="2" t="str">
        <f t="shared" si="39"/>
        <v>Error?</v>
      </c>
    </row>
    <row r="2607" spans="1:4" x14ac:dyDescent="0.2">
      <c r="A2607" s="5">
        <v>2546</v>
      </c>
      <c r="B2607" s="138">
        <f>'Acct Summary 7-8'!G12</f>
        <v>74104</v>
      </c>
      <c r="C2607" s="2" t="s">
        <v>594</v>
      </c>
      <c r="D2607" s="2" t="str">
        <f t="shared" si="39"/>
        <v>Error?</v>
      </c>
    </row>
    <row r="2608" spans="1:4" x14ac:dyDescent="0.2">
      <c r="A2608" s="5">
        <v>2547</v>
      </c>
      <c r="B2608" s="138">
        <f>'Acct Summary 7-8'!G13</f>
        <v>96561</v>
      </c>
      <c r="C2608" s="2" t="s">
        <v>594</v>
      </c>
      <c r="D2608" s="2" t="str">
        <f t="shared" si="39"/>
        <v>Error?</v>
      </c>
    </row>
    <row r="2609" spans="1:4" x14ac:dyDescent="0.2">
      <c r="A2609" s="5">
        <v>2548</v>
      </c>
      <c r="B2609" s="138">
        <f>'Acct Summary 7-8'!G14</f>
        <v>2006</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172671</v>
      </c>
      <c r="C2612" s="2" t="s">
        <v>594</v>
      </c>
      <c r="D2612" s="2" t="str">
        <f t="shared" si="39"/>
        <v>Error?</v>
      </c>
    </row>
    <row r="2613" spans="1:4" x14ac:dyDescent="0.2">
      <c r="A2613" s="5">
        <v>2552</v>
      </c>
      <c r="B2613" s="138">
        <f>'Acct Summary 7-8'!G20</f>
        <v>18466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167153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167153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172006</v>
      </c>
      <c r="C2634" s="2" t="s">
        <v>594</v>
      </c>
      <c r="D2634" s="2" t="str">
        <f t="shared" si="40"/>
        <v>Error?</v>
      </c>
    </row>
    <row r="2635" spans="1:4" x14ac:dyDescent="0.2">
      <c r="A2635" s="5">
        <v>2574</v>
      </c>
      <c r="B2635" s="138">
        <f>'Acct Summary 7-8'!E17</f>
        <v>172006</v>
      </c>
      <c r="C2635" s="2" t="s">
        <v>594</v>
      </c>
      <c r="D2635" s="2" t="str">
        <f t="shared" si="40"/>
        <v>Error?</v>
      </c>
    </row>
    <row r="2636" spans="1:4" x14ac:dyDescent="0.2">
      <c r="A2636" s="5">
        <v>2575</v>
      </c>
      <c r="B2636" s="138">
        <f>'Acct Summary 7-8'!E20</f>
        <v>-4853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166237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166237</v>
      </c>
      <c r="C2658" s="2" t="s">
        <v>594</v>
      </c>
      <c r="D2658" s="2" t="str">
        <f t="shared" si="40"/>
        <v>Error?</v>
      </c>
    </row>
    <row r="2659" spans="1:4" x14ac:dyDescent="0.2">
      <c r="A2659" s="5">
        <v>2598</v>
      </c>
      <c r="B2659" s="138">
        <f>'Acct Summary 7-8'!H13</f>
        <v>707304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707304</v>
      </c>
      <c r="C2661" s="2" t="s">
        <v>594</v>
      </c>
      <c r="D2661" s="2" t="str">
        <f t="shared" si="40"/>
        <v>Error?</v>
      </c>
    </row>
    <row r="2662" spans="1:4" x14ac:dyDescent="0.2">
      <c r="A2662" s="5">
        <v>2601</v>
      </c>
      <c r="B2662" s="138">
        <f>'Acct Summary 7-8'!H20</f>
        <v>-541067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24312</v>
      </c>
      <c r="C2789" s="2" t="s">
        <v>594</v>
      </c>
      <c r="D2789" s="2" t="str">
        <f t="shared" si="42"/>
        <v>Error?</v>
      </c>
    </row>
    <row r="2790" spans="1:4" x14ac:dyDescent="0.2">
      <c r="A2790" s="5">
        <v>2729</v>
      </c>
      <c r="B2790" s="138">
        <f>'Expenditures 15-22'!E102</f>
        <v>24312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7249</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7249</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513353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121741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49011</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207110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121741</v>
      </c>
      <c r="D2912" s="2" t="str">
        <f t="shared" si="44"/>
        <v>Error?</v>
      </c>
    </row>
    <row r="2913" spans="1:4" x14ac:dyDescent="0.2">
      <c r="A2913" s="5">
        <v>2852</v>
      </c>
      <c r="B2913" s="138">
        <f>'Assets-Liab 5-6'!I41</f>
        <v>121741</v>
      </c>
      <c r="C2913" s="2" t="s">
        <v>594</v>
      </c>
      <c r="D2913" s="2" t="str">
        <f t="shared" si="44"/>
        <v>Error?</v>
      </c>
    </row>
    <row r="2914" spans="1:4" x14ac:dyDescent="0.2">
      <c r="A2914" s="5">
        <v>2853</v>
      </c>
      <c r="B2914" s="138">
        <f>'Assets-Liab 5-6'!L33</f>
        <v>153053</v>
      </c>
      <c r="D2914" s="2" t="str">
        <f t="shared" si="44"/>
        <v>Error?</v>
      </c>
    </row>
    <row r="2915" spans="1:4" x14ac:dyDescent="0.2">
      <c r="A2915" s="10">
        <v>2854</v>
      </c>
      <c r="D2915" s="2" t="str">
        <f t="shared" si="44"/>
        <v>OK</v>
      </c>
    </row>
    <row r="2916" spans="1:4" x14ac:dyDescent="0.2">
      <c r="A2916" s="5">
        <v>2855</v>
      </c>
      <c r="B2916" s="138">
        <f>'Assets-Liab 5-6'!L34</f>
        <v>153053</v>
      </c>
      <c r="C2916" s="2" t="s">
        <v>594</v>
      </c>
      <c r="D2916" s="2" t="str">
        <f t="shared" si="44"/>
        <v>Error?</v>
      </c>
    </row>
    <row r="2917" spans="1:4" x14ac:dyDescent="0.2">
      <c r="A2917" s="5">
        <v>2856</v>
      </c>
      <c r="B2917" s="138">
        <f>'Assets-Liab 5-6'!L41</f>
        <v>207110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18873</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5439</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2904</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21777</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5439</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7249</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7249</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72058</v>
      </c>
      <c r="D3055" s="2" t="str">
        <f t="shared" si="46"/>
        <v>Error?</v>
      </c>
    </row>
    <row r="3056" spans="1:4" x14ac:dyDescent="0.2">
      <c r="A3056" s="5">
        <v>2995</v>
      </c>
      <c r="B3056" s="138">
        <f>'Expenditures 15-22'!D10</f>
        <v>10354</v>
      </c>
      <c r="D3056" s="2" t="str">
        <f t="shared" si="46"/>
        <v>Error?</v>
      </c>
    </row>
    <row r="3057" spans="1:4" x14ac:dyDescent="0.2">
      <c r="A3057" s="5">
        <v>2996</v>
      </c>
      <c r="B3057" s="138">
        <f>'Expenditures 15-22'!E10</f>
        <v>600</v>
      </c>
      <c r="D3057" s="2" t="str">
        <f t="shared" si="46"/>
        <v>Error?</v>
      </c>
    </row>
    <row r="3058" spans="1:4" x14ac:dyDescent="0.2">
      <c r="A3058" s="5">
        <v>2997</v>
      </c>
      <c r="B3058" s="138">
        <f>'Expenditures 15-22'!F10</f>
        <v>5891</v>
      </c>
      <c r="D3058" s="2" t="str">
        <f t="shared" si="46"/>
        <v>Error?</v>
      </c>
    </row>
    <row r="3059" spans="1:4" x14ac:dyDescent="0.2">
      <c r="A3059" s="5">
        <v>2998</v>
      </c>
      <c r="B3059" s="138">
        <f>'Expenditures 15-22'!G10</f>
        <v>850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89753</v>
      </c>
      <c r="C3062" s="2" t="s">
        <v>594</v>
      </c>
      <c r="D3062" s="2" t="str">
        <f t="shared" si="46"/>
        <v>Error?</v>
      </c>
    </row>
    <row r="3063" spans="1:4" x14ac:dyDescent="0.2">
      <c r="A3063" s="10">
        <v>3002</v>
      </c>
      <c r="D3063" s="2" t="str">
        <f t="shared" si="46"/>
        <v>OK</v>
      </c>
    </row>
    <row r="3064" spans="1:4" x14ac:dyDescent="0.2">
      <c r="A3064" s="5">
        <v>3003</v>
      </c>
      <c r="B3064" s="138">
        <f>'Expenditures 15-22'!D219</f>
        <v>5183</v>
      </c>
      <c r="D3064" s="2" t="str">
        <f t="shared" si="46"/>
        <v>Error?</v>
      </c>
    </row>
    <row r="3065" spans="1:4" x14ac:dyDescent="0.2">
      <c r="A3065" s="5">
        <v>3004</v>
      </c>
      <c r="B3065" s="138">
        <f>'Expenditures 15-22'!K219</f>
        <v>5183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54057</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29345</v>
      </c>
      <c r="C3225" s="2" t="s">
        <v>594</v>
      </c>
      <c r="D3225" s="2" t="str">
        <f t="shared" si="49"/>
        <v>Error?</v>
      </c>
    </row>
    <row r="3226" spans="1:4" x14ac:dyDescent="0.2">
      <c r="A3226" s="5">
        <v>3165</v>
      </c>
      <c r="B3226" s="138">
        <f>'Acct Summary 7-8'!I8</f>
        <v>29345</v>
      </c>
      <c r="C3226" s="2" t="s">
        <v>594</v>
      </c>
      <c r="D3226" s="2" t="str">
        <f t="shared" si="49"/>
        <v>Error?</v>
      </c>
    </row>
    <row r="3227" spans="1:4" x14ac:dyDescent="0.2">
      <c r="A3227" s="5">
        <v>3166</v>
      </c>
      <c r="B3227" s="138">
        <f>'Acct Summary 7-8'!I20</f>
        <v>29345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28455</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28455</v>
      </c>
      <c r="C3232" s="2" t="s">
        <v>594</v>
      </c>
      <c r="D3232" s="2" t="str">
        <f t="shared" si="49"/>
        <v>Error?</v>
      </c>
    </row>
    <row r="3233" spans="1:4" x14ac:dyDescent="0.2">
      <c r="A3233" s="5">
        <v>3172</v>
      </c>
      <c r="B3233" s="138">
        <f>'Acct Summary 7-8'!C78</f>
        <v>-31722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-18047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132001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18466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-4853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1100219</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1100219</v>
      </c>
      <c r="C3299" s="2" t="s">
        <v>594</v>
      </c>
      <c r="D3299" s="2" t="str">
        <f t="shared" si="50"/>
        <v>Error?</v>
      </c>
    </row>
    <row r="3300" spans="1:4" x14ac:dyDescent="0.2">
      <c r="A3300" s="5">
        <v>3239</v>
      </c>
      <c r="B3300" s="138">
        <f>'Acct Summary 7-8'!H78</f>
        <v>559152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28455</v>
      </c>
      <c r="C3318" s="2" t="s">
        <v>594</v>
      </c>
      <c r="D3318" s="2" t="str">
        <f t="shared" si="50"/>
        <v>Error?</v>
      </c>
    </row>
    <row r="3319" spans="1:4" x14ac:dyDescent="0.2">
      <c r="A3319" s="5">
        <v>3258</v>
      </c>
      <c r="B3319" s="138">
        <f>'Acct Summary 7-8'!I77</f>
        <v>-28455</v>
      </c>
      <c r="C3319" s="2" t="s">
        <v>594</v>
      </c>
      <c r="D3319" s="2" t="str">
        <f t="shared" si="50"/>
        <v>Error?</v>
      </c>
    </row>
    <row r="3320" spans="1:4" x14ac:dyDescent="0.2">
      <c r="A3320" s="5">
        <v>3259</v>
      </c>
      <c r="B3320" s="138">
        <f>'Acct Summary 7-8'!I78</f>
        <v>890</v>
      </c>
      <c r="C3320" s="2" t="s">
        <v>594</v>
      </c>
      <c r="D3320" s="2" t="str">
        <f t="shared" si="50"/>
        <v>Error?</v>
      </c>
    </row>
    <row r="3321" spans="1:4" x14ac:dyDescent="0.2">
      <c r="A3321" s="5">
        <v>3260</v>
      </c>
      <c r="B3321" s="138">
        <f>'Acct Summary 7-8'!I79</f>
        <v>120851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121741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193050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25048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218098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45864</v>
      </c>
      <c r="D3387" s="2" t="str">
        <f t="shared" si="51"/>
        <v>Error?</v>
      </c>
    </row>
    <row r="3388" spans="1:4" x14ac:dyDescent="0.2">
      <c r="A3388" s="5">
        <v>3327</v>
      </c>
      <c r="B3388" s="138">
        <f>'Expenditures 15-22'!D217</f>
        <v>11819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45864</v>
      </c>
      <c r="C3390" s="2" t="s">
        <v>594</v>
      </c>
      <c r="D3390" s="2" t="str">
        <f t="shared" si="51"/>
        <v>Error?</v>
      </c>
    </row>
    <row r="3391" spans="1:4" x14ac:dyDescent="0.2">
      <c r="A3391" s="5">
        <v>3330</v>
      </c>
      <c r="B3391" s="138">
        <f>'Expenditures 15-22'!K217</f>
        <v>11819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623683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388024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85681</v>
      </c>
      <c r="D3417" s="2" t="str">
        <f t="shared" si="52"/>
        <v>Error?</v>
      </c>
    </row>
    <row r="3418" spans="1:4" x14ac:dyDescent="0.2">
      <c r="A3418" s="10">
        <v>3357</v>
      </c>
      <c r="D3418" s="2" t="str">
        <f t="shared" si="52"/>
        <v>OK</v>
      </c>
    </row>
    <row r="3419" spans="1:4" x14ac:dyDescent="0.2">
      <c r="A3419" s="5">
        <v>3358</v>
      </c>
      <c r="B3419" s="138">
        <f>'Assets-Liab 5-6'!F4</f>
        <v>319524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310590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783275</v>
      </c>
      <c r="D3425" s="2" t="str">
        <f t="shared" si="52"/>
        <v>Error?</v>
      </c>
    </row>
    <row r="3426" spans="1:4" x14ac:dyDescent="0.2">
      <c r="A3426" s="10">
        <v>3365</v>
      </c>
      <c r="D3426" s="2" t="str">
        <f t="shared" si="52"/>
        <v>OK</v>
      </c>
    </row>
    <row r="3427" spans="1:4" x14ac:dyDescent="0.2">
      <c r="A3427" s="5">
        <v>3366</v>
      </c>
      <c r="B3427" s="138">
        <f>'Assets-Liab 5-6'!I4</f>
        <v>121741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158099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127105</v>
      </c>
      <c r="C3446" s="2" t="s">
        <v>594</v>
      </c>
      <c r="D3446" s="2" t="str">
        <f t="shared" si="52"/>
        <v>Error?</v>
      </c>
    </row>
    <row r="3447" spans="1:4" x14ac:dyDescent="0.2">
      <c r="A3447" s="5">
        <v>3386</v>
      </c>
      <c r="B3447" s="138">
        <f>'Tax Sched 23'!D16</f>
        <v>56673</v>
      </c>
      <c r="C3447" s="2" t="s">
        <v>594</v>
      </c>
      <c r="D3447" s="2" t="str">
        <f t="shared" si="52"/>
        <v>Error?</v>
      </c>
    </row>
    <row r="3448" spans="1:4" x14ac:dyDescent="0.2">
      <c r="A3448" s="5">
        <v>3387</v>
      </c>
      <c r="B3448" s="138">
        <f>'Tax Sched 23'!C16</f>
        <v>70432</v>
      </c>
      <c r="D3448" s="2" t="str">
        <f t="shared" si="52"/>
        <v>Error?</v>
      </c>
    </row>
    <row r="3449" spans="1:4" x14ac:dyDescent="0.2">
      <c r="A3449" s="5">
        <v>3388</v>
      </c>
      <c r="B3449" s="138">
        <f>'Tax Sched 23'!F16</f>
        <v>57477</v>
      </c>
      <c r="C3449" s="2" t="s">
        <v>594</v>
      </c>
      <c r="D3449" s="2" t="str">
        <f t="shared" si="52"/>
        <v>Error?</v>
      </c>
    </row>
    <row r="3450" spans="1:4" x14ac:dyDescent="0.2">
      <c r="A3450" s="5">
        <v>3389</v>
      </c>
      <c r="B3450" s="138">
        <f>'Tax Sched 23'!E16</f>
        <v>127909</v>
      </c>
      <c r="D3450" s="2" t="str">
        <f t="shared" si="52"/>
        <v>Error?</v>
      </c>
    </row>
    <row r="3451" spans="1:4" x14ac:dyDescent="0.2">
      <c r="A3451" s="5">
        <v>3390</v>
      </c>
      <c r="B3451" s="138">
        <f>'Cap Outlay Deprec 26'!C15</f>
        <v>21600</v>
      </c>
      <c r="D3451" s="2" t="str">
        <f t="shared" si="52"/>
        <v>Error?</v>
      </c>
    </row>
    <row r="3452" spans="1:4" x14ac:dyDescent="0.2">
      <c r="A3452" s="5">
        <v>3391</v>
      </c>
      <c r="B3452" s="138">
        <f>'Cap Outlay Deprec 26'!D15</f>
        <v>513353</v>
      </c>
      <c r="D3452" s="2" t="str">
        <f t="shared" si="52"/>
        <v>Error?</v>
      </c>
    </row>
    <row r="3453" spans="1:4" x14ac:dyDescent="0.2">
      <c r="A3453" s="5">
        <v>3392</v>
      </c>
      <c r="B3453" s="138">
        <f>'Cap Outlay Deprec 26'!E15</f>
        <v>21600</v>
      </c>
      <c r="D3453" s="2" t="str">
        <f t="shared" si="52"/>
        <v>Error?</v>
      </c>
    </row>
    <row r="3454" spans="1:4" x14ac:dyDescent="0.2">
      <c r="A3454" s="5">
        <v>3393</v>
      </c>
      <c r="B3454" s="138">
        <f>'Cap Outlay Deprec 26'!F15</f>
        <v>513353</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513353</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247461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247461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247461</v>
      </c>
      <c r="D3567" s="2" t="str">
        <f t="shared" si="54"/>
        <v>Error?</v>
      </c>
    </row>
    <row r="3568" spans="1:4" x14ac:dyDescent="0.2">
      <c r="A3568" s="5">
        <v>3507</v>
      </c>
      <c r="B3568" s="138">
        <f>'Assets-Liab 5-6'!K41</f>
        <v>247461</v>
      </c>
      <c r="C3568" s="2" t="s">
        <v>594</v>
      </c>
      <c r="D3568" s="2" t="str">
        <f t="shared" si="54"/>
        <v>Error?</v>
      </c>
    </row>
    <row r="3569" spans="1:4" x14ac:dyDescent="0.2">
      <c r="A3569" s="5">
        <v>3508</v>
      </c>
      <c r="B3569" s="138">
        <f>'Acct Summary 7-8'!K4</f>
        <v>30023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30023</v>
      </c>
      <c r="C3571" s="2" t="s">
        <v>594</v>
      </c>
      <c r="D3571" s="2" t="str">
        <f t="shared" si="54"/>
        <v>Error?</v>
      </c>
    </row>
    <row r="3572" spans="1:4" x14ac:dyDescent="0.2">
      <c r="A3572" s="5">
        <v>3511</v>
      </c>
      <c r="B3572" s="138">
        <f>'Acct Summary 7-8'!K13</f>
        <v>20757</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20757</v>
      </c>
      <c r="C3575" s="2" t="s">
        <v>594</v>
      </c>
      <c r="D3575" s="2" t="str">
        <f t="shared" si="54"/>
        <v>Error?</v>
      </c>
    </row>
    <row r="3576" spans="1:4" x14ac:dyDescent="0.2">
      <c r="A3576" s="5">
        <v>3515</v>
      </c>
      <c r="B3576" s="138">
        <f>'Acct Summary 7-8'!K20</f>
        <v>9266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9266</v>
      </c>
      <c r="C3588" s="2" t="s">
        <v>594</v>
      </c>
      <c r="D3588" s="2" t="str">
        <f t="shared" si="55"/>
        <v>Error?</v>
      </c>
    </row>
    <row r="3589" spans="1:4" x14ac:dyDescent="0.2">
      <c r="A3589" s="5">
        <v>3528</v>
      </c>
      <c r="B3589" s="138">
        <f>'Acct Summary 7-8'!K79</f>
        <v>238195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247461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3915</v>
      </c>
      <c r="D3631" s="2" t="str">
        <f t="shared" si="55"/>
        <v>Error?</v>
      </c>
    </row>
    <row r="3632" spans="1:4" x14ac:dyDescent="0.2">
      <c r="A3632" s="5">
        <v>3571</v>
      </c>
      <c r="B3632" s="138">
        <f>'Expenditures 15-22'!E349</f>
        <v>16842</v>
      </c>
      <c r="D3632" s="2" t="str">
        <f t="shared" si="55"/>
        <v>Error?</v>
      </c>
    </row>
    <row r="3633" spans="1:4" x14ac:dyDescent="0.2">
      <c r="A3633" s="5">
        <v>3572</v>
      </c>
      <c r="B3633" s="138">
        <f>'Expenditures 15-22'!E350</f>
        <v>20757</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20757</v>
      </c>
      <c r="C3635" s="2" t="s">
        <v>594</v>
      </c>
      <c r="D3635" s="2" t="str">
        <f t="shared" si="55"/>
        <v>Error?</v>
      </c>
    </row>
    <row r="3636" spans="1:4" x14ac:dyDescent="0.2">
      <c r="A3636" s="5">
        <v>3575</v>
      </c>
      <c r="B3636" s="138">
        <f>'Expenditures 15-22'!E367</f>
        <v>20757</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3915</v>
      </c>
      <c r="C3668" s="2" t="s">
        <v>594</v>
      </c>
      <c r="D3668" s="2" t="str">
        <f t="shared" si="56"/>
        <v>Error?</v>
      </c>
    </row>
    <row r="3669" spans="1:4" x14ac:dyDescent="0.2">
      <c r="A3669" s="5">
        <v>3608</v>
      </c>
      <c r="B3669" s="138">
        <f>'Expenditures 15-22'!K349</f>
        <v>16842</v>
      </c>
      <c r="C3669" s="2" t="s">
        <v>594</v>
      </c>
      <c r="D3669" s="2" t="str">
        <f t="shared" si="56"/>
        <v>Error?</v>
      </c>
    </row>
    <row r="3670" spans="1:4" x14ac:dyDescent="0.2">
      <c r="A3670" s="5">
        <v>3609</v>
      </c>
      <c r="B3670" s="138">
        <f>'Expenditures 15-22'!K350</f>
        <v>20757</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20757</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20757</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9266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28889</v>
      </c>
      <c r="C3725" s="2" t="s">
        <v>594</v>
      </c>
      <c r="D3725" s="2" t="str">
        <f t="shared" si="57"/>
        <v>Error?</v>
      </c>
    </row>
    <row r="3726" spans="1:4" x14ac:dyDescent="0.2">
      <c r="A3726" s="5">
        <v>3665</v>
      </c>
      <c r="B3726" s="138">
        <f>'Tax Sched 23'!D13</f>
        <v>12879</v>
      </c>
      <c r="C3726" s="2" t="s">
        <v>594</v>
      </c>
      <c r="D3726" s="2" t="str">
        <f t="shared" si="57"/>
        <v>Error?</v>
      </c>
    </row>
    <row r="3727" spans="1:4" x14ac:dyDescent="0.2">
      <c r="A3727" s="5">
        <v>3666</v>
      </c>
      <c r="B3727" s="138">
        <f>'Tax Sched 23'!C13</f>
        <v>16010</v>
      </c>
      <c r="D3727" s="2" t="str">
        <f t="shared" si="57"/>
        <v>Error?</v>
      </c>
    </row>
    <row r="3728" spans="1:4" x14ac:dyDescent="0.2">
      <c r="A3728" s="5">
        <v>3667</v>
      </c>
      <c r="B3728" s="138">
        <f>'Tax Sched 23'!F13</f>
        <v>13068</v>
      </c>
      <c r="C3728" s="2" t="s">
        <v>594</v>
      </c>
      <c r="D3728" s="2" t="str">
        <f t="shared" si="57"/>
        <v>Error?</v>
      </c>
    </row>
    <row r="3729" spans="1:4" x14ac:dyDescent="0.2">
      <c r="A3729" s="5">
        <v>3668</v>
      </c>
      <c r="B3729" s="138">
        <f>'Tax Sched 23'!E13</f>
        <v>29078</v>
      </c>
      <c r="D3729" s="2" t="str">
        <f t="shared" si="57"/>
        <v>Error?</v>
      </c>
    </row>
    <row r="3730" spans="1:4" x14ac:dyDescent="0.2">
      <c r="A3730" s="5">
        <v>3669</v>
      </c>
      <c r="B3730" s="138">
        <f>'ICR Computation 30'!E10</f>
        <v>102259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1868914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5700448</v>
      </c>
      <c r="C4122" s="2" t="s">
        <v>594</v>
      </c>
      <c r="D4122" s="2" t="str">
        <f t="shared" si="63"/>
        <v>Error?</v>
      </c>
    </row>
    <row r="4123" spans="1:4" x14ac:dyDescent="0.2">
      <c r="A4123" s="5">
        <v>4062</v>
      </c>
      <c r="B4123" s="138">
        <f>'Acct Summary 7-8'!D10</f>
        <v>380747</v>
      </c>
      <c r="C4123" s="2" t="s">
        <v>594</v>
      </c>
      <c r="D4123" s="2" t="str">
        <f t="shared" si="63"/>
        <v>Error?</v>
      </c>
    </row>
    <row r="4124" spans="1:4" x14ac:dyDescent="0.2">
      <c r="A4124" s="5">
        <v>4063</v>
      </c>
      <c r="B4124" s="138">
        <f>'Acct Summary 7-8'!E10</f>
        <v>167153</v>
      </c>
      <c r="C4124" s="2" t="s">
        <v>594</v>
      </c>
      <c r="D4124" s="2" t="str">
        <f t="shared" si="63"/>
        <v>Error?</v>
      </c>
    </row>
    <row r="4125" spans="1:4" x14ac:dyDescent="0.2">
      <c r="A4125" s="5">
        <v>4064</v>
      </c>
      <c r="B4125" s="138">
        <f>'Acct Summary 7-8'!F10</f>
        <v>410123</v>
      </c>
      <c r="C4125" s="2" t="s">
        <v>594</v>
      </c>
      <c r="D4125" s="2" t="str">
        <f t="shared" si="63"/>
        <v>Error?</v>
      </c>
    </row>
    <row r="4126" spans="1:4" x14ac:dyDescent="0.2">
      <c r="A4126" s="5">
        <v>4065</v>
      </c>
      <c r="B4126" s="138">
        <f>'Acct Summary 7-8'!G10</f>
        <v>191137</v>
      </c>
      <c r="C4126" s="2" t="s">
        <v>594</v>
      </c>
      <c r="D4126" s="2" t="str">
        <f t="shared" si="63"/>
        <v>Error?</v>
      </c>
    </row>
    <row r="4127" spans="1:4" x14ac:dyDescent="0.2">
      <c r="A4127" s="5">
        <v>4066</v>
      </c>
      <c r="B4127" s="138">
        <f>'Acct Summary 7-8'!H10</f>
        <v>166237</v>
      </c>
      <c r="C4127" s="2" t="s">
        <v>594</v>
      </c>
      <c r="D4127" s="2" t="str">
        <f t="shared" si="63"/>
        <v>Error?</v>
      </c>
    </row>
    <row r="4128" spans="1:4" x14ac:dyDescent="0.2">
      <c r="A4128" s="5">
        <v>4067</v>
      </c>
      <c r="B4128" s="138">
        <f>'Acct Summary 7-8'!I10</f>
        <v>29345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30023</v>
      </c>
      <c r="C4130" s="2" t="s">
        <v>594</v>
      </c>
      <c r="D4130" s="2" t="str">
        <f t="shared" si="63"/>
        <v>Error?</v>
      </c>
    </row>
    <row r="4131" spans="1:4" x14ac:dyDescent="0.2">
      <c r="A4131" s="5">
        <v>4070</v>
      </c>
      <c r="B4131" s="138">
        <f>'Acct Summary 7-8'!C18</f>
        <v>1868914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5760625</v>
      </c>
      <c r="C4136" s="2" t="s">
        <v>594</v>
      </c>
      <c r="D4136" s="2" t="str">
        <f t="shared" si="63"/>
        <v>Error?</v>
      </c>
    </row>
    <row r="4137" spans="1:4" x14ac:dyDescent="0.2">
      <c r="A4137" s="5">
        <v>4076</v>
      </c>
      <c r="B4137" s="138">
        <f>'Acct Summary 7-8'!D19</f>
        <v>398794</v>
      </c>
      <c r="C4137" s="2" t="s">
        <v>594</v>
      </c>
      <c r="D4137" s="2" t="str">
        <f t="shared" si="63"/>
        <v>Error?</v>
      </c>
    </row>
    <row r="4138" spans="1:4" x14ac:dyDescent="0.2">
      <c r="A4138" s="5">
        <v>4077</v>
      </c>
      <c r="B4138" s="138">
        <f>'Acct Summary 7-8'!E19</f>
        <v>172006</v>
      </c>
      <c r="C4138" s="2" t="s">
        <v>594</v>
      </c>
      <c r="D4138" s="2" t="str">
        <f t="shared" si="63"/>
        <v>Error?</v>
      </c>
    </row>
    <row r="4139" spans="1:4" x14ac:dyDescent="0.2">
      <c r="A4139" s="5">
        <v>4078</v>
      </c>
      <c r="B4139" s="138">
        <f>'Acct Summary 7-8'!F19</f>
        <v>278122</v>
      </c>
      <c r="C4139" s="2" t="s">
        <v>594</v>
      </c>
      <c r="D4139" s="2" t="str">
        <f t="shared" si="63"/>
        <v>Error?</v>
      </c>
    </row>
    <row r="4140" spans="1:4" x14ac:dyDescent="0.2">
      <c r="A4140" s="5">
        <v>4079</v>
      </c>
      <c r="B4140" s="138">
        <f>'Acct Summary 7-8'!G19</f>
        <v>172671</v>
      </c>
      <c r="C4140" s="2" t="s">
        <v>594</v>
      </c>
      <c r="D4140" s="2" t="str">
        <f t="shared" si="63"/>
        <v>Error?</v>
      </c>
    </row>
    <row r="4141" spans="1:4" x14ac:dyDescent="0.2">
      <c r="A4141" s="5">
        <v>4080</v>
      </c>
      <c r="B4141" s="138">
        <f>'Acct Summary 7-8'!H19</f>
        <v>707304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20757</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2145000</v>
      </c>
      <c r="C4171" s="2" t="s">
        <v>594</v>
      </c>
      <c r="D4171" s="2" t="str">
        <f t="shared" si="64"/>
        <v>Error?</v>
      </c>
    </row>
    <row r="4172" spans="1:4" x14ac:dyDescent="0.2">
      <c r="A4172" s="5">
        <v>4111</v>
      </c>
      <c r="B4172" s="138">
        <f>'Short-Term Long-Term Debt 24'!J49</f>
        <v>2059319</v>
      </c>
      <c r="C4172" s="2" t="s">
        <v>594</v>
      </c>
      <c r="D4172" s="2" t="str">
        <f t="shared" si="64"/>
        <v>Error?</v>
      </c>
    </row>
    <row r="4173" spans="1:4" x14ac:dyDescent="0.2">
      <c r="A4173" s="5">
        <v>4112</v>
      </c>
      <c r="B4173" s="138">
        <f>'Short-Term Long-Term Debt 24'!H49</f>
        <v>109180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19180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2992</v>
      </c>
      <c r="C4265" s="2" t="s">
        <v>594</v>
      </c>
      <c r="D4265" s="2" t="str">
        <f t="shared" si="65"/>
        <v>Error?</v>
      </c>
      <c r="E4265" s="128"/>
    </row>
    <row r="4266" spans="1:5" x14ac:dyDescent="0.2">
      <c r="A4266" s="12">
        <v>4205</v>
      </c>
      <c r="B4266" s="138">
        <f>('FP Info 3'!F10)*100000</f>
        <v>548.6</v>
      </c>
      <c r="C4266" s="2" t="s">
        <v>594</v>
      </c>
      <c r="D4266" s="2" t="str">
        <f t="shared" si="65"/>
        <v>Error?</v>
      </c>
      <c r="E4266" s="128"/>
    </row>
    <row r="4267" spans="1:5" x14ac:dyDescent="0.2">
      <c r="A4267" s="12">
        <v>4206</v>
      </c>
      <c r="B4267" s="138">
        <f>('FP Info 3'!H10)*100000</f>
        <v>199.49999999999997</v>
      </c>
      <c r="C4267" s="2" t="s">
        <v>594</v>
      </c>
      <c r="D4267" s="2" t="str">
        <f t="shared" si="65"/>
        <v>Error?</v>
      </c>
      <c r="E4267" s="128"/>
    </row>
    <row r="4268" spans="1:5" x14ac:dyDescent="0.2">
      <c r="A4268" s="12">
        <v>4207</v>
      </c>
      <c r="B4268" s="138">
        <f>('FP Info 3'!J10)*100000</f>
        <v>3740.0000000000005</v>
      </c>
      <c r="C4268" s="2" t="s">
        <v>594</v>
      </c>
      <c r="D4268" s="2" t="str">
        <f t="shared" si="65"/>
        <v>Error?</v>
      </c>
    </row>
    <row r="4269" spans="1:5" x14ac:dyDescent="0.2">
      <c r="A4269" s="12">
        <v>4208</v>
      </c>
      <c r="B4269" s="138">
        <f>'FP Info 3'!J16</f>
        <v>1452960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2487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16174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123526</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2621</v>
      </c>
      <c r="D4409" s="2" t="str">
        <f t="shared" si="67"/>
        <v>Error?</v>
      </c>
    </row>
    <row r="4410" spans="1:4" x14ac:dyDescent="0.2">
      <c r="A4410" s="5">
        <v>4349</v>
      </c>
      <c r="B4410" s="138">
        <f>'Revenues 9-14'!G214</f>
        <v>3667</v>
      </c>
      <c r="D4410" s="2" t="str">
        <f t="shared" si="67"/>
        <v>Error?</v>
      </c>
    </row>
    <row r="4411" spans="1:4" x14ac:dyDescent="0.2">
      <c r="A4411" s="5">
        <v>4350</v>
      </c>
      <c r="B4411" s="138">
        <f>'Revenues 9-14'!C216</f>
        <v>123526</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2621</v>
      </c>
      <c r="C4413" s="2" t="s">
        <v>594</v>
      </c>
      <c r="D4413" s="2" t="str">
        <f t="shared" si="67"/>
        <v>Error?</v>
      </c>
    </row>
    <row r="4414" spans="1:4" x14ac:dyDescent="0.2">
      <c r="A4414" s="5">
        <v>4353</v>
      </c>
      <c r="B4414" s="138">
        <f>'Revenues 9-14'!G216</f>
        <v>3667</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21818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17127</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58272863</v>
      </c>
      <c r="D4995" s="2" t="str">
        <f t="shared" si="77"/>
        <v>Error?</v>
      </c>
    </row>
    <row r="4996" spans="1:4" x14ac:dyDescent="0.2">
      <c r="A4996" s="12">
        <v>4935</v>
      </c>
      <c r="B4996" s="138">
        <f>'FP Info 3'!H31</f>
        <v>8041655.0940000005</v>
      </c>
      <c r="D4996" s="2" t="str">
        <f t="shared" si="77"/>
        <v>Error?</v>
      </c>
    </row>
    <row r="4997" spans="1:4" x14ac:dyDescent="0.2">
      <c r="A4997" s="12">
        <v>4936</v>
      </c>
      <c r="B4997" s="138">
        <f>'FP Info 3'!H37</f>
        <v>2145000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28889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1732608</v>
      </c>
      <c r="D5061" s="2" t="str">
        <f t="shared" si="78"/>
        <v>Error?</v>
      </c>
    </row>
    <row r="5062" spans="1:4" x14ac:dyDescent="0.2">
      <c r="A5062" s="10">
        <v>5001</v>
      </c>
      <c r="D5062" s="2" t="str">
        <f t="shared" si="78"/>
        <v>OK</v>
      </c>
    </row>
    <row r="5063" spans="1:4" x14ac:dyDescent="0.2">
      <c r="A5063" s="5">
        <v>5002</v>
      </c>
      <c r="B5063" s="138">
        <f>'Revenues 9-14'!C7</f>
        <v>23126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1784623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55999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55999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1660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1660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112878</v>
      </c>
      <c r="C5096" s="2" t="s">
        <v>594</v>
      </c>
      <c r="D5096" s="2" t="str">
        <f t="shared" si="78"/>
        <v>Error?</v>
      </c>
    </row>
    <row r="5097" spans="1:4" x14ac:dyDescent="0.2">
      <c r="A5097" s="5">
        <v>5036</v>
      </c>
      <c r="B5097" s="138">
        <f>'Revenues 9-14'!C77</f>
        <v>21150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10021</v>
      </c>
      <c r="D5101" s="2" t="str">
        <f t="shared" si="78"/>
        <v>Error?</v>
      </c>
    </row>
    <row r="5102" spans="1:4" x14ac:dyDescent="0.2">
      <c r="A5102" s="5">
        <v>5041</v>
      </c>
      <c r="B5102" s="138">
        <f>'Revenues 9-14'!C82</f>
        <v>31171</v>
      </c>
      <c r="C5102" s="2" t="s">
        <v>594</v>
      </c>
      <c r="D5102" s="2" t="str">
        <f t="shared" si="78"/>
        <v>Error?</v>
      </c>
    </row>
    <row r="5103" spans="1:4" x14ac:dyDescent="0.2">
      <c r="A5103" s="5">
        <v>5042</v>
      </c>
      <c r="B5103" s="138">
        <f>'Revenues 9-14'!C84</f>
        <v>16134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13471</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2050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31655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45145</v>
      </c>
      <c r="D5115" s="2" t="str">
        <f t="shared" si="78"/>
        <v>Error?</v>
      </c>
    </row>
    <row r="5116" spans="1:4" x14ac:dyDescent="0.2">
      <c r="A5116" s="5">
        <v>5055</v>
      </c>
      <c r="B5116" s="138">
        <f>'Revenues 9-14'!C99</f>
        <v>49042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2783</v>
      </c>
      <c r="D5119" s="2" t="str">
        <f t="shared" ref="D5119:D5182" si="79">IF(ISBLANK(B5119),"OK",IF(A5119-B5119=0,"OK","Error?"))</f>
        <v>Error?</v>
      </c>
    </row>
    <row r="5120" spans="1:4" x14ac:dyDescent="0.2">
      <c r="A5120" s="5">
        <v>5059</v>
      </c>
      <c r="B5120" s="138">
        <f>'Revenues 9-14'!C108</f>
        <v>98570</v>
      </c>
      <c r="C5120" s="2" t="s">
        <v>594</v>
      </c>
      <c r="D5120" s="2" t="str">
        <f t="shared" si="79"/>
        <v>Error?</v>
      </c>
    </row>
    <row r="5121" spans="1:4" x14ac:dyDescent="0.2">
      <c r="A5121" s="5">
        <v>5060</v>
      </c>
      <c r="B5121" s="138">
        <f>'Revenues 9-14'!C109</f>
        <v>2116556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1187808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1187808</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30535</v>
      </c>
      <c r="D5134" s="2" t="str">
        <f t="shared" si="79"/>
        <v>Error?</v>
      </c>
    </row>
    <row r="5135" spans="1:4" x14ac:dyDescent="0.2">
      <c r="A5135" s="5">
        <v>5074</v>
      </c>
      <c r="B5135" s="138">
        <f>'Revenues 9-14'!C126</f>
        <v>19743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50278</v>
      </c>
      <c r="C5147" s="2" t="s">
        <v>594</v>
      </c>
      <c r="D5147" s="2" t="str">
        <f t="shared" si="79"/>
        <v>Error?</v>
      </c>
    </row>
    <row r="5148" spans="1:4" x14ac:dyDescent="0.2">
      <c r="A5148" s="5">
        <v>5087</v>
      </c>
      <c r="B5148" s="138">
        <f>'Revenues 9-14'!C133</f>
        <v>10005</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29593</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1360</v>
      </c>
      <c r="D5167" s="2" t="str">
        <f t="shared" si="79"/>
        <v>Error?</v>
      </c>
    </row>
    <row r="5168" spans="1:4" x14ac:dyDescent="0.2">
      <c r="A5168" s="5">
        <v>5107</v>
      </c>
      <c r="B5168" s="138">
        <f>'Revenues 9-14'!C147</f>
        <v>7677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81413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171821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1359629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17127</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91956</v>
      </c>
      <c r="D5239" s="2" t="str">
        <f t="shared" si="80"/>
        <v>Error?</v>
      </c>
    </row>
    <row r="5240" spans="1:4" x14ac:dyDescent="0.2">
      <c r="A5240" s="5">
        <v>5179</v>
      </c>
      <c r="B5240" s="138">
        <f>'Revenues 9-14'!C195</f>
        <v>1136</v>
      </c>
      <c r="D5240" s="2" t="str">
        <f t="shared" si="80"/>
        <v>Error?</v>
      </c>
    </row>
    <row r="5241" spans="1:4" x14ac:dyDescent="0.2">
      <c r="A5241" s="5">
        <v>5180</v>
      </c>
      <c r="B5241" s="138">
        <f>'Revenues 9-14'!C196</f>
        <v>24514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117606</v>
      </c>
      <c r="C5246" s="2" t="s">
        <v>594</v>
      </c>
      <c r="D5246" s="2" t="str">
        <f t="shared" si="80"/>
        <v>Error?</v>
      </c>
    </row>
    <row r="5247" spans="1:4" x14ac:dyDescent="0.2">
      <c r="A5247" s="5">
        <v>5186</v>
      </c>
      <c r="B5247" s="138">
        <f>'Revenues 9-14'!C203</f>
        <v>56611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56611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338222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355349</v>
      </c>
      <c r="C5326" s="2" t="s">
        <v>594</v>
      </c>
      <c r="D5326" s="2" t="str">
        <f t="shared" si="82"/>
        <v>Error?</v>
      </c>
    </row>
    <row r="5327" spans="1:4" x14ac:dyDescent="0.2">
      <c r="A5327" s="5">
        <v>5266</v>
      </c>
      <c r="B5327" s="138">
        <f>'Revenues 9-14'!C275</f>
        <v>3831534</v>
      </c>
      <c r="C5327" s="2" t="s">
        <v>594</v>
      </c>
      <c r="D5327" s="2" t="str">
        <f t="shared" si="82"/>
        <v>Error?</v>
      </c>
    </row>
    <row r="5328" spans="1:4" x14ac:dyDescent="0.2">
      <c r="A5328" s="5">
        <v>5267</v>
      </c>
      <c r="B5328" s="138">
        <f>'Revenues 9-14'!D5</f>
        <v>317680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317680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1467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1467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1600</v>
      </c>
      <c r="D5354" s="2" t="str">
        <f t="shared" si="82"/>
        <v>Error?</v>
      </c>
    </row>
    <row r="5355" spans="1:4" x14ac:dyDescent="0.2">
      <c r="A5355" s="5">
        <v>5294</v>
      </c>
      <c r="B5355" s="138">
        <f>'Revenues 9-14'!D108</f>
        <v>61600</v>
      </c>
      <c r="C5355" s="2" t="s">
        <v>594</v>
      </c>
      <c r="D5355" s="2" t="str">
        <f t="shared" si="82"/>
        <v>Error?</v>
      </c>
    </row>
    <row r="5356" spans="1:4" x14ac:dyDescent="0.2">
      <c r="A5356" s="5">
        <v>5295</v>
      </c>
      <c r="B5356" s="138">
        <f>'Revenues 9-14'!D109</f>
        <v>380747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380747</v>
      </c>
      <c r="C5508" s="2" t="s">
        <v>594</v>
      </c>
      <c r="D5508" s="2" t="str">
        <f t="shared" si="85"/>
        <v>Error?</v>
      </c>
    </row>
    <row r="5509" spans="1:4" x14ac:dyDescent="0.2">
      <c r="A5509" s="5">
        <v>5448</v>
      </c>
      <c r="B5509" s="138">
        <f>'Revenues 9-14'!E5</f>
        <v>146206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146206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260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260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20687</v>
      </c>
      <c r="C5526" s="2" t="s">
        <v>594</v>
      </c>
      <c r="D5526" s="2" t="str">
        <f t="shared" si="85"/>
        <v>Error?</v>
      </c>
    </row>
    <row r="5527" spans="1:4" x14ac:dyDescent="0.2">
      <c r="A5527" s="5">
        <v>5466</v>
      </c>
      <c r="B5527" s="138">
        <f>'Revenues 9-14'!E109</f>
        <v>167153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167153</v>
      </c>
      <c r="C5552" s="2" t="s">
        <v>594</v>
      </c>
      <c r="D5552" s="2" t="str">
        <f t="shared" si="85"/>
        <v>Error?</v>
      </c>
    </row>
    <row r="5553" spans="1:4" x14ac:dyDescent="0.2">
      <c r="A5553" s="5">
        <v>5492</v>
      </c>
      <c r="B5553" s="138">
        <f>'Revenues 9-14'!F5</f>
        <v>115522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115522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1450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1450</v>
      </c>
      <c r="C5579" s="2" t="s">
        <v>594</v>
      </c>
      <c r="D5579" s="2" t="str">
        <f t="shared" si="86"/>
        <v>Error?</v>
      </c>
    </row>
    <row r="5580" spans="1:4" x14ac:dyDescent="0.2">
      <c r="A5580" s="5">
        <v>5519</v>
      </c>
      <c r="B5580" s="138">
        <f>'Revenues 9-14'!F65</f>
        <v>681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681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19584</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122</v>
      </c>
      <c r="D5586" s="2" t="str">
        <f t="shared" si="86"/>
        <v>Error?</v>
      </c>
    </row>
    <row r="5587" spans="1:4" x14ac:dyDescent="0.2">
      <c r="A5587" s="5">
        <v>5526</v>
      </c>
      <c r="B5587" s="138">
        <f>'Revenues 9-14'!F108</f>
        <v>48673</v>
      </c>
      <c r="C5587" s="2" t="s">
        <v>594</v>
      </c>
      <c r="D5587" s="2" t="str">
        <f t="shared" si="86"/>
        <v>Error?</v>
      </c>
    </row>
    <row r="5588" spans="1:4" x14ac:dyDescent="0.2">
      <c r="A5588" s="5">
        <v>5527</v>
      </c>
      <c r="B5588" s="138">
        <f>'Revenues 9-14'!F109</f>
        <v>166326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140770</v>
      </c>
      <c r="D5615" s="2" t="str">
        <f t="shared" si="86"/>
        <v>Error?</v>
      </c>
    </row>
    <row r="5616" spans="1:4" x14ac:dyDescent="0.2">
      <c r="A5616" s="10">
        <v>5555</v>
      </c>
      <c r="D5616" s="2" t="str">
        <f t="shared" si="86"/>
        <v>OK</v>
      </c>
    </row>
    <row r="5617" spans="1:4" x14ac:dyDescent="0.2">
      <c r="A5617" s="5">
        <v>5556</v>
      </c>
      <c r="B5617" s="138">
        <f>'Revenues 9-14'!F152</f>
        <v>82719</v>
      </c>
      <c r="D5617" s="2" t="str">
        <f t="shared" si="86"/>
        <v>Error?</v>
      </c>
    </row>
    <row r="5618" spans="1:4" x14ac:dyDescent="0.2">
      <c r="A5618" s="5">
        <v>5557</v>
      </c>
      <c r="B5618" s="138">
        <f>'Revenues 9-14'!F154</f>
        <v>223489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17687</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241176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241176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2621</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2621</v>
      </c>
      <c r="C5719" s="2" t="s">
        <v>594</v>
      </c>
      <c r="D5719" s="2" t="str">
        <f t="shared" si="88"/>
        <v>Error?</v>
      </c>
    </row>
    <row r="5720" spans="1:4" x14ac:dyDescent="0.2">
      <c r="A5720" s="5">
        <v>5659</v>
      </c>
      <c r="B5720" s="138">
        <f>'Revenues 9-14'!F275</f>
        <v>410123</v>
      </c>
      <c r="C5720" s="2" t="s">
        <v>594</v>
      </c>
      <c r="D5720" s="2" t="str">
        <f t="shared" si="88"/>
        <v>Error?</v>
      </c>
    </row>
    <row r="5721" spans="1:4" x14ac:dyDescent="0.2">
      <c r="A5721" s="5">
        <v>5660</v>
      </c>
      <c r="B5721" s="138">
        <f>'Revenues 9-14'!G5</f>
        <v>37576</v>
      </c>
      <c r="D5721" s="2" t="str">
        <f t="shared" si="88"/>
        <v>Error?</v>
      </c>
    </row>
    <row r="5722" spans="1:4" x14ac:dyDescent="0.2">
      <c r="A5722" s="5">
        <v>5661</v>
      </c>
      <c r="B5722" s="138">
        <f>'Revenues 9-14'!G7</f>
        <v>0</v>
      </c>
      <c r="D5722" s="2" t="str">
        <f t="shared" si="88"/>
        <v>Error?</v>
      </c>
    </row>
    <row r="5723" spans="1:4" x14ac:dyDescent="0.2">
      <c r="A5723" s="5">
        <v>5662</v>
      </c>
      <c r="B5723" s="138">
        <f>'Revenues 9-14'!G8</f>
        <v>127105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164681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17046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17046</v>
      </c>
      <c r="C5730" s="2" t="s">
        <v>594</v>
      </c>
      <c r="D5730" s="2" t="str">
        <f t="shared" si="88"/>
        <v>Error?</v>
      </c>
    </row>
    <row r="5731" spans="1:4" x14ac:dyDescent="0.2">
      <c r="A5731" s="5">
        <v>5670</v>
      </c>
      <c r="B5731" s="138">
        <f>'Revenues 9-14'!G65</f>
        <v>1001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1001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4742</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4742</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8409</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8409</v>
      </c>
      <c r="C5869" s="2" t="s">
        <v>594</v>
      </c>
      <c r="D5869" s="2" t="str">
        <f t="shared" si="90"/>
        <v>Error?</v>
      </c>
    </row>
    <row r="5870" spans="1:4" x14ac:dyDescent="0.2">
      <c r="A5870" s="5">
        <v>5809</v>
      </c>
      <c r="B5870" s="138">
        <f>'Revenues 9-14'!G275</f>
        <v>191137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1889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1889</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430</v>
      </c>
      <c r="D5885" s="2" t="str">
        <f t="shared" si="90"/>
        <v>Error?</v>
      </c>
    </row>
    <row r="5886" spans="1:4" x14ac:dyDescent="0.2">
      <c r="A5886" s="5">
        <v>5825</v>
      </c>
      <c r="B5886" s="138">
        <f>'Revenues 9-14'!H108</f>
        <v>164348</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166237</v>
      </c>
      <c r="C5915" s="2" t="s">
        <v>594</v>
      </c>
      <c r="D5915" s="2" t="str">
        <f t="shared" si="91"/>
        <v>Error?</v>
      </c>
    </row>
    <row r="5916" spans="1:4" x14ac:dyDescent="0.2">
      <c r="A5916" s="5">
        <v>5855</v>
      </c>
      <c r="B5916" s="138">
        <f>'Revenues 9-14'!I5</f>
        <v>28889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28889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456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456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29345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28889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28889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834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834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300</v>
      </c>
      <c r="D5998" s="2" t="str">
        <f t="shared" si="92"/>
        <v>Error?</v>
      </c>
    </row>
    <row r="5999" spans="1:4" x14ac:dyDescent="0.2">
      <c r="A5999" s="5">
        <v>5938</v>
      </c>
      <c r="B5999" s="138">
        <f>'Revenues 9-14'!K108</f>
        <v>300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30023</v>
      </c>
      <c r="C6023" s="2" t="s">
        <v>594</v>
      </c>
      <c r="D6023" s="2" t="str">
        <f t="shared" si="93"/>
        <v>Error?</v>
      </c>
    </row>
    <row r="6024" spans="1:5" x14ac:dyDescent="0.2">
      <c r="A6024" s="5">
        <v>5963</v>
      </c>
      <c r="B6024" s="138">
        <f>'Revenues 9-14'!G109</f>
        <v>182728</v>
      </c>
      <c r="C6024" s="2" t="s">
        <v>594</v>
      </c>
      <c r="D6024" s="2" t="str">
        <f t="shared" si="93"/>
        <v>Error?</v>
      </c>
    </row>
    <row r="6025" spans="1:5" x14ac:dyDescent="0.2">
      <c r="A6025" s="5">
        <v>5964</v>
      </c>
      <c r="B6025" s="138">
        <f>'Revenues 9-14'!H109</f>
        <v>166237</v>
      </c>
      <c r="C6025" s="2" t="s">
        <v>594</v>
      </c>
      <c r="D6025" s="2" t="str">
        <f t="shared" si="93"/>
        <v>Error?</v>
      </c>
    </row>
    <row r="6026" spans="1:5" x14ac:dyDescent="0.2">
      <c r="A6026" s="5">
        <v>5965</v>
      </c>
      <c r="B6026" s="138">
        <f>'Revenues 9-14'!I109</f>
        <v>29345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30023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112878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19792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432.03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3600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212288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212288</v>
      </c>
      <c r="D6215" s="2" t="str">
        <f t="shared" si="96"/>
        <v>Error?</v>
      </c>
      <c r="E6215" s="2" t="s">
        <v>199</v>
      </c>
    </row>
    <row r="6216" spans="1:5" x14ac:dyDescent="0.2">
      <c r="A6216">
        <v>6155</v>
      </c>
      <c r="B6216" s="138">
        <f>'Assets-Liab 5-6'!J41</f>
        <v>212288</v>
      </c>
      <c r="D6216" s="2" t="str">
        <f t="shared" si="96"/>
        <v>Error?</v>
      </c>
      <c r="E6216" s="2" t="s">
        <v>199</v>
      </c>
    </row>
    <row r="6217" spans="1:5" x14ac:dyDescent="0.2">
      <c r="A6217">
        <v>6156</v>
      </c>
      <c r="B6217" s="138">
        <f>'Assets-Liab 5-6'!J4</f>
        <v>212288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407771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407771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407771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372617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372617</v>
      </c>
      <c r="D6229" s="2" t="str">
        <f t="shared" si="96"/>
        <v>Error?</v>
      </c>
      <c r="E6229" s="2" t="s">
        <v>199</v>
      </c>
    </row>
    <row r="6230" spans="1:5" x14ac:dyDescent="0.2">
      <c r="A6230">
        <v>6169</v>
      </c>
      <c r="B6230" s="138">
        <f>'Acct Summary 7-8'!J20</f>
        <v>35154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35154</v>
      </c>
      <c r="D6263" s="2" t="str">
        <f t="shared" si="96"/>
        <v>Error?</v>
      </c>
      <c r="E6263" s="2" t="s">
        <v>199</v>
      </c>
    </row>
    <row r="6264" spans="1:5" x14ac:dyDescent="0.2">
      <c r="A6264">
        <v>6203</v>
      </c>
      <c r="B6264" s="138">
        <f>'Acct Summary 7-8'!J79</f>
        <v>177134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212288</v>
      </c>
      <c r="D6266" s="2" t="str">
        <f t="shared" si="96"/>
        <v>Error?</v>
      </c>
      <c r="E6266" s="2" t="s">
        <v>199</v>
      </c>
    </row>
    <row r="6267" spans="1:5" x14ac:dyDescent="0.2">
      <c r="A6267">
        <v>6206</v>
      </c>
      <c r="B6267" s="138">
        <f>'Acct Summary 7-8'!C82</f>
        <v>-31722</v>
      </c>
      <c r="D6267" s="2" t="str">
        <f t="shared" si="96"/>
        <v>Error?</v>
      </c>
      <c r="E6267" s="2" t="s">
        <v>199</v>
      </c>
    </row>
    <row r="6268" spans="1:5" x14ac:dyDescent="0.2">
      <c r="A6268">
        <v>6207</v>
      </c>
      <c r="B6268" s="138">
        <f>'Acct Summary 7-8'!D82</f>
        <v>-18047</v>
      </c>
      <c r="D6268" s="2" t="str">
        <f t="shared" si="96"/>
        <v>Error?</v>
      </c>
      <c r="E6268" s="2" t="s">
        <v>199</v>
      </c>
    </row>
    <row r="6269" spans="1:5" x14ac:dyDescent="0.2">
      <c r="A6269">
        <v>6208</v>
      </c>
      <c r="B6269" s="138">
        <f>'Acct Summary 7-8'!E82</f>
        <v>-4853</v>
      </c>
      <c r="D6269" s="2" t="str">
        <f t="shared" si="96"/>
        <v>Error?</v>
      </c>
      <c r="E6269" s="2" t="s">
        <v>199</v>
      </c>
    </row>
    <row r="6270" spans="1:5" x14ac:dyDescent="0.2">
      <c r="A6270">
        <v>6209</v>
      </c>
      <c r="B6270" s="138">
        <f>'Acct Summary 7-8'!F82</f>
        <v>132001</v>
      </c>
      <c r="D6270" s="2" t="str">
        <f t="shared" si="96"/>
        <v>Error?</v>
      </c>
      <c r="E6270" s="2" t="s">
        <v>199</v>
      </c>
    </row>
    <row r="6271" spans="1:5" x14ac:dyDescent="0.2">
      <c r="A6271">
        <v>6210</v>
      </c>
      <c r="B6271" s="138">
        <f>'Acct Summary 7-8'!G82</f>
        <v>18466</v>
      </c>
      <c r="D6271" s="2" t="str">
        <f t="shared" ref="D6271:D6334" si="97">IF(ISBLANK(B6271),"OK",IF(A6271-B6271=0,"OK","Error?"))</f>
        <v>Error?</v>
      </c>
      <c r="E6271" s="2" t="s">
        <v>199</v>
      </c>
    </row>
    <row r="6272" spans="1:5" x14ac:dyDescent="0.2">
      <c r="A6272">
        <v>6211</v>
      </c>
      <c r="B6272" s="138">
        <f>'Acct Summary 7-8'!H82</f>
        <v>559152</v>
      </c>
      <c r="D6272" s="2" t="str">
        <f t="shared" si="97"/>
        <v>Error?</v>
      </c>
      <c r="E6272" s="2" t="s">
        <v>199</v>
      </c>
    </row>
    <row r="6273" spans="1:5" x14ac:dyDescent="0.2">
      <c r="A6273">
        <v>6212</v>
      </c>
      <c r="B6273" s="138">
        <f>'Acct Summary 7-8'!I82</f>
        <v>890</v>
      </c>
      <c r="D6273" s="2" t="str">
        <f t="shared" si="97"/>
        <v>Error?</v>
      </c>
      <c r="E6273" s="2" t="s">
        <v>199</v>
      </c>
    </row>
    <row r="6274" spans="1:5" x14ac:dyDescent="0.2">
      <c r="A6274">
        <v>6213</v>
      </c>
      <c r="B6274" s="138">
        <f>'Acct Summary 7-8'!J82</f>
        <v>35154</v>
      </c>
      <c r="D6274" s="2" t="str">
        <f t="shared" si="97"/>
        <v>Error?</v>
      </c>
      <c r="E6274" s="2" t="s">
        <v>199</v>
      </c>
    </row>
    <row r="6275" spans="1:5" x14ac:dyDescent="0.2">
      <c r="A6275">
        <v>6214</v>
      </c>
      <c r="B6275" s="138">
        <f>'Acct Summary 7-8'!K82</f>
        <v>9266</v>
      </c>
      <c r="D6275" s="2" t="str">
        <f t="shared" si="97"/>
        <v>Error?</v>
      </c>
      <c r="E6275" s="2" t="s">
        <v>199</v>
      </c>
    </row>
    <row r="6276" spans="1:5" x14ac:dyDescent="0.2">
      <c r="A6276">
        <v>6215</v>
      </c>
      <c r="B6276" s="138">
        <f>'Acct Summary 7-8'!C83</f>
        <v>-5.0863355839857877E-2</v>
      </c>
      <c r="D6276" s="2" t="str">
        <f t="shared" si="97"/>
        <v>Error?</v>
      </c>
      <c r="E6276" s="2" t="s">
        <v>199</v>
      </c>
    </row>
    <row r="6277" spans="1:5" x14ac:dyDescent="0.2">
      <c r="A6277">
        <v>6216</v>
      </c>
      <c r="B6277" s="138">
        <f>'Acct Summary 7-8'!D83</f>
        <v>-4.6510009690122263E-2</v>
      </c>
      <c r="D6277" s="2" t="str">
        <f t="shared" si="97"/>
        <v>Error?</v>
      </c>
      <c r="E6277" s="2" t="s">
        <v>199</v>
      </c>
    </row>
    <row r="6278" spans="1:5" x14ac:dyDescent="0.2">
      <c r="A6278">
        <v>6217</v>
      </c>
      <c r="B6278" s="138">
        <f>'Acct Summary 7-8'!E83</f>
        <v>-5.6640328660963343E-2</v>
      </c>
      <c r="D6278" s="2" t="str">
        <f t="shared" si="97"/>
        <v>Error?</v>
      </c>
      <c r="E6278" s="2" t="s">
        <v>199</v>
      </c>
    </row>
    <row r="6279" spans="1:5" x14ac:dyDescent="0.2">
      <c r="A6279">
        <v>6218</v>
      </c>
      <c r="B6279" s="138">
        <f>'Acct Summary 7-8'!F83</f>
        <v>0.41311763748576008</v>
      </c>
      <c r="D6279" s="2" t="str">
        <f t="shared" si="97"/>
        <v>Error?</v>
      </c>
      <c r="E6279" s="2" t="s">
        <v>199</v>
      </c>
    </row>
    <row r="6280" spans="1:5" x14ac:dyDescent="0.2">
      <c r="A6280">
        <v>6219</v>
      </c>
      <c r="B6280" s="138">
        <f>'Acct Summary 7-8'!G83</f>
        <v>5.9454586432274061E-2</v>
      </c>
      <c r="D6280" s="2" t="str">
        <f t="shared" si="97"/>
        <v>Error?</v>
      </c>
      <c r="E6280" s="2" t="s">
        <v>199</v>
      </c>
    </row>
    <row r="6281" spans="1:5" x14ac:dyDescent="0.2">
      <c r="A6281">
        <v>6220</v>
      </c>
      <c r="B6281" s="138">
        <f>'Acct Summary 7-8'!H83</f>
        <v>0.71386422393156934</v>
      </c>
      <c r="D6281" s="2" t="str">
        <f t="shared" si="97"/>
        <v>Error?</v>
      </c>
      <c r="E6281" s="2" t="s">
        <v>199</v>
      </c>
    </row>
    <row r="6282" spans="1:5" x14ac:dyDescent="0.2">
      <c r="A6282">
        <v>6221</v>
      </c>
      <c r="B6282" s="138">
        <f>'Acct Summary 7-8'!I83</f>
        <v>7.310602015754758E-3</v>
      </c>
      <c r="D6282" s="2" t="str">
        <f t="shared" si="97"/>
        <v>Error?</v>
      </c>
      <c r="E6282" s="2" t="s">
        <v>199</v>
      </c>
    </row>
    <row r="6283" spans="1:5" x14ac:dyDescent="0.2">
      <c r="A6283">
        <v>6222</v>
      </c>
      <c r="B6283" s="138">
        <f>'Acct Summary 7-8'!J83</f>
        <v>0.16559579439252337</v>
      </c>
      <c r="D6283" s="2" t="str">
        <f t="shared" si="97"/>
        <v>Error?</v>
      </c>
      <c r="E6283" s="2" t="s">
        <v>199</v>
      </c>
    </row>
    <row r="6284" spans="1:5" x14ac:dyDescent="0.2">
      <c r="A6284">
        <v>6223</v>
      </c>
      <c r="B6284" s="138">
        <f>'Acct Summary 7-8'!K83</f>
        <v>3.7444284149825632E-2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395631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395631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921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921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4591</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60000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28967</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1600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6628</v>
      </c>
      <c r="D6350" s="2" t="str">
        <f t="shared" si="98"/>
        <v>Error?</v>
      </c>
      <c r="E6350" s="2" t="s">
        <v>199</v>
      </c>
    </row>
    <row r="6351" spans="1:5" x14ac:dyDescent="0.2">
      <c r="A6351">
        <v>6290</v>
      </c>
      <c r="B6351" s="138">
        <f>'Revenues 9-14'!J108</f>
        <v>11219</v>
      </c>
      <c r="D6351" s="2" t="str">
        <f t="shared" si="98"/>
        <v>Error?</v>
      </c>
      <c r="E6351" s="2" t="s">
        <v>199</v>
      </c>
    </row>
    <row r="6352" spans="1:5" x14ac:dyDescent="0.2">
      <c r="A6352">
        <v>6291</v>
      </c>
      <c r="B6352" s="138">
        <f>'Revenues 9-14'!J109</f>
        <v>407771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19588</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46453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62727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16275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1254</v>
      </c>
      <c r="D6981" s="2" t="str">
        <f t="shared" si="108"/>
        <v>Error?</v>
      </c>
    </row>
    <row r="6982" spans="1:4" x14ac:dyDescent="0.2">
      <c r="A6982">
        <v>6921</v>
      </c>
      <c r="B6982" s="138">
        <f>'Expenditures 15-22'!K85</f>
        <v>1254</v>
      </c>
      <c r="D6982" s="2" t="str">
        <f t="shared" si="108"/>
        <v>Error?</v>
      </c>
    </row>
    <row r="6983" spans="1:4" x14ac:dyDescent="0.2">
      <c r="A6983">
        <v>6922</v>
      </c>
      <c r="B6983" s="138">
        <f>'Expenditures 15-22'!H86</f>
        <v>226174</v>
      </c>
      <c r="D6983" s="2" t="str">
        <f t="shared" si="108"/>
        <v>Error?</v>
      </c>
    </row>
    <row r="6984" spans="1:4" x14ac:dyDescent="0.2">
      <c r="A6984">
        <v>6923</v>
      </c>
      <c r="B6984" s="138">
        <f>'Expenditures 15-22'!K86</f>
        <v>226174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227428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372617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407771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2619</v>
      </c>
      <c r="D7073" s="2" t="str">
        <f t="shared" si="109"/>
        <v>Error?</v>
      </c>
    </row>
    <row r="7074" spans="1:4" x14ac:dyDescent="0.2">
      <c r="A7074">
        <v>7013</v>
      </c>
      <c r="B7074" s="138">
        <f>'Expenditures 15-22'!K216</f>
        <v>2619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45651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45651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30391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30391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270448</v>
      </c>
      <c r="D7172" s="2" t="str">
        <f t="shared" si="111"/>
        <v>Error?</v>
      </c>
    </row>
    <row r="7173" spans="1:4" x14ac:dyDescent="0.2">
      <c r="A7173">
        <v>7112</v>
      </c>
      <c r="B7173" s="138">
        <f>'Expenditures 15-22'!D325</f>
        <v>7235</v>
      </c>
      <c r="D7173" s="2" t="str">
        <f t="shared" si="111"/>
        <v>Error?</v>
      </c>
    </row>
    <row r="7174" spans="1:4" x14ac:dyDescent="0.2">
      <c r="A7174">
        <v>7113</v>
      </c>
      <c r="B7174" s="138">
        <f>'Expenditures 15-22'!E325</f>
        <v>10024</v>
      </c>
      <c r="D7174" s="2" t="str">
        <f t="shared" si="111"/>
        <v>Error?</v>
      </c>
    </row>
    <row r="7175" spans="1:4" x14ac:dyDescent="0.2">
      <c r="A7175">
        <v>7114</v>
      </c>
      <c r="B7175" s="138">
        <f>'Expenditures 15-22'!F325</f>
        <v>803</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288510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8065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8065</v>
      </c>
      <c r="D7198" s="2" t="str">
        <f t="shared" si="111"/>
        <v>Error?</v>
      </c>
    </row>
    <row r="7199" spans="1:4" x14ac:dyDescent="0.2">
      <c r="A7199">
        <v>7138</v>
      </c>
      <c r="B7199" s="138">
        <f>'Expenditures 15-22'!C330</f>
        <v>270448</v>
      </c>
      <c r="D7199" s="2" t="str">
        <f t="shared" si="111"/>
        <v>Error?</v>
      </c>
    </row>
    <row r="7200" spans="1:4" x14ac:dyDescent="0.2">
      <c r="A7200">
        <v>7139</v>
      </c>
      <c r="B7200" s="138">
        <f>'Expenditures 15-22'!D330</f>
        <v>7235</v>
      </c>
      <c r="D7200" s="2" t="str">
        <f t="shared" si="111"/>
        <v>Error?</v>
      </c>
    </row>
    <row r="7201" spans="1:4" x14ac:dyDescent="0.2">
      <c r="A7201">
        <v>7140</v>
      </c>
      <c r="B7201" s="138">
        <f>'Expenditures 15-22'!E330</f>
        <v>94131</v>
      </c>
      <c r="D7201" s="2" t="str">
        <f t="shared" si="111"/>
        <v>Error?</v>
      </c>
    </row>
    <row r="7202" spans="1:4" x14ac:dyDescent="0.2">
      <c r="A7202">
        <v>7141</v>
      </c>
      <c r="B7202" s="138">
        <f>'Expenditures 15-22'!F330</f>
        <v>803</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372617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270448</v>
      </c>
      <c r="D7216" s="2" t="str">
        <f t="shared" si="111"/>
        <v>Error?</v>
      </c>
    </row>
    <row r="7217" spans="1:4" x14ac:dyDescent="0.2">
      <c r="A7217">
        <v>7156</v>
      </c>
      <c r="B7217" s="138">
        <f>'Expenditures 15-22'!D342</f>
        <v>7235</v>
      </c>
      <c r="D7217" s="2" t="str">
        <f t="shared" si="111"/>
        <v>Error?</v>
      </c>
    </row>
    <row r="7218" spans="1:4" x14ac:dyDescent="0.2">
      <c r="A7218">
        <v>7157</v>
      </c>
      <c r="B7218" s="138">
        <f>'Expenditures 15-22'!E342</f>
        <v>94131</v>
      </c>
      <c r="D7218" s="2" t="str">
        <f t="shared" si="111"/>
        <v>Error?</v>
      </c>
    </row>
    <row r="7219" spans="1:4" x14ac:dyDescent="0.2">
      <c r="A7219">
        <v>7158</v>
      </c>
      <c r="B7219" s="138">
        <f>'Expenditures 15-22'!F342</f>
        <v>803</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372617</v>
      </c>
      <c r="D7224" s="2" t="str">
        <f t="shared" si="111"/>
        <v>Error?</v>
      </c>
    </row>
    <row r="7225" spans="1:4" x14ac:dyDescent="0.2">
      <c r="A7225">
        <v>7164</v>
      </c>
      <c r="B7225" s="138">
        <f>'Expenditures 15-22'!K343</f>
        <v>35154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5675</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8735</v>
      </c>
      <c r="D7248" s="2" t="str">
        <f t="shared" si="112"/>
        <v>Error?</v>
      </c>
    </row>
    <row r="7249" spans="1:4" x14ac:dyDescent="0.2">
      <c r="A7249">
        <f t="shared" si="113"/>
        <v>7188</v>
      </c>
      <c r="B7249" s="138">
        <f>'Expenditures 15-22'!G7</f>
        <v>1864</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13456</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2819</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99913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224123</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1428</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1600</v>
      </c>
      <c r="D7712" s="2" t="str">
        <f t="shared" si="126"/>
        <v>Error?</v>
      </c>
      <c r="E7712" s="2" t="s">
        <v>881</v>
      </c>
    </row>
    <row r="7713" spans="1:6" x14ac:dyDescent="0.2">
      <c r="A7713">
        <v>7652</v>
      </c>
      <c r="B7713" s="138">
        <f>'Rest Tax Levies-Tort Im 25'!J8</f>
        <v>163918</v>
      </c>
      <c r="D7713" s="2" t="str">
        <f t="shared" si="126"/>
        <v>Error?</v>
      </c>
      <c r="E7713" s="2" t="s">
        <v>881</v>
      </c>
    </row>
    <row r="7714" spans="1:6" x14ac:dyDescent="0.2">
      <c r="A7714">
        <v>7653</v>
      </c>
      <c r="B7714" s="138">
        <f>'Rest Tax Levies-Tort Im 25'!K9</f>
        <v>7677.17</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165346</v>
      </c>
      <c r="D7718" s="2" t="str">
        <f t="shared" si="126"/>
        <v>Error?</v>
      </c>
      <c r="E7718" s="2" t="s">
        <v>881</v>
      </c>
    </row>
    <row r="7719" spans="1:6" x14ac:dyDescent="0.2">
      <c r="A7719">
        <v>7658</v>
      </c>
      <c r="B7719" s="138">
        <f>'Rest Tax Levies-Tort Im 25'!K12</f>
        <v>9277.17</v>
      </c>
      <c r="D7719" s="2" t="str">
        <f t="shared" si="126"/>
        <v>Error?</v>
      </c>
      <c r="E7719" s="2" t="s">
        <v>881</v>
      </c>
    </row>
    <row r="7720" spans="1:6" x14ac:dyDescent="0.2">
      <c r="A7720">
        <v>7659</v>
      </c>
      <c r="B7720" s="138">
        <f>'Rest Tax Levies-Tort Im 25'!H14</f>
        <v>23140</v>
      </c>
      <c r="D7720" s="2" t="str">
        <f t="shared" si="126"/>
        <v>Error?</v>
      </c>
      <c r="E7720" s="2" t="s">
        <v>881</v>
      </c>
    </row>
    <row r="7721" spans="1:6" x14ac:dyDescent="0.2">
      <c r="A7721">
        <v>7660</v>
      </c>
      <c r="B7721" s="138">
        <f>'Rest Tax Levies-Tort Im 25'!K14</f>
        <v>9277</v>
      </c>
      <c r="D7721" s="2" t="str">
        <f t="shared" si="126"/>
        <v>Error?</v>
      </c>
      <c r="E7721" s="2" t="s">
        <v>881</v>
      </c>
    </row>
    <row r="7722" spans="1:6" x14ac:dyDescent="0.2">
      <c r="A7722">
        <v>7661</v>
      </c>
      <c r="B7722" s="138">
        <f>'Rest Tax Levies-Tort Im 25'!J15</f>
        <v>20022</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20687</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20022</v>
      </c>
      <c r="D7730" s="2" t="str">
        <f t="shared" si="126"/>
        <v>Error?</v>
      </c>
      <c r="E7730" s="2" t="s">
        <v>881</v>
      </c>
    </row>
    <row r="7731" spans="1:6" x14ac:dyDescent="0.2">
      <c r="A7731">
        <v>7670</v>
      </c>
      <c r="B7731" s="138">
        <f>'Revenues 9-14'!H103</f>
        <v>163918</v>
      </c>
      <c r="D7731" s="2" t="str">
        <f t="shared" si="126"/>
        <v>Error?</v>
      </c>
      <c r="E7731" s="2" t="s">
        <v>881</v>
      </c>
    </row>
    <row r="7732" spans="1:6" x14ac:dyDescent="0.2">
      <c r="A7732">
        <v>7671</v>
      </c>
      <c r="B7732" s="138">
        <f>'Rest Tax Levies-Tort Im 25'!J24</f>
        <v>369447</v>
      </c>
      <c r="D7732" s="2" t="str">
        <f t="shared" si="126"/>
        <v>Error?</v>
      </c>
      <c r="E7732" s="2" t="s">
        <v>881</v>
      </c>
    </row>
    <row r="7733" spans="1:6" x14ac:dyDescent="0.2">
      <c r="A7733">
        <v>7672</v>
      </c>
      <c r="B7733" s="138">
        <f>'Rest Tax Levies-Tort Im 25'!K24</f>
        <v>0.17000000000007276</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369447</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0.17000000000007276</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28000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5" t="s">
        <v>1253</v>
      </c>
      <c r="B2" s="2395"/>
      <c r="C2" s="2395"/>
      <c r="D2" s="2395"/>
      <c r="E2" s="2395"/>
      <c r="F2" s="2395"/>
      <c r="G2" s="2395"/>
      <c r="H2" s="2395"/>
      <c r="I2" s="2395"/>
      <c r="J2" s="2395"/>
      <c r="K2" s="2395"/>
      <c r="L2" s="2395"/>
    </row>
    <row r="3" spans="1:29" ht="13.5" customHeight="1" x14ac:dyDescent="0.2">
      <c r="A3" s="2426" t="s">
        <v>1252</v>
      </c>
      <c r="B3" s="2426"/>
      <c r="C3" s="2426"/>
      <c r="D3" s="2426"/>
      <c r="E3" s="2426"/>
      <c r="F3" s="2426"/>
      <c r="G3" s="2426"/>
      <c r="H3" s="2426"/>
      <c r="I3" s="2426"/>
      <c r="J3" s="2426"/>
      <c r="K3" s="2426"/>
      <c r="L3" s="2426"/>
    </row>
    <row r="4" spans="1:29" ht="13.5" customHeight="1" x14ac:dyDescent="0.2">
      <c r="A4" s="2395" t="s">
        <v>1799</v>
      </c>
      <c r="B4" s="2416"/>
      <c r="C4" s="2416"/>
      <c r="D4" s="2416"/>
      <c r="E4" s="2416"/>
      <c r="F4" s="2416"/>
      <c r="G4" s="2416"/>
      <c r="H4" s="2416"/>
      <c r="I4" s="2416"/>
      <c r="J4" s="2416"/>
      <c r="K4" s="2416"/>
      <c r="L4" s="2416"/>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17" t="str">
        <f>COVER!A17</f>
        <v>Cambridge Community Unit School District No. 227</v>
      </c>
      <c r="B7" s="2418"/>
      <c r="C7" s="2418"/>
      <c r="D7" s="2419"/>
      <c r="E7" s="2420" t="str">
        <f>COVER!A13</f>
        <v>28-037-2270-26</v>
      </c>
      <c r="F7" s="2421"/>
      <c r="G7" s="2427" t="str">
        <f>COVER!T23</f>
        <v>066-005027</v>
      </c>
      <c r="H7" s="2428"/>
      <c r="I7" s="2428"/>
      <c r="J7" s="2428"/>
      <c r="K7" s="2428"/>
      <c r="L7" s="2429"/>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30"/>
      <c r="B9" s="2431"/>
      <c r="C9" s="2431"/>
      <c r="D9" s="2431"/>
      <c r="E9" s="2431"/>
      <c r="F9" s="2432"/>
      <c r="G9" s="2401" t="str">
        <f>COVER!T13</f>
        <v>Gorenz and Associates, Ltd.</v>
      </c>
      <c r="H9" s="2433"/>
      <c r="I9" s="2433"/>
      <c r="J9" s="2433"/>
      <c r="K9" s="2433"/>
      <c r="L9" s="2434"/>
    </row>
    <row r="10" spans="1:29" ht="13.5" customHeight="1" x14ac:dyDescent="0.2">
      <c r="A10" s="2407" t="str">
        <f>COVER!A38</f>
        <v>Thomas Akers</v>
      </c>
      <c r="B10" s="2408"/>
      <c r="C10" s="2408"/>
      <c r="D10" s="2408"/>
      <c r="E10" s="2408"/>
      <c r="F10" s="2409"/>
      <c r="G10" s="2401" t="str">
        <f>COVER!T17</f>
        <v>4200 N Knoxville Ave</v>
      </c>
      <c r="H10" s="2402"/>
      <c r="I10" s="2402"/>
      <c r="J10" s="2402"/>
      <c r="K10" s="2402"/>
      <c r="L10" s="2403"/>
    </row>
    <row r="11" spans="1:29" ht="13.5" customHeight="1" x14ac:dyDescent="0.2">
      <c r="A11" s="1183" t="s">
        <v>1599</v>
      </c>
      <c r="B11" s="1184"/>
      <c r="C11" s="1185"/>
      <c r="D11" s="1190"/>
      <c r="E11" s="1185"/>
      <c r="F11" s="1189"/>
      <c r="G11" s="2401" t="str">
        <f>COVER!T19</f>
        <v>Peoria</v>
      </c>
      <c r="H11" s="2402"/>
      <c r="I11" s="2402"/>
      <c r="J11" s="2402"/>
      <c r="K11" s="2402"/>
      <c r="L11" s="2403"/>
    </row>
    <row r="12" spans="1:29" ht="13.5" customHeight="1" x14ac:dyDescent="0.2">
      <c r="A12" s="2410" t="s">
        <v>1598</v>
      </c>
      <c r="B12" s="2411"/>
      <c r="C12" s="2411"/>
      <c r="D12" s="2411"/>
      <c r="E12" s="2411"/>
      <c r="F12" s="2412"/>
      <c r="G12" s="2404"/>
      <c r="H12" s="2405"/>
      <c r="I12" s="2405"/>
      <c r="J12" s="2405"/>
      <c r="K12" s="2405"/>
      <c r="L12" s="2406"/>
    </row>
    <row r="13" spans="1:29" ht="13.5" customHeight="1" x14ac:dyDescent="0.2">
      <c r="A13" s="2401"/>
      <c r="B13" s="2402"/>
      <c r="C13" s="2402"/>
      <c r="D13" s="2402"/>
      <c r="E13" s="2402"/>
      <c r="F13" s="2403"/>
      <c r="G13" s="2396" t="s">
        <v>1600</v>
      </c>
      <c r="H13" s="2397"/>
      <c r="I13" s="2413" t="str">
        <f>COVER!T25</f>
        <v>tpeffer@gorenzcpa.com</v>
      </c>
      <c r="J13" s="2414"/>
      <c r="K13" s="2414"/>
      <c r="L13" s="2415"/>
    </row>
    <row r="14" spans="1:29" ht="13.5" customHeight="1" x14ac:dyDescent="0.2">
      <c r="A14" s="2401" t="str">
        <f>COVER!A19</f>
        <v>300 South West Street</v>
      </c>
      <c r="B14" s="2402"/>
      <c r="C14" s="2402"/>
      <c r="D14" s="2402"/>
      <c r="E14" s="2402"/>
      <c r="F14" s="2403"/>
      <c r="G14" s="1194" t="s">
        <v>1247</v>
      </c>
      <c r="H14" s="1192"/>
      <c r="I14" s="1192"/>
      <c r="J14" s="1192"/>
      <c r="K14" s="1192"/>
      <c r="L14" s="1193"/>
    </row>
    <row r="15" spans="1:29" ht="13.5" customHeight="1" x14ac:dyDescent="0.2">
      <c r="A15" s="2401" t="str">
        <f>COVER!A21</f>
        <v>Cambridge</v>
      </c>
      <c r="B15" s="2402"/>
      <c r="C15" s="2402"/>
      <c r="D15" s="2402"/>
      <c r="E15" s="2402"/>
      <c r="F15" s="2403"/>
      <c r="G15" s="2398" t="str">
        <f>COVER!T15</f>
        <v>Thomas Peffer, CPA</v>
      </c>
      <c r="H15" s="2399"/>
      <c r="I15" s="2399"/>
      <c r="J15" s="2399"/>
      <c r="K15" s="2399"/>
      <c r="L15" s="2400"/>
    </row>
    <row r="16" spans="1:29" ht="12.2" customHeight="1" x14ac:dyDescent="0.2">
      <c r="A16" s="2423">
        <f>COVER!A25</f>
        <v>61238</v>
      </c>
      <c r="B16" s="2424"/>
      <c r="C16" s="2424"/>
      <c r="D16" s="2424"/>
      <c r="E16" s="2424"/>
      <c r="F16" s="2425"/>
      <c r="G16" s="2435"/>
      <c r="H16" s="2436"/>
      <c r="I16" s="2436"/>
      <c r="J16" s="2436"/>
      <c r="K16" s="2436"/>
      <c r="L16" s="2437"/>
    </row>
    <row r="17" spans="1:13" ht="12.2" customHeight="1" x14ac:dyDescent="0.2">
      <c r="A17" s="2438"/>
      <c r="B17" s="2424"/>
      <c r="C17" s="2424"/>
      <c r="D17" s="2424"/>
      <c r="E17" s="2424"/>
      <c r="F17" s="2425"/>
      <c r="G17" s="1194" t="s">
        <v>1246</v>
      </c>
      <c r="H17" s="1192"/>
      <c r="I17" s="1192"/>
      <c r="J17" s="1192"/>
      <c r="K17" s="1196" t="s">
        <v>1245</v>
      </c>
      <c r="L17" s="1189"/>
      <c r="M17" s="1182"/>
    </row>
    <row r="18" spans="1:13" ht="12.2" customHeight="1" x14ac:dyDescent="0.2">
      <c r="A18" s="2407"/>
      <c r="B18" s="2408"/>
      <c r="C18" s="2408"/>
      <c r="D18" s="2408"/>
      <c r="E18" s="2408"/>
      <c r="F18" s="2409"/>
      <c r="G18" s="2417" t="str">
        <f>COVER!T21</f>
        <v>309-685-7621</v>
      </c>
      <c r="H18" s="2418"/>
      <c r="I18" s="2418"/>
      <c r="J18" s="2418"/>
      <c r="K18" s="2417" t="str">
        <f>COVER!X21</f>
        <v>309-685-4758</v>
      </c>
      <c r="L18" s="2422"/>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39" t="str">
        <f>'Single Audit Cover'!A7</f>
        <v>Cambridge Community Unit School District No. 227</v>
      </c>
      <c r="B1" s="2416"/>
      <c r="C1" s="2416"/>
      <c r="D1" s="2416"/>
    </row>
    <row r="2" spans="1:11" s="1213" customFormat="1" ht="12.75" x14ac:dyDescent="0.2">
      <c r="A2" s="2440" t="str">
        <f>'Single Audit Cover'!E7</f>
        <v>28-037-2270-26</v>
      </c>
      <c r="B2" s="2441"/>
      <c r="C2" s="2441"/>
      <c r="D2" s="2441"/>
    </row>
    <row r="3" spans="1:11" s="1213" customFormat="1" ht="12.75" x14ac:dyDescent="0.2">
      <c r="A3" s="2439" t="s">
        <v>1593</v>
      </c>
      <c r="B3" s="2416"/>
      <c r="C3" s="2416"/>
      <c r="D3" s="2416"/>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3" t="str">
        <f>'Single Audit Cover'!A7</f>
        <v>Cambridge Community Unit School District No. 227</v>
      </c>
      <c r="B1" s="2443"/>
      <c r="C1" s="2443"/>
      <c r="D1" s="2443"/>
      <c r="E1" s="2443"/>
    </row>
    <row r="2" spans="1:5" x14ac:dyDescent="0.2">
      <c r="A2" s="2444" t="str">
        <f>'Single Audit Cover'!E7</f>
        <v>28-037-2270-26</v>
      </c>
      <c r="B2" s="2444"/>
      <c r="C2" s="2444"/>
      <c r="D2" s="2444"/>
      <c r="E2" s="2444"/>
    </row>
    <row r="3" spans="1:5" ht="4.5" customHeight="1" x14ac:dyDescent="0.2"/>
    <row r="4" spans="1:5" x14ac:dyDescent="0.2">
      <c r="A4" s="2443" t="s">
        <v>1307</v>
      </c>
      <c r="B4" s="2443"/>
      <c r="C4" s="2443"/>
      <c r="D4" s="2443"/>
      <c r="E4" s="2443"/>
    </row>
    <row r="5" spans="1:5" x14ac:dyDescent="0.2">
      <c r="A5" s="2446" t="str">
        <f>'Single Audit Cover'!A4</f>
        <v>Year Ending June 30, 2018</v>
      </c>
      <c r="B5" s="2446"/>
      <c r="C5" s="2446"/>
      <c r="D5" s="2446"/>
      <c r="E5" s="2446"/>
    </row>
    <row r="6" spans="1:5" x14ac:dyDescent="0.2">
      <c r="A6" s="2443" t="s">
        <v>1306</v>
      </c>
      <c r="B6" s="2443"/>
      <c r="C6" s="2443"/>
      <c r="D6" s="2443"/>
      <c r="E6" s="2443"/>
    </row>
    <row r="8" spans="1:5" x14ac:dyDescent="0.2">
      <c r="A8" s="1258" t="s">
        <v>1305</v>
      </c>
    </row>
    <row r="10" spans="1:5" x14ac:dyDescent="0.2">
      <c r="A10" s="1259" t="s">
        <v>1304</v>
      </c>
      <c r="B10" s="1260" t="s">
        <v>1303</v>
      </c>
      <c r="C10" s="1260"/>
      <c r="D10" s="1261">
        <f>SUM('Acct Summary 7-8'!C7:K7)</f>
        <v>366379</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19792</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-16174</v>
      </c>
    </row>
    <row r="19" spans="1:4" ht="13.5" thickBot="1" x14ac:dyDescent="0.25">
      <c r="A19" s="1263" t="s">
        <v>1297</v>
      </c>
      <c r="D19" s="1264">
        <f>SUM(D10:D17)</f>
        <v>369997</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5"/>
      <c r="B24" s="2445"/>
      <c r="D24" s="1266"/>
    </row>
    <row r="25" spans="1:4" x14ac:dyDescent="0.2">
      <c r="A25" s="2442"/>
      <c r="B25" s="2442"/>
      <c r="D25" s="1266"/>
    </row>
    <row r="26" spans="1:4" x14ac:dyDescent="0.2">
      <c r="A26" s="2442"/>
      <c r="B26" s="2442"/>
      <c r="D26" s="1266"/>
    </row>
    <row r="27" spans="1:4" x14ac:dyDescent="0.2">
      <c r="A27" s="2442"/>
      <c r="B27" s="2442"/>
      <c r="D27" s="1266"/>
    </row>
    <row r="28" spans="1:4" x14ac:dyDescent="0.2">
      <c r="A28" s="2442"/>
      <c r="B28" s="2442"/>
      <c r="D28" s="1266"/>
    </row>
    <row r="29" spans="1:4" x14ac:dyDescent="0.2">
      <c r="A29" s="2442"/>
      <c r="B29" s="2442"/>
      <c r="D29" s="1266"/>
    </row>
    <row r="30" spans="1:4" x14ac:dyDescent="0.2">
      <c r="A30" s="2442"/>
      <c r="B30" s="2442"/>
      <c r="D30" s="1266"/>
    </row>
    <row r="32" spans="1:4" x14ac:dyDescent="0.2">
      <c r="A32" s="1258" t="s">
        <v>1295</v>
      </c>
      <c r="D32" s="1261">
        <f>SUM(D19:D30)</f>
        <v>369997</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2"/>
      <c r="B40" s="2442"/>
      <c r="D40" s="1266"/>
    </row>
    <row r="41" spans="1:4" x14ac:dyDescent="0.2">
      <c r="A41" s="2442"/>
      <c r="B41" s="2442"/>
      <c r="D41" s="1269"/>
    </row>
    <row r="42" spans="1:4" x14ac:dyDescent="0.2">
      <c r="A42" s="2442"/>
      <c r="B42" s="2442"/>
      <c r="D42" s="1269"/>
    </row>
    <row r="43" spans="1:4" x14ac:dyDescent="0.2">
      <c r="A43" s="2442"/>
      <c r="B43" s="2442"/>
      <c r="D43" s="1269"/>
    </row>
    <row r="44" spans="1:4" x14ac:dyDescent="0.2">
      <c r="A44" s="2442"/>
      <c r="B44" s="2442"/>
      <c r="D44" s="1269"/>
    </row>
    <row r="45" spans="1:4" x14ac:dyDescent="0.2">
      <c r="A45" s="2442"/>
      <c r="B45" s="2442"/>
      <c r="D45" s="1269"/>
    </row>
    <row r="47" spans="1:4" x14ac:dyDescent="0.2">
      <c r="B47" s="1270" t="s">
        <v>1289</v>
      </c>
      <c r="C47" s="1270"/>
      <c r="D47" s="1271">
        <f>SUM(D35:D45)</f>
        <v>0</v>
      </c>
    </row>
    <row r="49" spans="2:4" x14ac:dyDescent="0.2">
      <c r="B49" s="1270" t="s">
        <v>1288</v>
      </c>
      <c r="C49" s="1270"/>
      <c r="D49" s="1271">
        <f>D32-D47</f>
        <v>369997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Cambridge Community Unit School District No. 227</v>
      </c>
      <c r="B1" s="2456"/>
      <c r="C1" s="2456"/>
      <c r="D1" s="2456"/>
      <c r="E1" s="2456"/>
      <c r="F1" s="2456"/>
    </row>
    <row r="2" spans="1:7" ht="13.5" customHeight="1" x14ac:dyDescent="0.2">
      <c r="A2" s="2457" t="str">
        <f>'Single Audit Cover'!E7</f>
        <v>28-037-2270-26</v>
      </c>
      <c r="B2" s="2457"/>
      <c r="C2" s="2457"/>
      <c r="D2" s="2457"/>
      <c r="E2" s="2457"/>
      <c r="F2" s="2457"/>
      <c r="G2" s="1273"/>
    </row>
    <row r="3" spans="1:7" ht="15.75" customHeight="1" x14ac:dyDescent="0.2">
      <c r="A3" s="2458" t="s">
        <v>1333</v>
      </c>
      <c r="B3" s="2458"/>
      <c r="C3" s="2458"/>
      <c r="D3" s="2458"/>
      <c r="E3" s="2458"/>
      <c r="F3" s="2458"/>
    </row>
    <row r="4" spans="1:7" ht="13.5" customHeight="1" x14ac:dyDescent="0.2">
      <c r="A4" s="2459" t="str">
        <f>'Single Audit Cover'!A4</f>
        <v>Year Ending June 30, 2018</v>
      </c>
      <c r="B4" s="2459"/>
      <c r="C4" s="2459"/>
      <c r="D4" s="2459"/>
      <c r="E4" s="2459"/>
      <c r="F4" s="2459"/>
    </row>
    <row r="5" spans="1:7" ht="8.25" customHeight="1" x14ac:dyDescent="0.2">
      <c r="C5" s="317"/>
      <c r="D5" s="317"/>
    </row>
    <row r="6" spans="1:7" ht="13.5" customHeight="1" x14ac:dyDescent="0.2">
      <c r="A6" s="1274" t="s">
        <v>1831</v>
      </c>
      <c r="C6" s="317"/>
      <c r="D6" s="317"/>
    </row>
    <row r="7" spans="1:7" ht="60.95" customHeight="1" x14ac:dyDescent="0.2">
      <c r="A7" s="2455" t="s">
        <v>1832</v>
      </c>
      <c r="B7" s="2455"/>
      <c r="C7" s="2455"/>
      <c r="D7" s="2455"/>
      <c r="E7" s="2455"/>
      <c r="F7" s="2455"/>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5" t="s">
        <v>1834</v>
      </c>
      <c r="B13" s="2455"/>
      <c r="C13" s="2455"/>
      <c r="D13" s="2455"/>
      <c r="E13" s="2455"/>
      <c r="F13" s="2455"/>
    </row>
    <row r="14" spans="1:7" ht="9.75" customHeight="1" x14ac:dyDescent="0.2">
      <c r="C14" s="1258"/>
      <c r="D14" s="1258"/>
    </row>
    <row r="15" spans="1:7" ht="13.5" customHeight="1" x14ac:dyDescent="0.2">
      <c r="C15" s="1869" t="s">
        <v>1332</v>
      </c>
      <c r="D15" s="2453" t="s">
        <v>1331</v>
      </c>
      <c r="E15" s="2453"/>
      <c r="F15" s="2453"/>
    </row>
    <row r="16" spans="1:7" ht="13.5" customHeight="1" x14ac:dyDescent="0.2">
      <c r="A16" s="1280"/>
      <c r="B16" s="1274" t="s">
        <v>1330</v>
      </c>
      <c r="C16" s="1869" t="s">
        <v>1329</v>
      </c>
      <c r="D16" s="2454" t="s">
        <v>1670</v>
      </c>
      <c r="E16" s="2454"/>
      <c r="F16" s="2454"/>
    </row>
    <row r="17" spans="1:6" ht="20.45" customHeight="1" x14ac:dyDescent="0.2">
      <c r="A17" s="1281"/>
      <c r="B17" s="1282"/>
      <c r="C17" s="1283"/>
      <c r="D17" s="2448"/>
      <c r="E17" s="2448"/>
      <c r="F17" s="2448"/>
    </row>
    <row r="18" spans="1:6" ht="20.65" customHeight="1" x14ac:dyDescent="0.2">
      <c r="A18" s="1281"/>
      <c r="B18" s="1282"/>
      <c r="C18" s="1283"/>
      <c r="D18" s="2448"/>
      <c r="E18" s="2448"/>
      <c r="F18" s="2448"/>
    </row>
    <row r="19" spans="1:6" ht="20.65" customHeight="1" x14ac:dyDescent="0.2">
      <c r="A19" s="1281"/>
      <c r="B19" s="1282"/>
      <c r="C19" s="1283"/>
      <c r="D19" s="2448"/>
      <c r="E19" s="2448"/>
      <c r="F19" s="2448"/>
    </row>
    <row r="20" spans="1:6" ht="20.65" customHeight="1" x14ac:dyDescent="0.2">
      <c r="A20" s="1281"/>
      <c r="B20" s="1282"/>
      <c r="C20" s="1283"/>
      <c r="D20" s="2448"/>
      <c r="E20" s="2448"/>
      <c r="F20" s="2448"/>
    </row>
    <row r="21" spans="1:6" ht="20.65" customHeight="1" x14ac:dyDescent="0.2">
      <c r="A21" s="1281"/>
      <c r="B21" s="1282"/>
      <c r="C21" s="1283"/>
      <c r="D21" s="2448"/>
      <c r="E21" s="2448"/>
      <c r="F21" s="2448"/>
    </row>
    <row r="22" spans="1:6" ht="20.65" customHeight="1" x14ac:dyDescent="0.2">
      <c r="A22" s="1281"/>
      <c r="B22" s="1282"/>
      <c r="C22" s="1283"/>
      <c r="D22" s="2448"/>
      <c r="E22" s="2448"/>
      <c r="F22" s="2448"/>
    </row>
    <row r="23" spans="1:6" ht="20.65" customHeight="1" x14ac:dyDescent="0.2">
      <c r="A23" s="1281"/>
      <c r="B23" s="1282"/>
      <c r="C23" s="1283"/>
      <c r="D23" s="2448"/>
      <c r="E23" s="2448"/>
      <c r="F23" s="2448"/>
    </row>
    <row r="24" spans="1:6" ht="20.65" customHeight="1" x14ac:dyDescent="0.2">
      <c r="A24" s="1281"/>
      <c r="B24" s="1282"/>
      <c r="C24" s="1283"/>
      <c r="D24" s="2448"/>
      <c r="E24" s="2448"/>
      <c r="F24" s="2448"/>
    </row>
    <row r="25" spans="1:6" ht="20.65" customHeight="1" x14ac:dyDescent="0.2">
      <c r="A25" s="1281"/>
      <c r="B25" s="1282"/>
      <c r="C25" s="1283"/>
      <c r="D25" s="2448"/>
      <c r="E25" s="2448"/>
      <c r="F25" s="2448"/>
    </row>
    <row r="26" spans="1:6" ht="20.65" customHeight="1" x14ac:dyDescent="0.2">
      <c r="A26" s="1281"/>
      <c r="B26" s="1282"/>
      <c r="C26" s="1283"/>
      <c r="D26" s="2448"/>
      <c r="E26" s="2448"/>
      <c r="F26" s="2448"/>
    </row>
    <row r="27" spans="1:6" ht="20.65" customHeight="1" x14ac:dyDescent="0.2">
      <c r="A27" s="1281"/>
      <c r="B27" s="1282"/>
      <c r="C27" s="1283"/>
      <c r="D27" s="2448"/>
      <c r="E27" s="2448"/>
      <c r="F27" s="2448"/>
    </row>
    <row r="28" spans="1:6" ht="20.65" customHeight="1" x14ac:dyDescent="0.2">
      <c r="A28" s="1281"/>
      <c r="B28" s="1282"/>
      <c r="C28" s="1283"/>
      <c r="D28" s="2448"/>
      <c r="E28" s="2448"/>
      <c r="F28" s="2448"/>
    </row>
    <row r="29" spans="1:6" ht="20.65" customHeight="1" x14ac:dyDescent="0.2">
      <c r="A29" s="1281"/>
      <c r="B29" s="1282"/>
      <c r="C29" s="1283"/>
      <c r="D29" s="2448"/>
      <c r="E29" s="2448"/>
      <c r="F29" s="2448"/>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49" t="s">
        <v>1835</v>
      </c>
      <c r="B32" s="2449"/>
      <c r="C32" s="2449"/>
      <c r="D32" s="2449"/>
      <c r="E32" s="2449"/>
      <c r="F32" s="2449"/>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450">
        <f>+C33+C34</f>
        <v>0</v>
      </c>
      <c r="F34" s="2451"/>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2" t="s">
        <v>1672</v>
      </c>
      <c r="C49" s="2452"/>
      <c r="D49" s="2452"/>
      <c r="E49" s="1397"/>
    </row>
    <row r="50" spans="1:5" s="1298" customFormat="1" ht="3.75" customHeight="1" x14ac:dyDescent="0.2">
      <c r="A50" s="1297"/>
      <c r="B50" s="1868"/>
      <c r="C50" s="1868"/>
      <c r="D50" s="1868"/>
      <c r="E50" s="1397"/>
    </row>
    <row r="51" spans="1:5" s="1298" customFormat="1" ht="20.25" customHeight="1" x14ac:dyDescent="0.2">
      <c r="A51" s="1299">
        <v>6</v>
      </c>
      <c r="B51" s="2447" t="s">
        <v>1632</v>
      </c>
      <c r="C51" s="2447"/>
      <c r="D51" s="2447"/>
    </row>
    <row r="52" spans="1:5" ht="14.25" customHeight="1" x14ac:dyDescent="0.2">
      <c r="A52" s="1299"/>
      <c r="B52" s="2447"/>
      <c r="C52" s="2447"/>
      <c r="D52" s="244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26" t="str">
        <f>'Single Audit Cover'!A7</f>
        <v>Cambridge Community Unit School District No. 227</v>
      </c>
      <c r="C1" s="2460"/>
      <c r="D1" s="2460"/>
      <c r="E1" s="2460"/>
      <c r="F1" s="2460"/>
      <c r="G1" s="2460"/>
      <c r="H1" s="2460"/>
      <c r="I1" s="2460"/>
      <c r="J1" s="2460"/>
      <c r="K1" s="2460"/>
      <c r="L1" s="2460"/>
      <c r="M1" s="2460"/>
    </row>
    <row r="2" spans="2:14" ht="15" x14ac:dyDescent="0.2">
      <c r="B2" s="2457" t="str">
        <f>'Single Audit Cover'!E7</f>
        <v>28-037-2270-26</v>
      </c>
      <c r="C2" s="2457"/>
      <c r="D2" s="2457"/>
      <c r="E2" s="2457"/>
      <c r="F2" s="2457"/>
      <c r="G2" s="2457"/>
      <c r="H2" s="2457"/>
      <c r="I2" s="2457"/>
      <c r="J2" s="2457"/>
      <c r="K2" s="2457"/>
      <c r="L2" s="2457"/>
      <c r="M2" s="2457"/>
      <c r="N2" s="1300"/>
    </row>
    <row r="3" spans="2:14" ht="15" x14ac:dyDescent="0.2">
      <c r="B3" s="2461" t="s">
        <v>1281</v>
      </c>
      <c r="C3" s="2461"/>
      <c r="D3" s="2461"/>
      <c r="E3" s="2461"/>
      <c r="F3" s="2461"/>
      <c r="G3" s="2461"/>
      <c r="H3" s="2461"/>
      <c r="I3" s="2461"/>
      <c r="J3" s="2461"/>
      <c r="K3" s="2461"/>
      <c r="L3" s="2461"/>
      <c r="M3" s="2461"/>
      <c r="N3" s="1300"/>
    </row>
    <row r="4" spans="2:14" ht="15" x14ac:dyDescent="0.2">
      <c r="B4" s="2462" t="str">
        <f>'Single Audit Cover'!A4</f>
        <v>Year Ending June 30, 2018</v>
      </c>
      <c r="C4" s="2462"/>
      <c r="D4" s="2462"/>
      <c r="E4" s="2462"/>
      <c r="F4" s="2462"/>
      <c r="G4" s="2462"/>
      <c r="H4" s="2462"/>
      <c r="I4" s="2462"/>
      <c r="J4" s="2462"/>
      <c r="K4" s="2462"/>
      <c r="L4" s="2462"/>
      <c r="M4" s="2462"/>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1230</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2" t="s">
        <v>1731</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2" t="s">
        <v>331</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t="s">
        <v>2108</v>
      </c>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1390</v>
      </c>
      <c r="B70" s="2085"/>
      <c r="C70" s="2085"/>
      <c r="D70" s="2085"/>
      <c r="E70" s="2086"/>
      <c r="F70" s="2086"/>
      <c r="G70" s="2086"/>
      <c r="H70" s="2086"/>
      <c r="I70" s="208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1387</v>
      </c>
      <c r="B83" s="2087"/>
      <c r="C83" s="2087"/>
      <c r="D83" s="208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9"/>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2084</v>
      </c>
      <c r="D114" s="207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1397</v>
      </c>
      <c r="D117" s="2080"/>
      <c r="E117" s="2081"/>
      <c r="F117" s="2081"/>
      <c r="G117" s="2081"/>
      <c r="H117" s="2081"/>
      <c r="I117" s="304"/>
    </row>
    <row r="118" spans="1:9" s="181" customFormat="1" ht="24" customHeight="1" x14ac:dyDescent="0.2">
      <c r="A118" s="316"/>
      <c r="B118" s="316"/>
      <c r="C118" s="316"/>
      <c r="D118" s="323" t="s">
        <v>2129</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Cambridge Community Unit School District No. 227</v>
      </c>
      <c r="C1" s="2475"/>
      <c r="D1" s="2475"/>
      <c r="E1" s="2475"/>
      <c r="F1" s="2475"/>
      <c r="G1" s="2475"/>
      <c r="H1" s="2475"/>
      <c r="I1" s="2475"/>
      <c r="J1" s="1420"/>
    </row>
    <row r="2" spans="2:10" s="317" customFormat="1" ht="12.75" customHeight="1" x14ac:dyDescent="0.2">
      <c r="B2" s="2476" t="str">
        <f>'Single Audit Cover'!E7</f>
        <v>28-037-2270-26</v>
      </c>
      <c r="C2" s="2477"/>
      <c r="D2" s="2477"/>
      <c r="E2" s="2477"/>
      <c r="F2" s="2477"/>
      <c r="G2" s="2477"/>
      <c r="H2" s="2477"/>
      <c r="I2" s="2477"/>
      <c r="J2" s="1420"/>
    </row>
    <row r="3" spans="2:10" s="317" customFormat="1" ht="12.75" customHeight="1" x14ac:dyDescent="0.2">
      <c r="B3" s="2478" t="s">
        <v>1347</v>
      </c>
      <c r="C3" s="2479"/>
      <c r="D3" s="2479"/>
      <c r="E3" s="2479"/>
      <c r="F3" s="2479"/>
      <c r="G3" s="2479"/>
      <c r="H3" s="2479"/>
      <c r="I3" s="2479"/>
      <c r="J3" s="1421"/>
    </row>
    <row r="4" spans="2:10" s="317" customFormat="1" ht="12.75" customHeight="1" x14ac:dyDescent="0.2">
      <c r="B4" s="2478" t="str">
        <f>'Single Audit Cover'!A4</f>
        <v>Year Ending June 30, 2018</v>
      </c>
      <c r="C4" s="2479"/>
      <c r="D4" s="2479"/>
      <c r="E4" s="2479"/>
      <c r="F4" s="2479"/>
      <c r="G4" s="2479"/>
      <c r="H4" s="2479"/>
      <c r="I4" s="2479"/>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8" t="s">
        <v>1346</v>
      </c>
      <c r="C7" s="2479"/>
      <c r="D7" s="2479"/>
      <c r="E7" s="2479"/>
      <c r="F7" s="2479"/>
      <c r="G7" s="2479"/>
      <c r="H7" s="2479"/>
      <c r="I7" s="2479"/>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0"/>
      <c r="D11" s="2480"/>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1"/>
      <c r="E29" s="2481"/>
      <c r="F29" s="2481"/>
      <c r="G29" s="2481"/>
      <c r="H29" s="2481"/>
      <c r="I29" s="2481"/>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2" t="s">
        <v>1854</v>
      </c>
      <c r="D37" s="2483"/>
      <c r="E37" s="2483"/>
      <c r="F37" s="2484"/>
      <c r="G37" s="2482" t="s">
        <v>1674</v>
      </c>
      <c r="H37" s="2483"/>
      <c r="I37" s="2484"/>
    </row>
    <row r="38" spans="2:9" ht="16.5" customHeight="1" x14ac:dyDescent="0.2">
      <c r="B38" s="1442"/>
      <c r="C38" s="2470"/>
      <c r="D38" s="2471"/>
      <c r="E38" s="2471"/>
      <c r="F38" s="2472"/>
      <c r="G38" s="2485"/>
      <c r="H38" s="2486"/>
      <c r="I38" s="2487"/>
    </row>
    <row r="39" spans="2:9" ht="16.5" customHeight="1" x14ac:dyDescent="0.2">
      <c r="B39" s="1442"/>
      <c r="C39" s="2470"/>
      <c r="D39" s="2471"/>
      <c r="E39" s="2471"/>
      <c r="F39" s="2472"/>
      <c r="G39" s="2473"/>
      <c r="H39" s="2473"/>
      <c r="I39" s="2473"/>
    </row>
    <row r="40" spans="2:9" ht="16.5" customHeight="1" x14ac:dyDescent="0.2">
      <c r="B40" s="1442"/>
      <c r="C40" s="2470"/>
      <c r="D40" s="2471"/>
      <c r="E40" s="2471"/>
      <c r="F40" s="2472"/>
      <c r="G40" s="2473"/>
      <c r="H40" s="2473"/>
      <c r="I40" s="2473"/>
    </row>
    <row r="41" spans="2:9" ht="16.5" customHeight="1" x14ac:dyDescent="0.2">
      <c r="B41" s="1442"/>
      <c r="C41" s="2470"/>
      <c r="D41" s="2471"/>
      <c r="E41" s="2471"/>
      <c r="F41" s="2472"/>
      <c r="G41" s="2473"/>
      <c r="H41" s="2473"/>
      <c r="I41" s="2473"/>
    </row>
    <row r="42" spans="2:9" ht="16.5" customHeight="1" x14ac:dyDescent="0.2">
      <c r="B42" s="1442"/>
      <c r="C42" s="2470"/>
      <c r="D42" s="2471"/>
      <c r="E42" s="2471"/>
      <c r="F42" s="2472"/>
      <c r="G42" s="2473"/>
      <c r="H42" s="2473"/>
      <c r="I42" s="2473"/>
    </row>
    <row r="43" spans="2:9" ht="16.5" customHeight="1" x14ac:dyDescent="0.2">
      <c r="B43" s="1442"/>
      <c r="C43" s="2463" t="s">
        <v>1675</v>
      </c>
      <c r="D43" s="2464"/>
      <c r="E43" s="2464"/>
      <c r="F43" s="2465"/>
      <c r="G43" s="2466">
        <f>SUM(G38:I42)</f>
        <v>0</v>
      </c>
      <c r="H43" s="2466"/>
      <c r="I43" s="2466"/>
    </row>
    <row r="44" spans="2:9" ht="12.75" customHeight="1" x14ac:dyDescent="0.2"/>
    <row r="45" spans="2:9" ht="12.75" customHeight="1" x14ac:dyDescent="0.2">
      <c r="B45" s="1433" t="s">
        <v>1952</v>
      </c>
      <c r="D45" s="2467">
        <v>0</v>
      </c>
      <c r="E45" s="2468"/>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69"/>
      <c r="F49" s="2469"/>
      <c r="G49" s="2469"/>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Cambridge Community Unit School District No. 227</v>
      </c>
      <c r="C1" s="2474"/>
      <c r="D1" s="2474"/>
      <c r="E1" s="2474"/>
      <c r="F1" s="2474"/>
      <c r="G1" s="2474"/>
      <c r="H1" s="2474"/>
      <c r="I1" s="2474"/>
      <c r="J1" s="2474"/>
      <c r="K1" s="2474"/>
      <c r="L1" s="1372"/>
      <c r="M1" s="1372"/>
    </row>
    <row r="2" spans="1:13" ht="12" customHeight="1" x14ac:dyDescent="0.2">
      <c r="B2" s="2476" t="str">
        <f>'Single Audit Cover'!E7</f>
        <v>28-037-2270-26</v>
      </c>
      <c r="C2" s="2476"/>
      <c r="D2" s="2476"/>
      <c r="E2" s="2476"/>
      <c r="F2" s="2476"/>
      <c r="G2" s="2476"/>
      <c r="H2" s="2476"/>
      <c r="I2" s="2476"/>
      <c r="J2" s="2476"/>
      <c r="K2" s="2476"/>
      <c r="L2" s="1373"/>
      <c r="M2" s="1374"/>
    </row>
    <row r="3" spans="1:13" ht="10.35" customHeight="1" x14ac:dyDescent="0.2">
      <c r="B3" s="2490" t="s">
        <v>1347</v>
      </c>
      <c r="C3" s="2490"/>
      <c r="D3" s="2490"/>
      <c r="E3" s="2490"/>
      <c r="F3" s="2490"/>
      <c r="G3" s="2490"/>
      <c r="H3" s="2490"/>
      <c r="I3" s="2490"/>
      <c r="J3" s="2490"/>
      <c r="K3" s="2490"/>
      <c r="L3" s="1375"/>
      <c r="M3" s="1375"/>
    </row>
    <row r="4" spans="1:13" ht="14.25" customHeight="1" x14ac:dyDescent="0.2">
      <c r="B4" s="2491" t="str">
        <f>'Single Audit Cover'!A4</f>
        <v>Year Ending June 30, 2018</v>
      </c>
      <c r="C4" s="2491"/>
      <c r="D4" s="2491"/>
      <c r="E4" s="2491"/>
      <c r="F4" s="2491"/>
      <c r="G4" s="2491"/>
      <c r="H4" s="2491"/>
      <c r="I4" s="2491"/>
      <c r="J4" s="2491"/>
      <c r="K4" s="2491"/>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1" t="s">
        <v>1363</v>
      </c>
      <c r="C7" s="2491"/>
      <c r="D7" s="2492"/>
      <c r="E7" s="2492"/>
      <c r="F7" s="2492"/>
      <c r="G7" s="2492"/>
      <c r="H7" s="2492"/>
      <c r="I7" s="2492"/>
      <c r="J7" s="2492"/>
      <c r="K7" s="2492"/>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t="s">
        <v>2105</v>
      </c>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89"/>
      <c r="C14" s="2489"/>
      <c r="D14" s="2489"/>
      <c r="E14" s="2489"/>
      <c r="F14" s="2489"/>
      <c r="G14" s="2489"/>
      <c r="H14" s="2489"/>
      <c r="I14" s="2489"/>
      <c r="J14" s="2489"/>
      <c r="K14" s="2489"/>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89"/>
      <c r="C17" s="2489"/>
      <c r="D17" s="2489"/>
      <c r="E17" s="2489"/>
      <c r="F17" s="2489"/>
      <c r="G17" s="2489"/>
      <c r="H17" s="2489"/>
      <c r="I17" s="2489"/>
      <c r="J17" s="2489"/>
      <c r="K17" s="2489"/>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3"/>
      <c r="C20" s="2493"/>
      <c r="D20" s="2489"/>
      <c r="E20" s="2489"/>
      <c r="F20" s="2489"/>
      <c r="G20" s="2489"/>
      <c r="H20" s="2489"/>
      <c r="I20" s="2489"/>
      <c r="J20" s="2489"/>
      <c r="K20" s="2489"/>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89"/>
      <c r="C23" s="2489"/>
      <c r="D23" s="2489"/>
      <c r="E23" s="2489"/>
      <c r="F23" s="2489"/>
      <c r="G23" s="2489"/>
      <c r="H23" s="2489"/>
      <c r="I23" s="2489"/>
      <c r="J23" s="2489"/>
      <c r="K23" s="2489"/>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89"/>
      <c r="C26" s="2489"/>
      <c r="D26" s="2489"/>
      <c r="E26" s="2489"/>
      <c r="F26" s="2489"/>
      <c r="G26" s="2489"/>
      <c r="H26" s="2489"/>
      <c r="I26" s="2489"/>
      <c r="J26" s="2489"/>
      <c r="K26" s="2489"/>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88"/>
      <c r="C29" s="2488"/>
      <c r="D29" s="2489"/>
      <c r="E29" s="2489"/>
      <c r="F29" s="2489"/>
      <c r="G29" s="2489"/>
      <c r="H29" s="2489"/>
      <c r="I29" s="2489"/>
      <c r="J29" s="2489"/>
      <c r="K29" s="2489"/>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88"/>
      <c r="C32" s="2488"/>
      <c r="D32" s="2489"/>
      <c r="E32" s="2489"/>
      <c r="F32" s="2489"/>
      <c r="G32" s="2489"/>
      <c r="H32" s="2489"/>
      <c r="I32" s="2489"/>
      <c r="J32" s="2489"/>
      <c r="K32" s="2489"/>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Cambridge Community Unit School District No. 227</v>
      </c>
      <c r="C1" s="2497"/>
      <c r="D1" s="2497"/>
      <c r="E1" s="2497"/>
      <c r="F1" s="2497"/>
      <c r="G1" s="2497"/>
      <c r="H1" s="2497"/>
      <c r="I1" s="2497"/>
      <c r="J1" s="2497"/>
      <c r="K1" s="2497"/>
      <c r="L1" s="1463"/>
    </row>
    <row r="2" spans="1:12" ht="12.75" customHeight="1" x14ac:dyDescent="0.2">
      <c r="B2" s="2498" t="str">
        <f>'Single Audit Cover'!E7</f>
        <v>28-037-2270-26</v>
      </c>
      <c r="C2" s="2498"/>
      <c r="D2" s="2498"/>
      <c r="E2" s="2498"/>
      <c r="F2" s="2498"/>
      <c r="G2" s="2498"/>
      <c r="H2" s="2498"/>
      <c r="I2" s="2498"/>
      <c r="J2" s="2498"/>
      <c r="K2" s="2498"/>
      <c r="L2" s="1464"/>
    </row>
    <row r="3" spans="1:12" ht="12.75" customHeight="1" x14ac:dyDescent="0.2">
      <c r="B3" s="2490" t="s">
        <v>1347</v>
      </c>
      <c r="C3" s="2490"/>
      <c r="D3" s="2490"/>
      <c r="E3" s="2490"/>
      <c r="F3" s="2490"/>
      <c r="G3" s="2490"/>
      <c r="H3" s="2490"/>
      <c r="I3" s="2490"/>
      <c r="J3" s="2490"/>
      <c r="K3" s="2490"/>
      <c r="L3" s="1375"/>
    </row>
    <row r="4" spans="1:12" ht="12.75" customHeight="1" x14ac:dyDescent="0.2">
      <c r="B4" s="2490" t="str">
        <f>'Single Audit Cover'!A4</f>
        <v>Year Ending June 30, 2018</v>
      </c>
      <c r="C4" s="2490"/>
      <c r="D4" s="2490"/>
      <c r="E4" s="2490"/>
      <c r="F4" s="2490"/>
      <c r="G4" s="2490"/>
      <c r="H4" s="2490"/>
      <c r="I4" s="2490"/>
      <c r="J4" s="2490"/>
      <c r="K4" s="2490"/>
      <c r="L4" s="1375"/>
    </row>
    <row r="5" spans="1:12" ht="5.25" customHeight="1" x14ac:dyDescent="0.2">
      <c r="B5" s="1258" t="s">
        <v>1231</v>
      </c>
      <c r="C5" s="1258"/>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1"/>
      <c r="G12" s="2481"/>
      <c r="H12" s="2481"/>
      <c r="I12" s="2481"/>
      <c r="J12" s="2481"/>
      <c r="K12" s="2481"/>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4"/>
      <c r="E14" s="2494"/>
      <c r="F14" s="2494"/>
      <c r="H14" s="1473" t="s">
        <v>1370</v>
      </c>
      <c r="I14" s="2495"/>
      <c r="J14" s="2495"/>
      <c r="K14" s="2495"/>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5"/>
      <c r="E16" s="2495"/>
      <c r="F16" s="2495"/>
      <c r="G16" s="2495"/>
      <c r="H16" s="2495"/>
      <c r="I16" s="2495"/>
      <c r="J16" s="2495"/>
      <c r="K16" s="2495"/>
      <c r="L16" s="322"/>
    </row>
    <row r="17" spans="2:12" ht="13.5" customHeight="1" x14ac:dyDescent="0.2">
      <c r="B17" s="1385" t="s">
        <v>1368</v>
      </c>
      <c r="C17" s="1385"/>
      <c r="D17" s="2496"/>
      <c r="E17" s="2496"/>
      <c r="F17" s="2496"/>
      <c r="G17" s="2496"/>
      <c r="H17" s="2496"/>
      <c r="I17" s="2496"/>
      <c r="J17" s="2496"/>
      <c r="K17" s="2496"/>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89"/>
      <c r="C20" s="2489"/>
      <c r="D20" s="2489"/>
      <c r="E20" s="2489"/>
      <c r="F20" s="2489"/>
      <c r="G20" s="2489"/>
      <c r="H20" s="2489"/>
      <c r="I20" s="2489"/>
      <c r="J20" s="2489"/>
      <c r="K20" s="2489"/>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4" t="str">
        <f>'Single Audit Cover'!A7</f>
        <v>Cambridge Community Unit School District No. 227</v>
      </c>
      <c r="C1" s="2474"/>
      <c r="D1" s="2474"/>
      <c r="E1" s="1489"/>
    </row>
    <row r="2" spans="2:5" s="1280" customFormat="1" ht="12.75" customHeight="1" x14ac:dyDescent="0.2">
      <c r="B2" s="2476" t="str">
        <f>'Single Audit Cover'!E7</f>
        <v>28-037-2270-26</v>
      </c>
      <c r="C2" s="2476"/>
      <c r="D2" s="2476"/>
      <c r="E2" s="1490"/>
    </row>
    <row r="3" spans="2:5" ht="12.75" customHeight="1" x14ac:dyDescent="0.2">
      <c r="B3" s="2490" t="s">
        <v>1869</v>
      </c>
      <c r="C3" s="2490"/>
      <c r="D3" s="2490"/>
      <c r="E3" s="1272"/>
    </row>
    <row r="4" spans="2:5" s="1280" customFormat="1" ht="12.75" customHeight="1" x14ac:dyDescent="0.2">
      <c r="B4" s="2500" t="str">
        <f>'Single Audit Cover'!A4</f>
        <v>Year Ending June 30, 2018</v>
      </c>
      <c r="C4" s="2500"/>
      <c r="D4" s="2500"/>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2106</v>
      </c>
      <c r="C7" s="324"/>
      <c r="D7" s="324"/>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6"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404</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58272863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2.9919999999999999E-2</v>
      </c>
      <c r="E10" s="356" t="s">
        <v>1062</v>
      </c>
      <c r="F10" s="355">
        <v>5.4860000000000004E-3</v>
      </c>
      <c r="G10" s="356" t="s">
        <v>1062</v>
      </c>
      <c r="H10" s="355">
        <v>1.9949999999999998E-3</v>
      </c>
      <c r="I10" s="356" t="s">
        <v>1063</v>
      </c>
      <c r="J10" s="1752">
        <f>ROUND(D10+F10+H10,5)</f>
        <v>3.7400000000000003E-2</v>
      </c>
      <c r="K10" s="222"/>
      <c r="L10" s="355">
        <v>4.9899999999999999E-4</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4651749</v>
      </c>
      <c r="E16" s="356"/>
      <c r="F16" s="1753">
        <f>SUM('Acct Summary 7-8'!C17,'Acct Summary 7-8'!D17,'Acct Summary 7-8'!F17)</f>
        <v>4568627</v>
      </c>
      <c r="G16" s="356"/>
      <c r="H16" s="1753">
        <f>SUM(D16-F16)</f>
        <v>83122</v>
      </c>
      <c r="I16" s="222"/>
      <c r="J16" s="1753">
        <f>SUM('Acct Summary 7-8'!C81,'Acct Summary 7-8'!D81,'Acct Summary 7-8'!F81,'Acct Summary 7-8'!I81)</f>
        <v>1452960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8041655.0940000005</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2145000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577</v>
      </c>
      <c r="B2" s="2117"/>
      <c r="C2" s="2117"/>
      <c r="D2" s="2117"/>
      <c r="E2" s="2117"/>
      <c r="F2" s="2117"/>
      <c r="G2" s="2117"/>
      <c r="H2" s="2117"/>
      <c r="I2" s="2117"/>
      <c r="J2" s="2117"/>
      <c r="K2" s="2117"/>
      <c r="L2" s="2117"/>
      <c r="M2" s="2117"/>
      <c r="N2" s="2117"/>
      <c r="O2" s="2117"/>
      <c r="P2" s="2117"/>
      <c r="Q2" s="2117"/>
      <c r="R2" s="2117"/>
    </row>
    <row r="3" spans="1:18" ht="12.75" x14ac:dyDescent="0.2">
      <c r="A3" s="2118" t="s">
        <v>1480</v>
      </c>
      <c r="B3" s="2118"/>
      <c r="C3" s="2118"/>
      <c r="D3" s="2118"/>
      <c r="E3" s="2118"/>
      <c r="F3" s="2118"/>
      <c r="G3" s="2118"/>
      <c r="H3" s="2118"/>
      <c r="I3" s="2118"/>
      <c r="J3" s="2118"/>
      <c r="K3" s="2118"/>
      <c r="L3" s="2118"/>
      <c r="M3" s="2118"/>
      <c r="N3" s="2118"/>
      <c r="O3" s="2118"/>
      <c r="P3" s="2118"/>
      <c r="Q3" s="2118"/>
      <c r="R3" s="2118"/>
    </row>
    <row r="4" spans="1:18" x14ac:dyDescent="0.2">
      <c r="A4" s="2119" t="s">
        <v>1635</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Cambridge Community Unit School District No. 227</v>
      </c>
      <c r="E7" s="391"/>
      <c r="G7" s="252"/>
      <c r="H7" s="387"/>
      <c r="I7" s="387"/>
      <c r="J7" s="387"/>
      <c r="K7" s="387"/>
      <c r="L7" s="329"/>
      <c r="M7" s="329"/>
      <c r="N7" s="329"/>
      <c r="O7" s="329"/>
      <c r="P7" s="329"/>
    </row>
    <row r="8" spans="1:18" ht="12.75" x14ac:dyDescent="0.2">
      <c r="A8" s="329"/>
      <c r="B8" s="329"/>
      <c r="C8" s="389" t="s">
        <v>1187</v>
      </c>
      <c r="D8" s="392" t="str">
        <f>COVER!A13</f>
        <v>28-037-2270-26</v>
      </c>
      <c r="E8" s="393"/>
      <c r="G8" s="329"/>
      <c r="H8" s="329"/>
      <c r="I8" s="329"/>
      <c r="J8" s="329"/>
      <c r="K8" s="329"/>
      <c r="L8" s="329"/>
      <c r="M8" s="329"/>
      <c r="N8" s="329"/>
      <c r="O8" s="329"/>
      <c r="P8" s="329"/>
    </row>
    <row r="9" spans="1:18" ht="12.75" x14ac:dyDescent="0.2">
      <c r="A9" s="329"/>
      <c r="B9" s="329"/>
      <c r="C9" s="389" t="s">
        <v>737</v>
      </c>
      <c r="D9" s="394" t="str">
        <f>COVER!A15</f>
        <v>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1452960</v>
      </c>
      <c r="I12" s="404"/>
      <c r="J12" s="404"/>
      <c r="K12" s="405">
        <f>TRUNC((H12/H13*100000),5)/100000</f>
        <v>0.31234703330000002</v>
      </c>
      <c r="L12" s="406"/>
      <c r="M12" s="360" t="s">
        <v>1206</v>
      </c>
      <c r="N12" s="360"/>
      <c r="O12" s="407">
        <v>0.35</v>
      </c>
      <c r="P12" s="218"/>
      <c r="Q12" s="218"/>
    </row>
    <row r="13" spans="1:18" s="408" customFormat="1" ht="12.75" x14ac:dyDescent="0.2">
      <c r="A13" s="218"/>
      <c r="B13" s="401"/>
      <c r="C13" s="2115" t="s">
        <v>1391</v>
      </c>
      <c r="D13" s="2116"/>
      <c r="E13" s="218"/>
      <c r="F13" s="409" t="s">
        <v>826</v>
      </c>
      <c r="G13" s="402"/>
      <c r="H13" s="403">
        <f>SUM('Acct Summary 7-8'!C8+'Acct Summary 7-8'!D8+'Acct Summary 7-8'!F8+'Acct Summary 7-8'!I8)+H14</f>
        <v>4651749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4568627</v>
      </c>
      <c r="I17" s="404"/>
      <c r="J17" s="416"/>
      <c r="K17" s="405">
        <f>TRUNC((H17/H18*100000),5)/100000</f>
        <v>0.98213102209999992</v>
      </c>
      <c r="L17" s="406"/>
      <c r="M17" s="417" t="s">
        <v>1233</v>
      </c>
      <c r="O17" s="418" t="str">
        <f>IF(AND(O16="2", J20 &gt; 2),"1",IF(AND(O16 = "1", J20 &gt; 2),"2",IF(AND(O16="1", J20 &gt;1),"1","0")))</f>
        <v>0</v>
      </c>
      <c r="P17" s="218"/>
    </row>
    <row r="18" spans="1:18" s="408" customFormat="1" ht="11.25" x14ac:dyDescent="0.2">
      <c r="A18" s="218"/>
      <c r="B18" s="401"/>
      <c r="C18" s="2115" t="s">
        <v>1384</v>
      </c>
      <c r="D18" s="2116"/>
      <c r="E18" s="218"/>
      <c r="F18" s="419" t="s">
        <v>827</v>
      </c>
      <c r="G18" s="402"/>
      <c r="H18" s="403">
        <f>SUM('Acct Summary 7-8'!C8+'Acct Summary 7-8'!D8+'Acct Summary 7-8'!F8+'Acct Summary 7-8'!I8)+H19</f>
        <v>4651749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2" t="s">
        <v>1479</v>
      </c>
      <c r="D24" s="2112"/>
      <c r="E24" s="218"/>
      <c r="F24" s="218" t="s">
        <v>465</v>
      </c>
      <c r="G24" s="402"/>
      <c r="H24" s="403">
        <f>SUM('Assets-Liab 5-6'!C4+'Assets-Liab 5-6'!D4+'Assets-Liab 5-6'!F4+'Assets-Liab 5-6'!I4+'Assets-Liab 5-6'!C5+'Assets-Liab 5-6'!D5+'Assets-Liab 5-6'!F5+'Assets-Liab 5-6'!I5)</f>
        <v>1452972</v>
      </c>
      <c r="I24" s="422"/>
      <c r="J24" s="422"/>
      <c r="K24" s="423">
        <f>TRUNC(((H24/H25*100000)/100000),2)</f>
        <v>114.49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12690.63056</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1852494.3147700001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2145000</v>
      </c>
      <c r="I32" s="420"/>
      <c r="J32" s="420"/>
      <c r="K32" s="423">
        <f>TRUNC(100-((((H32/H33*100))*100)/100),2)</f>
        <v>73.319999999999993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8041655.0940000005</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2" t="s">
        <v>1030</v>
      </c>
      <c r="B3" s="2123"/>
      <c r="C3" s="1579"/>
      <c r="D3" s="1580"/>
      <c r="E3" s="1580"/>
      <c r="F3" s="1580"/>
      <c r="G3" s="1580"/>
      <c r="H3" s="1580"/>
      <c r="I3" s="1580"/>
      <c r="J3" s="1580"/>
      <c r="K3" s="1580"/>
      <c r="L3" s="1580"/>
      <c r="M3" s="1581"/>
      <c r="N3" s="1582"/>
    </row>
    <row r="4" spans="1:14" ht="13.5" customHeight="1" x14ac:dyDescent="0.2">
      <c r="A4" s="463" t="s">
        <v>1750</v>
      </c>
      <c r="B4" s="464"/>
      <c r="C4" s="465">
        <v>623683</v>
      </c>
      <c r="D4" s="465">
        <v>388024</v>
      </c>
      <c r="E4" s="466">
        <v>85681</v>
      </c>
      <c r="F4" s="466">
        <v>319524</v>
      </c>
      <c r="G4" s="466">
        <v>310590</v>
      </c>
      <c r="H4" s="466">
        <v>783275</v>
      </c>
      <c r="I4" s="466">
        <v>121741</v>
      </c>
      <c r="J4" s="467">
        <v>212288</v>
      </c>
      <c r="K4" s="466">
        <v>247461</v>
      </c>
      <c r="L4" s="466">
        <v>158099</v>
      </c>
      <c r="M4" s="468"/>
      <c r="N4" s="469"/>
    </row>
    <row r="5" spans="1:14" x14ac:dyDescent="0.2">
      <c r="A5" s="463" t="s">
        <v>1049</v>
      </c>
      <c r="B5" s="470">
        <v>120</v>
      </c>
      <c r="C5" s="465">
        <v>0</v>
      </c>
      <c r="D5" s="466">
        <v>0</v>
      </c>
      <c r="E5" s="466">
        <v>0</v>
      </c>
      <c r="F5" s="466">
        <v>0</v>
      </c>
      <c r="G5" s="466">
        <v>0</v>
      </c>
      <c r="H5" s="466">
        <v>0</v>
      </c>
      <c r="I5" s="466">
        <v>0</v>
      </c>
      <c r="J5" s="467">
        <v>0</v>
      </c>
      <c r="K5" s="471">
        <v>0</v>
      </c>
      <c r="L5" s="472">
        <v>49011</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3600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627283</v>
      </c>
      <c r="D13" s="1757">
        <f t="shared" ref="D13:L13" si="0">SUM(D4:D12)</f>
        <v>388024</v>
      </c>
      <c r="E13" s="1757">
        <f t="shared" si="0"/>
        <v>85681</v>
      </c>
      <c r="F13" s="1757">
        <f t="shared" si="0"/>
        <v>319524</v>
      </c>
      <c r="G13" s="1757">
        <f t="shared" si="0"/>
        <v>310590</v>
      </c>
      <c r="H13" s="1757">
        <f t="shared" si="0"/>
        <v>783275</v>
      </c>
      <c r="I13" s="1757">
        <f t="shared" si="0"/>
        <v>121741</v>
      </c>
      <c r="J13" s="1757">
        <f t="shared" si="0"/>
        <v>212288</v>
      </c>
      <c r="K13" s="1757">
        <f t="shared" si="0"/>
        <v>247461</v>
      </c>
      <c r="L13" s="1757">
        <f t="shared" si="0"/>
        <v>207110</v>
      </c>
      <c r="M13" s="468"/>
      <c r="N13" s="469"/>
    </row>
    <row r="14" spans="1:14" ht="18" customHeight="1" thickTop="1" x14ac:dyDescent="0.2">
      <c r="A14" s="2124" t="s">
        <v>149</v>
      </c>
      <c r="B14" s="2125"/>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38250</v>
      </c>
      <c r="N16" s="483"/>
    </row>
    <row r="17" spans="1:14" s="484" customFormat="1" ht="12.75" customHeight="1" x14ac:dyDescent="0.2">
      <c r="A17" s="481" t="s">
        <v>1470</v>
      </c>
      <c r="B17" s="482">
        <v>230</v>
      </c>
      <c r="C17" s="476"/>
      <c r="D17" s="476"/>
      <c r="E17" s="476"/>
      <c r="F17" s="476"/>
      <c r="G17" s="476"/>
      <c r="H17" s="476"/>
      <c r="I17" s="476"/>
      <c r="J17" s="476"/>
      <c r="K17" s="476"/>
      <c r="L17" s="476"/>
      <c r="M17" s="467">
        <v>5226128</v>
      </c>
      <c r="N17" s="483"/>
    </row>
    <row r="18" spans="1:14" s="484" customFormat="1" ht="12.75" customHeight="1" x14ac:dyDescent="0.2">
      <c r="A18" s="481" t="s">
        <v>1471</v>
      </c>
      <c r="B18" s="482">
        <v>240</v>
      </c>
      <c r="C18" s="476"/>
      <c r="D18" s="476"/>
      <c r="E18" s="476"/>
      <c r="F18" s="476"/>
      <c r="G18" s="476"/>
      <c r="H18" s="476"/>
      <c r="I18" s="476"/>
      <c r="J18" s="476"/>
      <c r="K18" s="476"/>
      <c r="L18" s="476"/>
      <c r="M18" s="467">
        <v>425959</v>
      </c>
      <c r="N18" s="483"/>
    </row>
    <row r="19" spans="1:14" s="484" customFormat="1" ht="12.75" customHeight="1" x14ac:dyDescent="0.2">
      <c r="A19" s="481" t="s">
        <v>1472</v>
      </c>
      <c r="B19" s="482">
        <v>250</v>
      </c>
      <c r="C19" s="476"/>
      <c r="D19" s="476"/>
      <c r="E19" s="476"/>
      <c r="F19" s="476"/>
      <c r="G19" s="476"/>
      <c r="H19" s="476"/>
      <c r="I19" s="476"/>
      <c r="J19" s="476"/>
      <c r="K19" s="476"/>
      <c r="L19" s="476"/>
      <c r="M19" s="467">
        <v>741680</v>
      </c>
      <c r="N19" s="483"/>
    </row>
    <row r="20" spans="1:14" s="484" customFormat="1" ht="12.75" customHeight="1" x14ac:dyDescent="0.2">
      <c r="A20" s="481" t="s">
        <v>1473</v>
      </c>
      <c r="B20" s="482">
        <v>260</v>
      </c>
      <c r="C20" s="476"/>
      <c r="D20" s="476"/>
      <c r="E20" s="476"/>
      <c r="F20" s="476"/>
      <c r="G20" s="476"/>
      <c r="H20" s="476"/>
      <c r="I20" s="476"/>
      <c r="J20" s="476"/>
      <c r="K20" s="476"/>
      <c r="L20" s="476"/>
      <c r="M20" s="467">
        <v>513353</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85681</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2059319</v>
      </c>
    </row>
    <row r="23" spans="1:14" ht="13.5" customHeight="1" thickBot="1" x14ac:dyDescent="0.25">
      <c r="A23" s="1756" t="s">
        <v>664</v>
      </c>
      <c r="B23" s="1761"/>
      <c r="C23" s="468"/>
      <c r="D23" s="468"/>
      <c r="E23" s="468"/>
      <c r="F23" s="468"/>
      <c r="G23" s="468"/>
      <c r="H23" s="468"/>
      <c r="I23" s="468"/>
      <c r="J23" s="468"/>
      <c r="K23" s="468"/>
      <c r="L23" s="468"/>
      <c r="M23" s="1708">
        <f>SUM(M15:M22)</f>
        <v>6945370</v>
      </c>
      <c r="N23" s="1708">
        <f>SUM(N21:N22)</f>
        <v>2145000</v>
      </c>
    </row>
    <row r="24" spans="1:14" ht="18" customHeight="1" thickTop="1" x14ac:dyDescent="0.2">
      <c r="A24" s="2126" t="s">
        <v>619</v>
      </c>
      <c r="B24" s="2127"/>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3612</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153053</v>
      </c>
      <c r="M33" s="468"/>
      <c r="N33" s="469"/>
    </row>
    <row r="34" spans="1:14" ht="13.5" customHeight="1" thickBot="1" x14ac:dyDescent="0.25">
      <c r="A34" s="1758" t="s">
        <v>675</v>
      </c>
      <c r="B34" s="1759"/>
      <c r="C34" s="1760">
        <f>SUM(C25:C33)</f>
        <v>3612</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153053</v>
      </c>
      <c r="M34" s="468"/>
      <c r="N34" s="479"/>
    </row>
    <row r="35" spans="1:14" ht="18" customHeight="1" thickTop="1" x14ac:dyDescent="0.2">
      <c r="A35" s="2128" t="s">
        <v>550</v>
      </c>
      <c r="B35" s="2129"/>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2145000</v>
      </c>
    </row>
    <row r="37" spans="1:14" ht="13.5" thickBot="1" x14ac:dyDescent="0.25">
      <c r="A37" s="1756" t="s">
        <v>674</v>
      </c>
      <c r="B37" s="1761"/>
      <c r="C37" s="476"/>
      <c r="D37" s="476"/>
      <c r="E37" s="476"/>
      <c r="F37" s="476"/>
      <c r="G37" s="476"/>
      <c r="H37" s="476"/>
      <c r="I37" s="476"/>
      <c r="J37" s="476"/>
      <c r="K37" s="476"/>
      <c r="L37" s="479"/>
      <c r="M37" s="468"/>
      <c r="N37" s="1708">
        <f>SUM(N36:N36)</f>
        <v>2145000</v>
      </c>
    </row>
    <row r="38" spans="1:14" s="329" customFormat="1" ht="13.5" customHeight="1" thickTop="1" x14ac:dyDescent="0.2">
      <c r="A38" s="494" t="s">
        <v>440</v>
      </c>
      <c r="B38" s="482">
        <v>714</v>
      </c>
      <c r="C38" s="465">
        <v>0</v>
      </c>
      <c r="D38" s="465">
        <v>0</v>
      </c>
      <c r="E38" s="465">
        <v>0</v>
      </c>
      <c r="F38" s="465">
        <v>0</v>
      </c>
      <c r="G38" s="465">
        <v>210548</v>
      </c>
      <c r="H38" s="465">
        <v>369447</v>
      </c>
      <c r="I38" s="465">
        <v>0</v>
      </c>
      <c r="J38" s="465">
        <v>0</v>
      </c>
      <c r="K38" s="465">
        <v>0</v>
      </c>
      <c r="L38" s="465">
        <v>54057</v>
      </c>
      <c r="M38" s="495"/>
      <c r="N38" s="495"/>
    </row>
    <row r="39" spans="1:14" s="329" customFormat="1" ht="13.5" customHeight="1" x14ac:dyDescent="0.2">
      <c r="A39" s="494" t="s">
        <v>360</v>
      </c>
      <c r="B39" s="482">
        <v>730</v>
      </c>
      <c r="C39" s="465">
        <v>623671</v>
      </c>
      <c r="D39" s="465">
        <v>388024</v>
      </c>
      <c r="E39" s="465">
        <v>85681</v>
      </c>
      <c r="F39" s="465">
        <v>319524</v>
      </c>
      <c r="G39" s="465">
        <v>100042</v>
      </c>
      <c r="H39" s="465">
        <v>413828</v>
      </c>
      <c r="I39" s="465">
        <v>121741</v>
      </c>
      <c r="J39" s="465">
        <v>212288</v>
      </c>
      <c r="K39" s="465">
        <v>247461</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6945370</v>
      </c>
      <c r="N40" s="495"/>
    </row>
    <row r="41" spans="1:14" ht="13.5" customHeight="1" thickBot="1" x14ac:dyDescent="0.25">
      <c r="A41" s="1756" t="s">
        <v>676</v>
      </c>
      <c r="B41" s="1726"/>
      <c r="C41" s="1708">
        <f>(SUM(C34,C37,C38,C39))</f>
        <v>627283</v>
      </c>
      <c r="D41" s="1708">
        <f t="shared" ref="D41:L41" si="2">SUM(D34,D37,D38:D39)</f>
        <v>388024</v>
      </c>
      <c r="E41" s="1708">
        <f t="shared" si="2"/>
        <v>85681</v>
      </c>
      <c r="F41" s="1708">
        <f t="shared" si="2"/>
        <v>319524</v>
      </c>
      <c r="G41" s="1708">
        <f t="shared" si="2"/>
        <v>310590</v>
      </c>
      <c r="H41" s="1708">
        <f t="shared" si="2"/>
        <v>783275</v>
      </c>
      <c r="I41" s="1708">
        <f t="shared" si="2"/>
        <v>121741</v>
      </c>
      <c r="J41" s="1708">
        <f t="shared" si="2"/>
        <v>212288</v>
      </c>
      <c r="K41" s="1708">
        <f t="shared" si="2"/>
        <v>247461</v>
      </c>
      <c r="L41" s="1708">
        <f t="shared" si="2"/>
        <v>207110</v>
      </c>
      <c r="M41" s="1708">
        <f>SUM(M40)</f>
        <v>6945370</v>
      </c>
      <c r="N41" s="1708">
        <f>SUM(N37)</f>
        <v>2145000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P36" sqref="P36"/>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38"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39"/>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0" t="s">
        <v>1237</v>
      </c>
      <c r="B3" s="2151"/>
      <c r="C3" s="1593"/>
      <c r="D3" s="1594"/>
      <c r="E3" s="1594"/>
      <c r="F3" s="1594"/>
      <c r="G3" s="1594"/>
      <c r="H3" s="1594"/>
      <c r="I3" s="1594"/>
      <c r="J3" s="1594"/>
      <c r="K3" s="1595"/>
      <c r="L3" s="504"/>
    </row>
    <row r="4" spans="1:13" ht="15.75" customHeight="1" x14ac:dyDescent="0.2">
      <c r="A4" s="1952" t="s">
        <v>1579</v>
      </c>
      <c r="B4" s="1953">
        <v>1000</v>
      </c>
      <c r="C4" s="1762">
        <f>'Revenues 9-14'!C109</f>
        <v>2116556</v>
      </c>
      <c r="D4" s="1762">
        <f>'Revenues 9-14'!D109</f>
        <v>380747</v>
      </c>
      <c r="E4" s="1762">
        <f>'Revenues 9-14'!E109</f>
        <v>167153</v>
      </c>
      <c r="F4" s="1762">
        <f>'Revenues 9-14'!F109</f>
        <v>166326</v>
      </c>
      <c r="G4" s="1762">
        <f>'Revenues 9-14'!G109</f>
        <v>182728</v>
      </c>
      <c r="H4" s="1762">
        <f>'Revenues 9-14'!H109</f>
        <v>166237</v>
      </c>
      <c r="I4" s="1762">
        <f>'Revenues 9-14'!I109</f>
        <v>29345</v>
      </c>
      <c r="J4" s="1762">
        <f>'Revenues 9-14'!J109</f>
        <v>407771</v>
      </c>
      <c r="K4" s="1762">
        <f>'Revenues 9-14'!K109</f>
        <v>30023</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1359629</v>
      </c>
      <c r="D6" s="1763">
        <f>'Revenues 9-14'!D173</f>
        <v>0</v>
      </c>
      <c r="E6" s="1763">
        <f>'Revenues 9-14'!E173</f>
        <v>0</v>
      </c>
      <c r="F6" s="1763">
        <f>'Revenues 9-14'!F173</f>
        <v>241176</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355349</v>
      </c>
      <c r="D7" s="1763">
        <f>'Revenues 9-14'!D274</f>
        <v>0</v>
      </c>
      <c r="E7" s="1763">
        <f>'Revenues 9-14'!E274</f>
        <v>0</v>
      </c>
      <c r="F7" s="1763">
        <f>'Revenues 9-14'!F274</f>
        <v>2621</v>
      </c>
      <c r="G7" s="1763">
        <f>'Revenues 9-14'!G274</f>
        <v>8409</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3831534</v>
      </c>
      <c r="D8" s="1708">
        <f t="shared" ref="D8:K8" si="0">SUM(D4:D7)</f>
        <v>380747</v>
      </c>
      <c r="E8" s="1708">
        <f t="shared" si="0"/>
        <v>167153</v>
      </c>
      <c r="F8" s="1708">
        <f t="shared" si="0"/>
        <v>410123</v>
      </c>
      <c r="G8" s="1708">
        <f t="shared" si="0"/>
        <v>191137</v>
      </c>
      <c r="H8" s="1708">
        <f t="shared" si="0"/>
        <v>166237</v>
      </c>
      <c r="I8" s="1708">
        <f t="shared" si="0"/>
        <v>29345</v>
      </c>
      <c r="J8" s="1708">
        <f t="shared" si="0"/>
        <v>407771</v>
      </c>
      <c r="K8" s="1708">
        <f t="shared" si="0"/>
        <v>30023</v>
      </c>
      <c r="L8" s="347"/>
    </row>
    <row r="9" spans="1:13" ht="15.75" thickTop="1" x14ac:dyDescent="0.2">
      <c r="A9" s="512" t="s">
        <v>1752</v>
      </c>
      <c r="B9" s="513">
        <v>3998</v>
      </c>
      <c r="C9" s="465">
        <v>1868914</v>
      </c>
      <c r="D9" s="514"/>
      <c r="E9" s="480"/>
      <c r="F9" s="480"/>
      <c r="G9" s="515"/>
      <c r="H9" s="480"/>
      <c r="I9" s="507" t="s">
        <v>1231</v>
      </c>
      <c r="J9" s="477"/>
      <c r="K9" s="480"/>
      <c r="L9" s="347"/>
    </row>
    <row r="10" spans="1:13" s="517" customFormat="1" ht="13.5" thickBot="1" x14ac:dyDescent="0.25">
      <c r="A10" s="1756" t="s">
        <v>1235</v>
      </c>
      <c r="B10" s="1729"/>
      <c r="C10" s="1708">
        <f>SUM(C8:C9)</f>
        <v>5700448</v>
      </c>
      <c r="D10" s="1708">
        <f t="shared" ref="D10:K10" si="1">SUM(D8:D9)</f>
        <v>380747</v>
      </c>
      <c r="E10" s="1708">
        <f t="shared" si="1"/>
        <v>167153</v>
      </c>
      <c r="F10" s="1708">
        <f t="shared" si="1"/>
        <v>410123</v>
      </c>
      <c r="G10" s="1708">
        <f t="shared" si="1"/>
        <v>191137</v>
      </c>
      <c r="H10" s="1708">
        <f t="shared" si="1"/>
        <v>166237</v>
      </c>
      <c r="I10" s="1708">
        <f t="shared" si="1"/>
        <v>29345</v>
      </c>
      <c r="J10" s="1708">
        <f t="shared" si="1"/>
        <v>407771</v>
      </c>
      <c r="K10" s="1708">
        <f t="shared" si="1"/>
        <v>30023</v>
      </c>
      <c r="L10" s="516"/>
    </row>
    <row r="11" spans="1:13" s="517" customFormat="1" ht="16.7" customHeight="1" thickTop="1" x14ac:dyDescent="0.2">
      <c r="A11" s="2124" t="s">
        <v>1238</v>
      </c>
      <c r="B11" s="2125"/>
      <c r="C11" s="1590"/>
      <c r="D11" s="1591"/>
      <c r="E11" s="1591"/>
      <c r="F11" s="1591"/>
      <c r="G11" s="1591"/>
      <c r="H11" s="1591"/>
      <c r="I11" s="1591"/>
      <c r="J11" s="1591"/>
      <c r="K11" s="1592"/>
      <c r="L11" s="516"/>
    </row>
    <row r="12" spans="1:13" ht="15.75" customHeight="1" x14ac:dyDescent="0.2">
      <c r="A12" s="1596" t="s">
        <v>476</v>
      </c>
      <c r="B12" s="1598">
        <v>1000</v>
      </c>
      <c r="C12" s="1762">
        <f>'Expenditures 15-22'!K33</f>
        <v>2863662</v>
      </c>
      <c r="D12" s="518" t="s">
        <v>1231</v>
      </c>
      <c r="E12" s="468" t="s">
        <v>1231</v>
      </c>
      <c r="F12" s="468" t="s">
        <v>1231</v>
      </c>
      <c r="G12" s="1762">
        <f>'Expenditures 15-22'!K229</f>
        <v>74104</v>
      </c>
      <c r="H12" s="519"/>
      <c r="I12" s="468" t="s">
        <v>1231</v>
      </c>
      <c r="J12" s="468" t="s">
        <v>1231</v>
      </c>
      <c r="K12" s="519" t="s">
        <v>1231</v>
      </c>
      <c r="L12" s="347"/>
    </row>
    <row r="13" spans="1:13" ht="15.75" customHeight="1" x14ac:dyDescent="0.2">
      <c r="A13" s="1596" t="s">
        <v>477</v>
      </c>
      <c r="B13" s="1598">
        <v>2000</v>
      </c>
      <c r="C13" s="1763">
        <f>'Expenditures 15-22'!K74</f>
        <v>763024</v>
      </c>
      <c r="D13" s="1763">
        <f>'Expenditures 15-22'!K129</f>
        <v>398794</v>
      </c>
      <c r="E13" s="469" t="s">
        <v>1231</v>
      </c>
      <c r="F13" s="1763">
        <f>'Expenditures 15-22'!K184</f>
        <v>270873</v>
      </c>
      <c r="G13" s="1763">
        <f>'Expenditures 15-22'!K279</f>
        <v>96561</v>
      </c>
      <c r="H13" s="1763">
        <f>'Expenditures 15-22'!K303</f>
        <v>707304</v>
      </c>
      <c r="I13" s="468" t="s">
        <v>1231</v>
      </c>
      <c r="J13" s="1763">
        <f>'Expenditures 15-22'!K330</f>
        <v>372617</v>
      </c>
      <c r="K13" s="1767">
        <f>'Expenditures 15-22'!K352</f>
        <v>20757</v>
      </c>
      <c r="L13" s="347"/>
    </row>
    <row r="14" spans="1:13" ht="15.75" customHeight="1" x14ac:dyDescent="0.2">
      <c r="A14" s="1596" t="s">
        <v>469</v>
      </c>
      <c r="B14" s="1598">
        <v>3000</v>
      </c>
      <c r="C14" s="1763">
        <f>'Expenditures 15-22'!K75</f>
        <v>10381</v>
      </c>
      <c r="D14" s="1763">
        <f>'Expenditures 15-22'!K130</f>
        <v>0</v>
      </c>
      <c r="E14" s="518" t="s">
        <v>1231</v>
      </c>
      <c r="F14" s="1763">
        <f>'Expenditures 15-22'!K185</f>
        <v>0</v>
      </c>
      <c r="G14" s="1763">
        <f>'Expenditures 15-22'!K280</f>
        <v>2006</v>
      </c>
      <c r="H14" s="510"/>
      <c r="I14" s="468" t="s">
        <v>1231</v>
      </c>
      <c r="J14" s="468" t="s">
        <v>1231</v>
      </c>
      <c r="K14" s="510" t="s">
        <v>1231</v>
      </c>
      <c r="L14" s="347"/>
    </row>
    <row r="15" spans="1:13" ht="15.75" customHeight="1" x14ac:dyDescent="0.2">
      <c r="A15" s="1596" t="s">
        <v>109</v>
      </c>
      <c r="B15" s="1598">
        <v>4000</v>
      </c>
      <c r="C15" s="1763">
        <f>'Expenditures 15-22'!K102</f>
        <v>254644</v>
      </c>
      <c r="D15" s="1763">
        <f>'Expenditures 15-22'!K139</f>
        <v>0</v>
      </c>
      <c r="E15" s="1763">
        <f>'Expenditures 15-22'!K160</f>
        <v>0</v>
      </c>
      <c r="F15" s="1763">
        <f>'Expenditures 15-22'!K196</f>
        <v>7249</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172006</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3891711</v>
      </c>
      <c r="D17" s="1708">
        <f t="shared" si="2"/>
        <v>398794</v>
      </c>
      <c r="E17" s="1708">
        <f t="shared" si="2"/>
        <v>172006</v>
      </c>
      <c r="F17" s="1708">
        <f t="shared" si="2"/>
        <v>278122</v>
      </c>
      <c r="G17" s="1708">
        <f t="shared" si="2"/>
        <v>172671</v>
      </c>
      <c r="H17" s="1708">
        <f t="shared" si="2"/>
        <v>707304</v>
      </c>
      <c r="I17" s="468"/>
      <c r="J17" s="1708">
        <f>SUM(J12:J16)</f>
        <v>372617</v>
      </c>
      <c r="K17" s="1708">
        <f>SUM(K12:K16)</f>
        <v>20757</v>
      </c>
      <c r="L17" s="347"/>
    </row>
    <row r="18" spans="1:12" ht="15" customHeight="1" thickTop="1" x14ac:dyDescent="0.2">
      <c r="A18" s="1764" t="s">
        <v>1753</v>
      </c>
      <c r="B18" s="1765">
        <v>4180</v>
      </c>
      <c r="C18" s="1762">
        <f t="shared" ref="C18:H18" si="3">C9</f>
        <v>1868914</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5760625</v>
      </c>
      <c r="D19" s="1708">
        <f t="shared" si="4"/>
        <v>398794</v>
      </c>
      <c r="E19" s="1708">
        <f t="shared" si="4"/>
        <v>172006</v>
      </c>
      <c r="F19" s="1708">
        <f t="shared" si="4"/>
        <v>278122</v>
      </c>
      <c r="G19" s="1708">
        <f t="shared" si="4"/>
        <v>172671</v>
      </c>
      <c r="H19" s="1708">
        <f t="shared" si="4"/>
        <v>707304</v>
      </c>
      <c r="I19" s="468"/>
      <c r="J19" s="1708">
        <f>SUM(J17:J18)</f>
        <v>372617</v>
      </c>
      <c r="K19" s="1708">
        <f>SUM(K17:K18)</f>
        <v>20757</v>
      </c>
      <c r="L19" s="347"/>
    </row>
    <row r="20" spans="1:12" ht="16.5" thickTop="1" thickBot="1" x14ac:dyDescent="0.25">
      <c r="A20" s="2140" t="s">
        <v>1754</v>
      </c>
      <c r="B20" s="2141"/>
      <c r="C20" s="1766">
        <f>C8-C17</f>
        <v>-60177</v>
      </c>
      <c r="D20" s="1766">
        <f t="shared" ref="D20:K20" si="5">D8-D17</f>
        <v>-18047</v>
      </c>
      <c r="E20" s="1766">
        <f t="shared" si="5"/>
        <v>-4853</v>
      </c>
      <c r="F20" s="1766">
        <f t="shared" si="5"/>
        <v>132001</v>
      </c>
      <c r="G20" s="1766">
        <f t="shared" si="5"/>
        <v>18466</v>
      </c>
      <c r="H20" s="1766">
        <f t="shared" si="5"/>
        <v>-541067</v>
      </c>
      <c r="I20" s="1766">
        <f t="shared" si="5"/>
        <v>29345</v>
      </c>
      <c r="J20" s="1766">
        <f t="shared" si="5"/>
        <v>35154</v>
      </c>
      <c r="K20" s="1766">
        <f t="shared" si="5"/>
        <v>9266</v>
      </c>
      <c r="L20" s="347"/>
    </row>
    <row r="21" spans="1:12" ht="16.7" customHeight="1" thickTop="1" x14ac:dyDescent="0.2">
      <c r="A21" s="2152" t="s">
        <v>616</v>
      </c>
      <c r="B21" s="2153"/>
      <c r="C21" s="1590"/>
      <c r="D21" s="1591"/>
      <c r="E21" s="1591"/>
      <c r="F21" s="1591"/>
      <c r="G21" s="1591"/>
      <c r="H21" s="1591"/>
      <c r="I21" s="1591"/>
      <c r="J21" s="1591"/>
      <c r="K21" s="1592"/>
      <c r="L21" s="522"/>
    </row>
    <row r="22" spans="1:12" ht="15.75" customHeight="1" collapsed="1" x14ac:dyDescent="0.2">
      <c r="A22" s="2148" t="s">
        <v>617</v>
      </c>
      <c r="B22" s="2149"/>
      <c r="C22" s="476"/>
      <c r="D22" s="476"/>
      <c r="E22" s="476"/>
      <c r="F22" s="476"/>
      <c r="G22" s="476"/>
      <c r="H22" s="476"/>
      <c r="I22" s="476"/>
      <c r="J22" s="476"/>
      <c r="K22" s="476"/>
      <c r="L22" s="347"/>
    </row>
    <row r="23" spans="1:12" s="484" customFormat="1" ht="15.75" customHeight="1" x14ac:dyDescent="0.2">
      <c r="A23" s="2144" t="s">
        <v>311</v>
      </c>
      <c r="B23" s="2145"/>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28000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455</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46" t="s">
        <v>1038</v>
      </c>
      <c r="B32" s="2147"/>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1100000</v>
      </c>
      <c r="I33" s="467">
        <v>0</v>
      </c>
      <c r="J33" s="467">
        <v>0</v>
      </c>
      <c r="K33" s="467">
        <v>0</v>
      </c>
      <c r="L33" s="522"/>
    </row>
    <row r="34" spans="1:12" s="484" customFormat="1" x14ac:dyDescent="0.2">
      <c r="A34" s="1509" t="s">
        <v>1058</v>
      </c>
      <c r="B34" s="523">
        <v>7220</v>
      </c>
      <c r="C34" s="465">
        <v>0</v>
      </c>
      <c r="D34" s="467">
        <v>0</v>
      </c>
      <c r="E34" s="467">
        <v>0</v>
      </c>
      <c r="F34" s="467">
        <v>0</v>
      </c>
      <c r="G34" s="476"/>
      <c r="H34" s="477">
        <v>219</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4" t="s">
        <v>392</v>
      </c>
      <c r="B44" s="2155"/>
      <c r="C44" s="1723">
        <f>SUM(C24:C43)</f>
        <v>28455</v>
      </c>
      <c r="D44" s="1723">
        <f t="shared" ref="D44:K44" si="6">SUM(D24:D43)</f>
        <v>0</v>
      </c>
      <c r="E44" s="1723">
        <f t="shared" si="6"/>
        <v>0</v>
      </c>
      <c r="F44" s="1723">
        <f t="shared" si="6"/>
        <v>0</v>
      </c>
      <c r="G44" s="1723">
        <f t="shared" si="6"/>
        <v>0</v>
      </c>
      <c r="H44" s="1723">
        <f t="shared" si="6"/>
        <v>1100219</v>
      </c>
      <c r="I44" s="1723">
        <f t="shared" si="6"/>
        <v>0</v>
      </c>
      <c r="J44" s="1723">
        <f t="shared" si="6"/>
        <v>0</v>
      </c>
      <c r="K44" s="1723">
        <f t="shared" si="6"/>
        <v>0</v>
      </c>
      <c r="L44" s="522"/>
    </row>
    <row r="45" spans="1:12" ht="15.75" customHeight="1" thickTop="1" x14ac:dyDescent="0.2">
      <c r="A45" s="2148" t="s">
        <v>110</v>
      </c>
      <c r="B45" s="2149"/>
      <c r="C45" s="526"/>
      <c r="D45" s="526"/>
      <c r="E45" s="526"/>
      <c r="F45" s="526"/>
      <c r="G45" s="526"/>
      <c r="H45" s="526"/>
      <c r="I45" s="526"/>
      <c r="J45" s="526"/>
      <c r="K45" s="526"/>
      <c r="L45" s="347"/>
    </row>
    <row r="46" spans="1:12" s="484" customFormat="1" ht="15.75" customHeight="1" x14ac:dyDescent="0.2">
      <c r="A46" s="2156" t="s">
        <v>111</v>
      </c>
      <c r="B46" s="2157"/>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28000</v>
      </c>
      <c r="J47" s="476"/>
      <c r="K47" s="476"/>
      <c r="L47" s="527"/>
    </row>
    <row r="48" spans="1:12" s="484" customFormat="1" ht="15" x14ac:dyDescent="0.2">
      <c r="A48" s="1510" t="s">
        <v>1759</v>
      </c>
      <c r="B48" s="482">
        <v>8120</v>
      </c>
      <c r="C48" s="479"/>
      <c r="D48" s="479"/>
      <c r="E48" s="476"/>
      <c r="F48" s="479"/>
      <c r="G48" s="476"/>
      <c r="H48" s="476"/>
      <c r="I48" s="1763">
        <f>SUM(C26:H26,J26,K26)</f>
        <v>455</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0" t="s">
        <v>460</v>
      </c>
      <c r="B76" s="2131"/>
      <c r="C76" s="1723">
        <f t="shared" ref="C76:K76" si="7">SUM(C47:C75)</f>
        <v>0</v>
      </c>
      <c r="D76" s="1723">
        <f t="shared" si="7"/>
        <v>0</v>
      </c>
      <c r="E76" s="1723">
        <f t="shared" si="7"/>
        <v>0</v>
      </c>
      <c r="F76" s="1723">
        <f t="shared" si="7"/>
        <v>0</v>
      </c>
      <c r="G76" s="1723">
        <f t="shared" si="7"/>
        <v>0</v>
      </c>
      <c r="H76" s="1723">
        <f t="shared" si="7"/>
        <v>0</v>
      </c>
      <c r="I76" s="1723">
        <f t="shared" si="7"/>
        <v>28455</v>
      </c>
      <c r="J76" s="1723">
        <f t="shared" si="7"/>
        <v>0</v>
      </c>
      <c r="K76" s="1723">
        <f t="shared" si="7"/>
        <v>0</v>
      </c>
      <c r="L76" s="522"/>
    </row>
    <row r="77" spans="1:12" ht="14.25" thickTop="1" thickBot="1" x14ac:dyDescent="0.25">
      <c r="A77" s="2132" t="s">
        <v>1239</v>
      </c>
      <c r="B77" s="2133"/>
      <c r="C77" s="1723">
        <f t="shared" ref="C77:K77" si="8">C44-C76</f>
        <v>28455</v>
      </c>
      <c r="D77" s="1723">
        <f t="shared" si="8"/>
        <v>0</v>
      </c>
      <c r="E77" s="1723">
        <f t="shared" si="8"/>
        <v>0</v>
      </c>
      <c r="F77" s="1723">
        <f t="shared" si="8"/>
        <v>0</v>
      </c>
      <c r="G77" s="1723">
        <f t="shared" si="8"/>
        <v>0</v>
      </c>
      <c r="H77" s="1723">
        <f t="shared" si="8"/>
        <v>1100219</v>
      </c>
      <c r="I77" s="1723">
        <f t="shared" si="8"/>
        <v>-28455</v>
      </c>
      <c r="J77" s="1723">
        <f t="shared" si="8"/>
        <v>0</v>
      </c>
      <c r="K77" s="1723">
        <f t="shared" si="8"/>
        <v>0</v>
      </c>
      <c r="L77" s="347"/>
    </row>
    <row r="78" spans="1:12" ht="21.75" customHeight="1" thickTop="1" thickBot="1" x14ac:dyDescent="0.25">
      <c r="A78" s="2136" t="s">
        <v>618</v>
      </c>
      <c r="B78" s="2137"/>
      <c r="C78" s="1722">
        <f t="shared" ref="C78:K78" si="9">C20+C77</f>
        <v>-31722</v>
      </c>
      <c r="D78" s="1722">
        <f t="shared" si="9"/>
        <v>-18047</v>
      </c>
      <c r="E78" s="1722">
        <f t="shared" si="9"/>
        <v>-4853</v>
      </c>
      <c r="F78" s="1722">
        <f t="shared" si="9"/>
        <v>132001</v>
      </c>
      <c r="G78" s="1722">
        <f t="shared" si="9"/>
        <v>18466</v>
      </c>
      <c r="H78" s="1722">
        <f t="shared" si="9"/>
        <v>559152</v>
      </c>
      <c r="I78" s="1722">
        <f t="shared" si="9"/>
        <v>890</v>
      </c>
      <c r="J78" s="1722">
        <f t="shared" si="9"/>
        <v>35154</v>
      </c>
      <c r="K78" s="1722">
        <f t="shared" si="9"/>
        <v>9266</v>
      </c>
      <c r="L78" s="531"/>
    </row>
    <row r="79" spans="1:12" ht="13.5" thickTop="1" x14ac:dyDescent="0.2">
      <c r="A79" s="1514" t="s">
        <v>2073</v>
      </c>
      <c r="B79" s="532"/>
      <c r="C79" s="467">
        <v>655393</v>
      </c>
      <c r="D79" s="467">
        <v>406071</v>
      </c>
      <c r="E79" s="467">
        <v>90534</v>
      </c>
      <c r="F79" s="467">
        <v>187523</v>
      </c>
      <c r="G79" s="467">
        <v>292124</v>
      </c>
      <c r="H79" s="467">
        <v>224123</v>
      </c>
      <c r="I79" s="467">
        <v>120851</v>
      </c>
      <c r="J79" s="467">
        <v>177134</v>
      </c>
      <c r="K79" s="467">
        <v>238195</v>
      </c>
      <c r="L79" s="347"/>
    </row>
    <row r="80" spans="1:12" x14ac:dyDescent="0.2">
      <c r="A80" s="2142" t="s">
        <v>1898</v>
      </c>
      <c r="B80" s="2143"/>
      <c r="C80" s="467">
        <v>0</v>
      </c>
      <c r="D80" s="467">
        <v>0</v>
      </c>
      <c r="E80" s="467">
        <v>0</v>
      </c>
      <c r="F80" s="467">
        <v>0</v>
      </c>
      <c r="G80" s="467">
        <v>0</v>
      </c>
      <c r="H80" s="467">
        <v>0</v>
      </c>
      <c r="I80" s="467">
        <v>0</v>
      </c>
      <c r="J80" s="467">
        <v>0</v>
      </c>
      <c r="K80" s="467">
        <v>0</v>
      </c>
      <c r="L80" s="347"/>
    </row>
    <row r="81" spans="1:12" ht="13.5" thickBot="1" x14ac:dyDescent="0.25">
      <c r="A81" s="2134" t="s">
        <v>2074</v>
      </c>
      <c r="B81" s="2135"/>
      <c r="C81" s="1708">
        <f>(SUM(C78:C80))</f>
        <v>623671</v>
      </c>
      <c r="D81" s="1708">
        <f>SUM(D78:D80)</f>
        <v>388024</v>
      </c>
      <c r="E81" s="1708">
        <f t="shared" ref="E81:K81" si="10">SUM(E78:E80)</f>
        <v>85681</v>
      </c>
      <c r="F81" s="1708">
        <f t="shared" si="10"/>
        <v>319524</v>
      </c>
      <c r="G81" s="1708">
        <f t="shared" si="10"/>
        <v>310590</v>
      </c>
      <c r="H81" s="1708">
        <f t="shared" si="10"/>
        <v>783275</v>
      </c>
      <c r="I81" s="1708">
        <f t="shared" si="10"/>
        <v>121741</v>
      </c>
      <c r="J81" s="1708">
        <f t="shared" si="10"/>
        <v>212288</v>
      </c>
      <c r="K81" s="1708">
        <f t="shared" si="10"/>
        <v>247461</v>
      </c>
      <c r="L81" s="347"/>
    </row>
    <row r="82" spans="1:12" ht="0.75" customHeight="1" thickTop="1" thickBot="1" x14ac:dyDescent="0.25">
      <c r="A82" s="534" t="s">
        <v>361</v>
      </c>
      <c r="B82" s="535"/>
      <c r="C82" s="536">
        <f>(C81-C79)</f>
        <v>-31722</v>
      </c>
      <c r="D82" s="536">
        <f t="shared" ref="D82:K82" si="11">(D81-D79)</f>
        <v>-18047</v>
      </c>
      <c r="E82" s="536">
        <f t="shared" si="11"/>
        <v>-4853</v>
      </c>
      <c r="F82" s="536">
        <f t="shared" si="11"/>
        <v>132001</v>
      </c>
      <c r="G82" s="536">
        <f t="shared" si="11"/>
        <v>18466</v>
      </c>
      <c r="H82" s="536">
        <f t="shared" si="11"/>
        <v>559152</v>
      </c>
      <c r="I82" s="536">
        <f t="shared" si="11"/>
        <v>890</v>
      </c>
      <c r="J82" s="536">
        <f t="shared" si="11"/>
        <v>35154</v>
      </c>
      <c r="K82" s="536">
        <f t="shared" si="11"/>
        <v>9266</v>
      </c>
    </row>
    <row r="83" spans="1:12" ht="14.25" hidden="1" thickTop="1" thickBot="1" x14ac:dyDescent="0.25">
      <c r="A83" s="537" t="s">
        <v>362</v>
      </c>
      <c r="B83" s="464"/>
      <c r="C83" s="538">
        <f>C82/C81</f>
        <v>-5.0863355839857877E-2</v>
      </c>
      <c r="D83" s="538">
        <f t="shared" ref="D83:K83" si="12">D82/D81</f>
        <v>-4.6510009690122263E-2</v>
      </c>
      <c r="E83" s="538">
        <f t="shared" si="12"/>
        <v>-5.6640328660963343E-2</v>
      </c>
      <c r="F83" s="538">
        <f t="shared" si="12"/>
        <v>0.41311763748576008</v>
      </c>
      <c r="G83" s="538">
        <f t="shared" si="12"/>
        <v>5.9454586432274061E-2</v>
      </c>
      <c r="H83" s="538">
        <f t="shared" si="12"/>
        <v>0.71386422393156934</v>
      </c>
      <c r="I83" s="538">
        <f t="shared" si="12"/>
        <v>7.310602015754758E-3</v>
      </c>
      <c r="J83" s="538">
        <f t="shared" si="12"/>
        <v>0.16559579439252337</v>
      </c>
      <c r="K83" s="538">
        <f t="shared" si="12"/>
        <v>3.7444284149825632E-2</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P36" sqref="P36"/>
      <selection pane="bottomLeft" activeCell="D5" sqref="D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8" t="s">
        <v>1905</v>
      </c>
      <c r="B1" s="452"/>
      <c r="C1" s="453" t="s">
        <v>445</v>
      </c>
      <c r="D1" s="453" t="s">
        <v>446</v>
      </c>
      <c r="E1" s="453" t="s">
        <v>447</v>
      </c>
      <c r="F1" s="453" t="s">
        <v>448</v>
      </c>
      <c r="G1" s="453" t="s">
        <v>449</v>
      </c>
      <c r="H1" s="453" t="s">
        <v>450</v>
      </c>
      <c r="I1" s="453" t="s">
        <v>451</v>
      </c>
      <c r="J1" s="453" t="s">
        <v>452</v>
      </c>
      <c r="K1" s="453" t="s">
        <v>780</v>
      </c>
    </row>
    <row r="2" spans="1:12" ht="36" x14ac:dyDescent="0.2">
      <c r="A2" s="2139"/>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1732608</v>
      </c>
      <c r="D5" s="480">
        <v>317680</v>
      </c>
      <c r="E5" s="480">
        <v>146206</v>
      </c>
      <c r="F5" s="546">
        <v>115522</v>
      </c>
      <c r="G5" s="466">
        <v>37576</v>
      </c>
      <c r="H5" s="466">
        <v>0</v>
      </c>
      <c r="I5" s="466">
        <v>28889</v>
      </c>
      <c r="J5" s="466">
        <v>395631</v>
      </c>
      <c r="K5" s="466">
        <v>28889</v>
      </c>
    </row>
    <row r="6" spans="1:12" ht="15" x14ac:dyDescent="0.2">
      <c r="A6" s="463" t="s">
        <v>1761</v>
      </c>
      <c r="B6" s="470">
        <v>1130</v>
      </c>
      <c r="C6" s="466">
        <v>28889</v>
      </c>
      <c r="D6" s="466">
        <v>0</v>
      </c>
      <c r="E6" s="475"/>
      <c r="F6" s="475"/>
      <c r="G6" s="468"/>
      <c r="H6" s="468"/>
      <c r="I6" s="468"/>
      <c r="J6" s="468"/>
      <c r="K6" s="468"/>
    </row>
    <row r="7" spans="1:12" x14ac:dyDescent="0.2">
      <c r="A7" s="463" t="s">
        <v>112</v>
      </c>
      <c r="B7" s="547">
        <v>1140</v>
      </c>
      <c r="C7" s="466">
        <v>23126</v>
      </c>
      <c r="D7" s="466">
        <v>0</v>
      </c>
      <c r="E7" s="468"/>
      <c r="F7" s="467">
        <v>0</v>
      </c>
      <c r="G7" s="467">
        <v>0</v>
      </c>
      <c r="H7" s="467">
        <v>0</v>
      </c>
      <c r="I7" s="468"/>
      <c r="J7" s="468"/>
      <c r="K7" s="468"/>
    </row>
    <row r="8" spans="1:12" x14ac:dyDescent="0.2">
      <c r="A8" s="463" t="s">
        <v>433</v>
      </c>
      <c r="B8" s="470">
        <v>1150</v>
      </c>
      <c r="C8" s="475"/>
      <c r="D8" s="475"/>
      <c r="E8" s="476"/>
      <c r="F8" s="476"/>
      <c r="G8" s="480">
        <v>127105</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1784623</v>
      </c>
      <c r="D12" s="1727">
        <f t="shared" si="0"/>
        <v>317680</v>
      </c>
      <c r="E12" s="1727">
        <f t="shared" si="0"/>
        <v>146206</v>
      </c>
      <c r="F12" s="1727">
        <f t="shared" si="0"/>
        <v>115522</v>
      </c>
      <c r="G12" s="1727">
        <f t="shared" si="0"/>
        <v>164681</v>
      </c>
      <c r="H12" s="1727">
        <f t="shared" si="0"/>
        <v>0</v>
      </c>
      <c r="I12" s="1727">
        <f t="shared" si="0"/>
        <v>28889</v>
      </c>
      <c r="J12" s="1727">
        <f t="shared" si="0"/>
        <v>395631</v>
      </c>
      <c r="K12" s="1708">
        <f t="shared" si="0"/>
        <v>28889</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55999</v>
      </c>
      <c r="D16" s="466">
        <v>0</v>
      </c>
      <c r="E16" s="466">
        <v>0</v>
      </c>
      <c r="F16" s="466">
        <v>0</v>
      </c>
      <c r="G16" s="466">
        <v>17046</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55999</v>
      </c>
      <c r="D18" s="1730">
        <f t="shared" ref="D18:K18" si="1">SUM(D14:D17)</f>
        <v>0</v>
      </c>
      <c r="E18" s="1730">
        <f t="shared" si="1"/>
        <v>0</v>
      </c>
      <c r="F18" s="1730">
        <f t="shared" si="1"/>
        <v>0</v>
      </c>
      <c r="G18" s="1730">
        <f t="shared" si="1"/>
        <v>17046</v>
      </c>
      <c r="H18" s="1730">
        <f t="shared" si="1"/>
        <v>0</v>
      </c>
      <c r="I18" s="1730">
        <f t="shared" si="1"/>
        <v>0</v>
      </c>
      <c r="J18" s="1730">
        <f t="shared" si="1"/>
        <v>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1450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1450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1660</v>
      </c>
      <c r="D65" s="466">
        <v>1467</v>
      </c>
      <c r="E65" s="466">
        <v>260</v>
      </c>
      <c r="F65" s="467">
        <v>681</v>
      </c>
      <c r="G65" s="466">
        <v>1001</v>
      </c>
      <c r="H65" s="466">
        <v>1889</v>
      </c>
      <c r="I65" s="466">
        <v>456</v>
      </c>
      <c r="J65" s="467">
        <v>921</v>
      </c>
      <c r="K65" s="466">
        <v>834</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1660</v>
      </c>
      <c r="D67" s="1708">
        <f t="shared" ref="D67:K67" si="2">SUM(D65:D66)</f>
        <v>1467</v>
      </c>
      <c r="E67" s="1708">
        <f t="shared" si="2"/>
        <v>260</v>
      </c>
      <c r="F67" s="1708">
        <f t="shared" si="2"/>
        <v>681</v>
      </c>
      <c r="G67" s="1708">
        <f t="shared" si="2"/>
        <v>1001</v>
      </c>
      <c r="H67" s="1708">
        <f t="shared" si="2"/>
        <v>1889</v>
      </c>
      <c r="I67" s="1708">
        <f t="shared" si="2"/>
        <v>456</v>
      </c>
      <c r="J67" s="1708">
        <f t="shared" si="2"/>
        <v>921</v>
      </c>
      <c r="K67" s="1708">
        <f t="shared" si="2"/>
        <v>834</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112878</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0</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112878</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21150</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10021</v>
      </c>
      <c r="D81" s="466">
        <v>0</v>
      </c>
      <c r="E81" s="468"/>
      <c r="F81" s="468"/>
      <c r="G81" s="468"/>
      <c r="H81" s="468"/>
      <c r="I81" s="468"/>
      <c r="J81" s="468"/>
      <c r="K81" s="468"/>
    </row>
    <row r="82" spans="1:11" ht="12.75" customHeight="1" thickBot="1" x14ac:dyDescent="0.25">
      <c r="A82" s="1728" t="s">
        <v>259</v>
      </c>
      <c r="B82" s="1729"/>
      <c r="C82" s="1727">
        <f>SUM(C77:C81)</f>
        <v>31171</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16134</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13471</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2050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31655</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45145</v>
      </c>
      <c r="D98" s="466">
        <v>0</v>
      </c>
      <c r="E98" s="510"/>
      <c r="F98" s="466">
        <v>19584</v>
      </c>
      <c r="G98" s="510"/>
      <c r="H98" s="510"/>
      <c r="I98" s="508"/>
      <c r="J98" s="510"/>
      <c r="K98" s="510"/>
    </row>
    <row r="99" spans="1:12" ht="12.75" customHeight="1" x14ac:dyDescent="0.2">
      <c r="A99" s="463" t="s">
        <v>875</v>
      </c>
      <c r="B99" s="470">
        <v>1950</v>
      </c>
      <c r="C99" s="487">
        <v>49042</v>
      </c>
      <c r="D99" s="466">
        <v>0</v>
      </c>
      <c r="E99" s="466">
        <v>0</v>
      </c>
      <c r="F99" s="466">
        <v>0</v>
      </c>
      <c r="G99" s="466">
        <v>0</v>
      </c>
      <c r="H99" s="466">
        <v>0</v>
      </c>
      <c r="I99" s="468"/>
      <c r="J99" s="467">
        <v>4591</v>
      </c>
      <c r="K99" s="466">
        <v>0</v>
      </c>
    </row>
    <row r="100" spans="1:12" ht="12.75" customHeight="1" x14ac:dyDescent="0.2">
      <c r="A100" s="463" t="s">
        <v>263</v>
      </c>
      <c r="B100" s="470">
        <v>1960</v>
      </c>
      <c r="C100" s="487">
        <v>0</v>
      </c>
      <c r="D100" s="487">
        <v>60000</v>
      </c>
      <c r="E100" s="487">
        <v>0</v>
      </c>
      <c r="F100" s="487">
        <v>28967</v>
      </c>
      <c r="G100" s="487">
        <v>0</v>
      </c>
      <c r="H100" s="487">
        <v>0</v>
      </c>
      <c r="I100" s="467">
        <v>0</v>
      </c>
      <c r="J100" s="487">
        <v>0</v>
      </c>
      <c r="K100" s="467">
        <v>0</v>
      </c>
    </row>
    <row r="101" spans="1:12" ht="12.75" customHeight="1" x14ac:dyDescent="0.2">
      <c r="A101" s="463" t="s">
        <v>264</v>
      </c>
      <c r="B101" s="470">
        <v>1970</v>
      </c>
      <c r="C101" s="487">
        <v>1600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20687</v>
      </c>
      <c r="F103" s="468"/>
      <c r="G103" s="468"/>
      <c r="H103" s="487">
        <v>163918</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2783</v>
      </c>
      <c r="D107" s="466">
        <v>1600</v>
      </c>
      <c r="E107" s="466">
        <v>0</v>
      </c>
      <c r="F107" s="466">
        <v>122</v>
      </c>
      <c r="G107" s="466">
        <v>0</v>
      </c>
      <c r="H107" s="466">
        <v>430</v>
      </c>
      <c r="I107" s="466">
        <v>0</v>
      </c>
      <c r="J107" s="467">
        <v>6628</v>
      </c>
      <c r="K107" s="466">
        <v>300</v>
      </c>
    </row>
    <row r="108" spans="1:12" ht="12.75" customHeight="1" thickBot="1" x14ac:dyDescent="0.25">
      <c r="A108" s="1728" t="s">
        <v>508</v>
      </c>
      <c r="B108" s="1732"/>
      <c r="C108" s="1727">
        <f>SUM(C95:C107)</f>
        <v>98570</v>
      </c>
      <c r="D108" s="1727">
        <f t="shared" ref="D108:K108" si="3">SUM(D95:D107)</f>
        <v>61600</v>
      </c>
      <c r="E108" s="1727">
        <f t="shared" si="3"/>
        <v>20687</v>
      </c>
      <c r="F108" s="1727">
        <f t="shared" si="3"/>
        <v>48673</v>
      </c>
      <c r="G108" s="1727">
        <f t="shared" si="3"/>
        <v>0</v>
      </c>
      <c r="H108" s="1727">
        <f t="shared" si="3"/>
        <v>164348</v>
      </c>
      <c r="I108" s="1727">
        <f t="shared" si="3"/>
        <v>0</v>
      </c>
      <c r="J108" s="1727">
        <f t="shared" si="3"/>
        <v>11219</v>
      </c>
      <c r="K108" s="1708">
        <f t="shared" si="3"/>
        <v>300</v>
      </c>
    </row>
    <row r="109" spans="1:12" ht="14.25" thickTop="1" thickBot="1" x14ac:dyDescent="0.25">
      <c r="A109" s="1733" t="s">
        <v>266</v>
      </c>
      <c r="B109" s="1734" t="s">
        <v>591</v>
      </c>
      <c r="C109" s="1735">
        <f t="shared" ref="C109:K109" si="4">SUM(C12,C18,C40,C63,C67,C75,C82,C93,C108,)</f>
        <v>2116556</v>
      </c>
      <c r="D109" s="1735">
        <f t="shared" si="4"/>
        <v>380747</v>
      </c>
      <c r="E109" s="1735">
        <f t="shared" si="4"/>
        <v>167153</v>
      </c>
      <c r="F109" s="1735">
        <f t="shared" si="4"/>
        <v>166326</v>
      </c>
      <c r="G109" s="1735">
        <f t="shared" si="4"/>
        <v>182728</v>
      </c>
      <c r="H109" s="1735">
        <f t="shared" si="4"/>
        <v>166237</v>
      </c>
      <c r="I109" s="1735">
        <f t="shared" si="4"/>
        <v>29345</v>
      </c>
      <c r="J109" s="1735">
        <f t="shared" si="4"/>
        <v>407771</v>
      </c>
      <c r="K109" s="1722">
        <f t="shared" si="4"/>
        <v>30023</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1187808</v>
      </c>
      <c r="D117" s="480">
        <v>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1187808</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30535</v>
      </c>
      <c r="D125" s="559"/>
      <c r="E125" s="468"/>
      <c r="F125" s="466">
        <v>0</v>
      </c>
      <c r="G125" s="468"/>
      <c r="H125" s="468"/>
      <c r="I125" s="468"/>
      <c r="J125" s="468"/>
      <c r="K125" s="468"/>
    </row>
    <row r="126" spans="1:11" ht="12.75" customHeight="1" x14ac:dyDescent="0.2">
      <c r="A126" s="463" t="s">
        <v>922</v>
      </c>
      <c r="B126" s="560">
        <v>3110</v>
      </c>
      <c r="C126" s="549">
        <v>19743</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50278</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10005</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19588</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29593</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1360</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7677</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140770</v>
      </c>
      <c r="G151" s="467">
        <v>0</v>
      </c>
      <c r="H151" s="468"/>
      <c r="I151" s="468"/>
      <c r="J151" s="468"/>
      <c r="K151" s="468"/>
    </row>
    <row r="152" spans="1:11" ht="12.75" customHeight="1" x14ac:dyDescent="0.2">
      <c r="A152" s="463" t="s">
        <v>1117</v>
      </c>
      <c r="B152" s="560">
        <v>3510</v>
      </c>
      <c r="C152" s="549">
        <v>0</v>
      </c>
      <c r="D152" s="466">
        <v>0</v>
      </c>
      <c r="E152" s="559"/>
      <c r="F152" s="466">
        <v>82719</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223489</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81413</v>
      </c>
      <c r="D158" s="576">
        <v>0</v>
      </c>
      <c r="E158" s="559"/>
      <c r="F158" s="574">
        <v>17687</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1500</v>
      </c>
      <c r="D171" s="578">
        <v>0</v>
      </c>
      <c r="E171" s="578">
        <v>0</v>
      </c>
      <c r="F171" s="578">
        <v>0</v>
      </c>
      <c r="G171" s="579">
        <v>0</v>
      </c>
      <c r="H171" s="580">
        <v>0</v>
      </c>
      <c r="I171" s="579">
        <v>0</v>
      </c>
      <c r="J171" s="579">
        <v>0</v>
      </c>
      <c r="K171" s="580">
        <v>0</v>
      </c>
    </row>
    <row r="172" spans="1:11" ht="12.75" customHeight="1" thickTop="1" thickBot="1" x14ac:dyDescent="0.25">
      <c r="A172" s="2158" t="s">
        <v>418</v>
      </c>
      <c r="B172" s="2159"/>
      <c r="C172" s="1742">
        <f t="shared" ref="C172:K172" si="6">SUM(C131,C140,C144,C145:C149,C154,C155:C170,C171)</f>
        <v>171821</v>
      </c>
      <c r="D172" s="1742">
        <f t="shared" si="6"/>
        <v>0</v>
      </c>
      <c r="E172" s="1742">
        <f t="shared" si="6"/>
        <v>0</v>
      </c>
      <c r="F172" s="1742">
        <f t="shared" si="6"/>
        <v>241176</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1359629</v>
      </c>
      <c r="D173" s="1735">
        <f>SUM(D121,D172)</f>
        <v>0</v>
      </c>
      <c r="E173" s="1735">
        <f>SUM(E121,E172)</f>
        <v>0</v>
      </c>
      <c r="F173" s="1735">
        <f t="shared" ref="F173:K173" si="7">SUM(F121,F172)</f>
        <v>241176</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0" t="s">
        <v>1572</v>
      </c>
      <c r="B175" s="2161"/>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4" t="s">
        <v>1764</v>
      </c>
      <c r="B178" s="2165"/>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68" t="s">
        <v>1763</v>
      </c>
      <c r="B179" s="2169"/>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17127</v>
      </c>
      <c r="D183" s="466">
        <v>0</v>
      </c>
      <c r="E183" s="468"/>
      <c r="F183" s="466">
        <v>0</v>
      </c>
      <c r="G183" s="466">
        <v>0</v>
      </c>
      <c r="H183" s="466">
        <v>0</v>
      </c>
      <c r="I183" s="468"/>
      <c r="J183" s="468"/>
      <c r="K183" s="466">
        <v>0</v>
      </c>
    </row>
    <row r="184" spans="1:11" ht="13.5" thickBot="1" x14ac:dyDescent="0.25">
      <c r="A184" s="2166" t="s">
        <v>818</v>
      </c>
      <c r="B184" s="2167"/>
      <c r="C184" s="1727">
        <f>SUM(C180:C183)</f>
        <v>17127</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2" t="s">
        <v>1906</v>
      </c>
      <c r="B185" s="2163"/>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91956</v>
      </c>
      <c r="D194" s="468"/>
      <c r="E194" s="559"/>
      <c r="F194" s="468"/>
      <c r="G194" s="583">
        <v>0</v>
      </c>
      <c r="H194" s="468"/>
      <c r="I194" s="468"/>
      <c r="J194" s="468"/>
      <c r="K194" s="468"/>
    </row>
    <row r="195" spans="1:11" ht="12.75" customHeight="1" x14ac:dyDescent="0.2">
      <c r="A195" s="463" t="s">
        <v>1107</v>
      </c>
      <c r="B195" s="470">
        <v>4215</v>
      </c>
      <c r="C195" s="549">
        <v>1136</v>
      </c>
      <c r="D195" s="468"/>
      <c r="E195" s="559"/>
      <c r="F195" s="468"/>
      <c r="G195" s="583">
        <v>0</v>
      </c>
      <c r="H195" s="468"/>
      <c r="I195" s="468"/>
      <c r="J195" s="468"/>
      <c r="K195" s="468"/>
    </row>
    <row r="196" spans="1:11" ht="12.75" customHeight="1" x14ac:dyDescent="0.2">
      <c r="A196" s="463" t="s">
        <v>1119</v>
      </c>
      <c r="B196" s="470">
        <v>4220</v>
      </c>
      <c r="C196" s="549">
        <v>24514</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117606</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56611</v>
      </c>
      <c r="D203" s="466">
        <v>0</v>
      </c>
      <c r="E203" s="468"/>
      <c r="F203" s="466">
        <v>0</v>
      </c>
      <c r="G203" s="466">
        <v>4742</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56611</v>
      </c>
      <c r="D211" s="1727">
        <f>SUM(D203:D210)</f>
        <v>0</v>
      </c>
      <c r="E211" s="468"/>
      <c r="F211" s="1727">
        <f>SUM(F203:F210)</f>
        <v>0</v>
      </c>
      <c r="G211" s="1727">
        <f>SUM(G203:G210)</f>
        <v>4742</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123526</v>
      </c>
      <c r="D214" s="466">
        <v>0</v>
      </c>
      <c r="E214" s="468"/>
      <c r="F214" s="466">
        <v>2621</v>
      </c>
      <c r="G214" s="466">
        <v>3667</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123526</v>
      </c>
      <c r="D216" s="1727">
        <f>SUM(D213:D215)</f>
        <v>0</v>
      </c>
      <c r="E216" s="468" t="s">
        <v>1231</v>
      </c>
      <c r="F216" s="1727">
        <f>SUM(F213:F215)</f>
        <v>2621</v>
      </c>
      <c r="G216" s="1727">
        <f>SUM(G213:G215)</f>
        <v>3667</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21818</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2487</v>
      </c>
      <c r="D270" s="574">
        <v>0</v>
      </c>
      <c r="E270" s="468"/>
      <c r="F270" s="574">
        <v>0</v>
      </c>
      <c r="G270" s="574">
        <v>0</v>
      </c>
      <c r="H270" s="468"/>
      <c r="I270" s="468"/>
      <c r="J270" s="468"/>
      <c r="K270" s="468"/>
    </row>
    <row r="271" spans="1:11" ht="12.75" customHeight="1" thickTop="1" thickBot="1" x14ac:dyDescent="0.25">
      <c r="A271" s="463" t="s">
        <v>395</v>
      </c>
      <c r="B271" s="470">
        <v>4992</v>
      </c>
      <c r="C271" s="573">
        <v>16174</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338222</v>
      </c>
      <c r="D273" s="1735">
        <f t="shared" si="10"/>
        <v>0</v>
      </c>
      <c r="E273" s="1735">
        <f t="shared" si="10"/>
        <v>0</v>
      </c>
      <c r="F273" s="1735">
        <f t="shared" si="10"/>
        <v>2621</v>
      </c>
      <c r="G273" s="1735">
        <f t="shared" si="10"/>
        <v>8409</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355349</v>
      </c>
      <c r="D274" s="1735">
        <f>SUM(D178,D184,D273)</f>
        <v>0</v>
      </c>
      <c r="E274" s="1735">
        <f>SUM(E178,E273)</f>
        <v>0</v>
      </c>
      <c r="F274" s="1735">
        <f t="shared" ref="F274:K274" si="11">SUM(F178,F184,F273)</f>
        <v>2621</v>
      </c>
      <c r="G274" s="1735">
        <f t="shared" si="11"/>
        <v>8409</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3831534</v>
      </c>
      <c r="D275" s="1735">
        <f t="shared" si="12"/>
        <v>380747</v>
      </c>
      <c r="E275" s="1735">
        <f t="shared" si="12"/>
        <v>167153</v>
      </c>
      <c r="F275" s="1735">
        <f t="shared" si="12"/>
        <v>410123</v>
      </c>
      <c r="G275" s="1735">
        <f t="shared" si="12"/>
        <v>191137</v>
      </c>
      <c r="H275" s="1735">
        <f t="shared" si="12"/>
        <v>166237</v>
      </c>
      <c r="I275" s="1735">
        <f t="shared" si="12"/>
        <v>29345</v>
      </c>
      <c r="J275" s="1735">
        <f t="shared" si="12"/>
        <v>407771</v>
      </c>
      <c r="K275" s="1722">
        <f t="shared" si="12"/>
        <v>30023</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P36" sqref="P36"/>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38"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0"/>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6" t="s">
        <v>315</v>
      </c>
      <c r="B3" s="2177"/>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1791558</v>
      </c>
      <c r="D5" s="466">
        <v>193505</v>
      </c>
      <c r="E5" s="466">
        <v>11003</v>
      </c>
      <c r="F5" s="466">
        <v>88130</v>
      </c>
      <c r="G5" s="466">
        <v>24765</v>
      </c>
      <c r="H5" s="466">
        <v>6184</v>
      </c>
      <c r="I5" s="467">
        <v>0</v>
      </c>
      <c r="J5" s="467">
        <v>0</v>
      </c>
      <c r="K5" s="1691">
        <f>SUM(C5:J5)</f>
        <v>2115145</v>
      </c>
      <c r="L5" s="466">
        <v>2210468</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46453</v>
      </c>
      <c r="D7" s="467">
        <v>5675</v>
      </c>
      <c r="E7" s="467">
        <v>0</v>
      </c>
      <c r="F7" s="467">
        <v>8735</v>
      </c>
      <c r="G7" s="467">
        <v>1864</v>
      </c>
      <c r="H7" s="467">
        <v>0</v>
      </c>
      <c r="I7" s="467">
        <v>0</v>
      </c>
      <c r="J7" s="467">
        <v>0</v>
      </c>
      <c r="K7" s="1691">
        <f t="shared" ref="K7:K32" si="0">SUM(C7:J7)</f>
        <v>62727</v>
      </c>
      <c r="L7" s="466">
        <v>61700</v>
      </c>
    </row>
    <row r="8" spans="1:14" x14ac:dyDescent="0.2">
      <c r="A8" s="1524" t="s">
        <v>166</v>
      </c>
      <c r="B8" s="613">
        <v>1200</v>
      </c>
      <c r="C8" s="466">
        <v>193050</v>
      </c>
      <c r="D8" s="466">
        <v>25048</v>
      </c>
      <c r="E8" s="466">
        <v>0</v>
      </c>
      <c r="F8" s="466">
        <v>0</v>
      </c>
      <c r="G8" s="466">
        <v>0</v>
      </c>
      <c r="H8" s="466">
        <v>0</v>
      </c>
      <c r="I8" s="467">
        <v>0</v>
      </c>
      <c r="J8" s="467">
        <v>0</v>
      </c>
      <c r="K8" s="1691">
        <f t="shared" si="0"/>
        <v>218098</v>
      </c>
      <c r="L8" s="466">
        <v>219700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72058</v>
      </c>
      <c r="D10" s="466">
        <v>10354</v>
      </c>
      <c r="E10" s="466">
        <v>600</v>
      </c>
      <c r="F10" s="466">
        <v>5891</v>
      </c>
      <c r="G10" s="466">
        <v>850</v>
      </c>
      <c r="H10" s="466">
        <v>0</v>
      </c>
      <c r="I10" s="467">
        <v>0</v>
      </c>
      <c r="J10" s="467">
        <v>0</v>
      </c>
      <c r="K10" s="1691">
        <f t="shared" si="0"/>
        <v>89753</v>
      </c>
      <c r="L10" s="466">
        <v>91550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192755</v>
      </c>
      <c r="D13" s="466">
        <v>22817</v>
      </c>
      <c r="E13" s="466">
        <v>778</v>
      </c>
      <c r="F13" s="466">
        <v>13123</v>
      </c>
      <c r="G13" s="466">
        <v>573</v>
      </c>
      <c r="H13" s="466">
        <v>0</v>
      </c>
      <c r="I13" s="467">
        <v>0</v>
      </c>
      <c r="J13" s="467">
        <v>0</v>
      </c>
      <c r="K13" s="1691">
        <f t="shared" si="0"/>
        <v>230046</v>
      </c>
      <c r="L13" s="466">
        <v>220855</v>
      </c>
    </row>
    <row r="14" spans="1:14" x14ac:dyDescent="0.2">
      <c r="A14" s="1524" t="s">
        <v>1020</v>
      </c>
      <c r="B14" s="613">
        <v>1500</v>
      </c>
      <c r="C14" s="467">
        <v>100204</v>
      </c>
      <c r="D14" s="466">
        <v>0</v>
      </c>
      <c r="E14" s="466">
        <v>9231</v>
      </c>
      <c r="F14" s="466">
        <v>21333</v>
      </c>
      <c r="G14" s="466">
        <v>0</v>
      </c>
      <c r="H14" s="466">
        <v>850</v>
      </c>
      <c r="I14" s="467">
        <v>0</v>
      </c>
      <c r="J14" s="467">
        <v>0</v>
      </c>
      <c r="K14" s="1691">
        <f t="shared" si="0"/>
        <v>131618</v>
      </c>
      <c r="L14" s="466">
        <v>113050</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13456</v>
      </c>
      <c r="D17" s="467">
        <v>0</v>
      </c>
      <c r="E17" s="467">
        <v>2819</v>
      </c>
      <c r="F17" s="467">
        <v>0</v>
      </c>
      <c r="G17" s="467">
        <v>0</v>
      </c>
      <c r="H17" s="467">
        <v>0</v>
      </c>
      <c r="I17" s="467">
        <v>0</v>
      </c>
      <c r="J17" s="467">
        <v>0</v>
      </c>
      <c r="K17" s="1691">
        <f t="shared" si="0"/>
        <v>16275</v>
      </c>
      <c r="L17" s="466">
        <v>16700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2409534</v>
      </c>
      <c r="D33" s="1690">
        <f t="shared" ref="D33:L33" si="1">SUM(D5:D32)</f>
        <v>257399</v>
      </c>
      <c r="E33" s="1690">
        <f t="shared" si="1"/>
        <v>24431</v>
      </c>
      <c r="F33" s="1690">
        <f t="shared" si="1"/>
        <v>137212</v>
      </c>
      <c r="G33" s="1690">
        <f t="shared" si="1"/>
        <v>28052</v>
      </c>
      <c r="H33" s="1690">
        <f t="shared" si="1"/>
        <v>7034</v>
      </c>
      <c r="I33" s="1690">
        <f t="shared" si="1"/>
        <v>0</v>
      </c>
      <c r="J33" s="1690">
        <f t="shared" si="1"/>
        <v>0</v>
      </c>
      <c r="K33" s="1690">
        <f t="shared" si="1"/>
        <v>2863662</v>
      </c>
      <c r="L33" s="1690">
        <f t="shared" si="1"/>
        <v>2934023</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0</v>
      </c>
      <c r="D37" s="466">
        <v>0</v>
      </c>
      <c r="E37" s="466">
        <v>0</v>
      </c>
      <c r="F37" s="466">
        <v>270</v>
      </c>
      <c r="G37" s="466">
        <v>0</v>
      </c>
      <c r="H37" s="466">
        <v>0</v>
      </c>
      <c r="I37" s="467">
        <v>0</v>
      </c>
      <c r="J37" s="467">
        <v>0</v>
      </c>
      <c r="K37" s="1691">
        <f t="shared" si="2"/>
        <v>270</v>
      </c>
      <c r="L37" s="466">
        <v>270</v>
      </c>
    </row>
    <row r="38" spans="1:14" x14ac:dyDescent="0.2">
      <c r="A38" s="1524" t="s">
        <v>207</v>
      </c>
      <c r="B38" s="613">
        <v>2130</v>
      </c>
      <c r="C38" s="466">
        <v>5460</v>
      </c>
      <c r="D38" s="466">
        <v>5145</v>
      </c>
      <c r="E38" s="466">
        <v>70</v>
      </c>
      <c r="F38" s="466">
        <v>1317</v>
      </c>
      <c r="G38" s="466">
        <v>0</v>
      </c>
      <c r="H38" s="466">
        <v>0</v>
      </c>
      <c r="I38" s="467">
        <v>0</v>
      </c>
      <c r="J38" s="467">
        <v>0</v>
      </c>
      <c r="K38" s="1691">
        <f t="shared" si="2"/>
        <v>11992</v>
      </c>
      <c r="L38" s="466">
        <v>16700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0</v>
      </c>
      <c r="G40" s="466">
        <v>0</v>
      </c>
      <c r="H40" s="466">
        <v>0</v>
      </c>
      <c r="I40" s="467">
        <v>0</v>
      </c>
      <c r="J40" s="467">
        <v>0</v>
      </c>
      <c r="K40" s="1691">
        <f t="shared" si="2"/>
        <v>0</v>
      </c>
      <c r="L40" s="466">
        <v>0</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5460</v>
      </c>
      <c r="D42" s="1690">
        <f t="shared" ref="D42:L42" si="3">SUM(D36:D41)</f>
        <v>5145</v>
      </c>
      <c r="E42" s="1690">
        <f t="shared" si="3"/>
        <v>70</v>
      </c>
      <c r="F42" s="1690">
        <f t="shared" si="3"/>
        <v>1587</v>
      </c>
      <c r="G42" s="1690">
        <f t="shared" si="3"/>
        <v>0</v>
      </c>
      <c r="H42" s="1690">
        <f t="shared" si="3"/>
        <v>0</v>
      </c>
      <c r="I42" s="1690">
        <f t="shared" si="3"/>
        <v>0</v>
      </c>
      <c r="J42" s="1690">
        <f t="shared" si="3"/>
        <v>0</v>
      </c>
      <c r="K42" s="1690">
        <f t="shared" si="3"/>
        <v>12262</v>
      </c>
      <c r="L42" s="1690">
        <f t="shared" si="3"/>
        <v>16970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1351</v>
      </c>
      <c r="D44" s="480">
        <v>7100</v>
      </c>
      <c r="E44" s="480">
        <v>6499</v>
      </c>
      <c r="F44" s="480">
        <v>0</v>
      </c>
      <c r="G44" s="480">
        <v>0</v>
      </c>
      <c r="H44" s="480">
        <v>0</v>
      </c>
      <c r="I44" s="467">
        <v>0</v>
      </c>
      <c r="J44" s="467">
        <v>0</v>
      </c>
      <c r="K44" s="1692">
        <f>SUM(C44:J44)</f>
        <v>14950</v>
      </c>
      <c r="L44" s="480">
        <v>25245</v>
      </c>
    </row>
    <row r="45" spans="1:14" x14ac:dyDescent="0.2">
      <c r="A45" s="1524" t="s">
        <v>869</v>
      </c>
      <c r="B45" s="613">
        <v>2220</v>
      </c>
      <c r="C45" s="467">
        <v>0</v>
      </c>
      <c r="D45" s="466">
        <v>0</v>
      </c>
      <c r="E45" s="466">
        <v>3790</v>
      </c>
      <c r="F45" s="466">
        <v>2474</v>
      </c>
      <c r="G45" s="466">
        <v>0</v>
      </c>
      <c r="H45" s="466">
        <v>0</v>
      </c>
      <c r="I45" s="467">
        <v>0</v>
      </c>
      <c r="J45" s="467">
        <v>0</v>
      </c>
      <c r="K45" s="1692">
        <f>SUM(C45:J45)</f>
        <v>6264</v>
      </c>
      <c r="L45" s="466">
        <v>6900</v>
      </c>
    </row>
    <row r="46" spans="1:14" x14ac:dyDescent="0.2">
      <c r="A46" s="1524" t="s">
        <v>870</v>
      </c>
      <c r="B46" s="613">
        <v>2230</v>
      </c>
      <c r="C46" s="467">
        <v>0</v>
      </c>
      <c r="D46" s="466">
        <v>0</v>
      </c>
      <c r="E46" s="466">
        <v>16982</v>
      </c>
      <c r="F46" s="466">
        <v>0</v>
      </c>
      <c r="G46" s="466">
        <v>0</v>
      </c>
      <c r="H46" s="466">
        <v>0</v>
      </c>
      <c r="I46" s="467">
        <v>0</v>
      </c>
      <c r="J46" s="467">
        <v>0</v>
      </c>
      <c r="K46" s="1692">
        <f>SUM(C46:J46)</f>
        <v>16982</v>
      </c>
      <c r="L46" s="466">
        <v>17500</v>
      </c>
    </row>
    <row r="47" spans="1:14" ht="12.75" customHeight="1" thickBot="1" x14ac:dyDescent="0.25">
      <c r="A47" s="1688" t="s">
        <v>582</v>
      </c>
      <c r="B47" s="1689" t="s">
        <v>32</v>
      </c>
      <c r="C47" s="1690">
        <f>SUM(C44:C46)</f>
        <v>1351</v>
      </c>
      <c r="D47" s="1690">
        <f t="shared" ref="D47:K47" si="4">SUM(D44:D46)</f>
        <v>7100</v>
      </c>
      <c r="E47" s="1690">
        <f t="shared" si="4"/>
        <v>27271</v>
      </c>
      <c r="F47" s="1690">
        <f t="shared" si="4"/>
        <v>2474</v>
      </c>
      <c r="G47" s="1690">
        <f t="shared" si="4"/>
        <v>0</v>
      </c>
      <c r="H47" s="1690">
        <f t="shared" si="4"/>
        <v>0</v>
      </c>
      <c r="I47" s="1690">
        <f t="shared" si="4"/>
        <v>0</v>
      </c>
      <c r="J47" s="1690">
        <f t="shared" si="4"/>
        <v>0</v>
      </c>
      <c r="K47" s="1690">
        <f t="shared" si="4"/>
        <v>38196</v>
      </c>
      <c r="L47" s="1690">
        <f>SUM(L44:L46)</f>
        <v>49645</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1478</v>
      </c>
      <c r="D49" s="480">
        <v>0</v>
      </c>
      <c r="E49" s="480">
        <v>22962</v>
      </c>
      <c r="F49" s="480">
        <v>0</v>
      </c>
      <c r="G49" s="480">
        <v>0</v>
      </c>
      <c r="H49" s="480">
        <v>11404</v>
      </c>
      <c r="I49" s="467">
        <v>0</v>
      </c>
      <c r="J49" s="467">
        <v>0</v>
      </c>
      <c r="K49" s="1692">
        <f>SUM(C49:J49)</f>
        <v>35844</v>
      </c>
      <c r="L49" s="466">
        <v>34500</v>
      </c>
    </row>
    <row r="50" spans="1:14" x14ac:dyDescent="0.2">
      <c r="A50" s="1524" t="s">
        <v>872</v>
      </c>
      <c r="B50" s="613">
        <v>2320</v>
      </c>
      <c r="C50" s="466">
        <v>61863</v>
      </c>
      <c r="D50" s="466">
        <v>29017</v>
      </c>
      <c r="E50" s="466">
        <v>0</v>
      </c>
      <c r="F50" s="466">
        <v>0</v>
      </c>
      <c r="G50" s="466">
        <v>0</v>
      </c>
      <c r="H50" s="466">
        <v>0</v>
      </c>
      <c r="I50" s="467">
        <v>0</v>
      </c>
      <c r="J50" s="467">
        <v>0</v>
      </c>
      <c r="K50" s="1692">
        <f>SUM(C50:J50)</f>
        <v>90880</v>
      </c>
      <c r="L50" s="466">
        <v>90987</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63341</v>
      </c>
      <c r="D53" s="1690">
        <f t="shared" ref="D53:L53" si="5">SUM(D49:D52)</f>
        <v>29017</v>
      </c>
      <c r="E53" s="1690">
        <f t="shared" si="5"/>
        <v>22962</v>
      </c>
      <c r="F53" s="1690">
        <f t="shared" si="5"/>
        <v>0</v>
      </c>
      <c r="G53" s="1690">
        <f t="shared" si="5"/>
        <v>0</v>
      </c>
      <c r="H53" s="1690">
        <f t="shared" si="5"/>
        <v>11404</v>
      </c>
      <c r="I53" s="1690">
        <f t="shared" si="5"/>
        <v>0</v>
      </c>
      <c r="J53" s="1690">
        <f t="shared" si="5"/>
        <v>0</v>
      </c>
      <c r="K53" s="1690">
        <f t="shared" si="5"/>
        <v>126724</v>
      </c>
      <c r="L53" s="1690">
        <f t="shared" si="5"/>
        <v>125487</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194216</v>
      </c>
      <c r="D55" s="480">
        <v>83072</v>
      </c>
      <c r="E55" s="480">
        <v>0</v>
      </c>
      <c r="F55" s="480">
        <v>0</v>
      </c>
      <c r="G55" s="480">
        <v>0</v>
      </c>
      <c r="H55" s="480">
        <v>770</v>
      </c>
      <c r="I55" s="467">
        <v>0</v>
      </c>
      <c r="J55" s="467">
        <v>0</v>
      </c>
      <c r="K55" s="1692">
        <f>SUM(C55:J55)</f>
        <v>278058</v>
      </c>
      <c r="L55" s="480">
        <v>263485</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194216</v>
      </c>
      <c r="D57" s="1694">
        <f t="shared" ref="D57:K57" si="6">SUM(D55:D56)</f>
        <v>83072</v>
      </c>
      <c r="E57" s="1694">
        <f t="shared" si="6"/>
        <v>0</v>
      </c>
      <c r="F57" s="1694">
        <f t="shared" si="6"/>
        <v>0</v>
      </c>
      <c r="G57" s="1694">
        <f t="shared" si="6"/>
        <v>0</v>
      </c>
      <c r="H57" s="1694">
        <f t="shared" si="6"/>
        <v>770</v>
      </c>
      <c r="I57" s="1694">
        <f t="shared" si="6"/>
        <v>0</v>
      </c>
      <c r="J57" s="1694">
        <f t="shared" si="6"/>
        <v>0</v>
      </c>
      <c r="K57" s="1694">
        <f t="shared" si="6"/>
        <v>278058</v>
      </c>
      <c r="L57" s="1690">
        <f>SUM(L55:L56)</f>
        <v>263485</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65143</v>
      </c>
      <c r="D60" s="466">
        <v>8250</v>
      </c>
      <c r="E60" s="466">
        <v>38272</v>
      </c>
      <c r="F60" s="466">
        <v>1389</v>
      </c>
      <c r="G60" s="466">
        <v>0</v>
      </c>
      <c r="H60" s="466">
        <v>0</v>
      </c>
      <c r="I60" s="467">
        <v>0</v>
      </c>
      <c r="J60" s="467">
        <v>0</v>
      </c>
      <c r="K60" s="1692">
        <f t="shared" si="7"/>
        <v>113054</v>
      </c>
      <c r="L60" s="466">
        <v>114400</v>
      </c>
      <c r="M60" s="608"/>
      <c r="N60" s="608"/>
    </row>
    <row r="61" spans="1:14" s="343" customFormat="1" x14ac:dyDescent="0.2">
      <c r="A61" s="1524" t="s">
        <v>206</v>
      </c>
      <c r="B61" s="613">
        <v>2540</v>
      </c>
      <c r="C61" s="467">
        <v>0</v>
      </c>
      <c r="D61" s="466">
        <v>0</v>
      </c>
      <c r="E61" s="466">
        <v>0</v>
      </c>
      <c r="F61" s="466">
        <v>0</v>
      </c>
      <c r="G61" s="466">
        <v>0</v>
      </c>
      <c r="H61" s="466">
        <v>0</v>
      </c>
      <c r="I61" s="467">
        <v>0</v>
      </c>
      <c r="J61" s="467">
        <v>0</v>
      </c>
      <c r="K61" s="1692">
        <f t="shared" si="7"/>
        <v>0</v>
      </c>
      <c r="L61" s="466">
        <v>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63387</v>
      </c>
      <c r="D63" s="466">
        <v>16879</v>
      </c>
      <c r="E63" s="466">
        <v>55</v>
      </c>
      <c r="F63" s="466">
        <v>113128</v>
      </c>
      <c r="G63" s="466">
        <v>0</v>
      </c>
      <c r="H63" s="466">
        <v>0</v>
      </c>
      <c r="I63" s="467">
        <v>0</v>
      </c>
      <c r="J63" s="467">
        <v>0</v>
      </c>
      <c r="K63" s="1692">
        <f t="shared" si="7"/>
        <v>193449</v>
      </c>
      <c r="L63" s="466">
        <v>208850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128530</v>
      </c>
      <c r="D65" s="1690">
        <f t="shared" ref="D65:L65" si="8">SUM(D59:D64)</f>
        <v>25129</v>
      </c>
      <c r="E65" s="1690">
        <f t="shared" si="8"/>
        <v>38327</v>
      </c>
      <c r="F65" s="1690">
        <f t="shared" si="8"/>
        <v>114517</v>
      </c>
      <c r="G65" s="1690">
        <f t="shared" si="8"/>
        <v>0</v>
      </c>
      <c r="H65" s="1690">
        <f t="shared" si="8"/>
        <v>0</v>
      </c>
      <c r="I65" s="1690">
        <f t="shared" si="8"/>
        <v>0</v>
      </c>
      <c r="J65" s="1690">
        <f t="shared" si="8"/>
        <v>0</v>
      </c>
      <c r="K65" s="1690">
        <f t="shared" si="8"/>
        <v>306503</v>
      </c>
      <c r="L65" s="1690">
        <f t="shared" si="8"/>
        <v>323250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1281</v>
      </c>
      <c r="G73" s="571">
        <v>0</v>
      </c>
      <c r="H73" s="571">
        <v>0</v>
      </c>
      <c r="I73" s="529">
        <v>0</v>
      </c>
      <c r="J73" s="529">
        <v>0</v>
      </c>
      <c r="K73" s="1690">
        <f>SUM(C73:J73)</f>
        <v>1281</v>
      </c>
      <c r="L73" s="574">
        <v>1276</v>
      </c>
      <c r="M73" s="608"/>
      <c r="N73" s="608"/>
    </row>
    <row r="74" spans="1:14" ht="12.75" customHeight="1" thickTop="1" thickBot="1" x14ac:dyDescent="0.25">
      <c r="A74" s="1688" t="s">
        <v>865</v>
      </c>
      <c r="B74" s="1696">
        <v>2000</v>
      </c>
      <c r="C74" s="1697">
        <f>SUM(C42,C47,C53,C57,C65,C72,C73)</f>
        <v>392898</v>
      </c>
      <c r="D74" s="1697">
        <f t="shared" ref="D74:K74" si="10">SUM(D42,D47,D53,D57,D65,D72,D73)</f>
        <v>149463</v>
      </c>
      <c r="E74" s="1697">
        <f t="shared" si="10"/>
        <v>88630</v>
      </c>
      <c r="F74" s="1697">
        <f t="shared" si="10"/>
        <v>119859</v>
      </c>
      <c r="G74" s="1697">
        <f t="shared" si="10"/>
        <v>0</v>
      </c>
      <c r="H74" s="1697">
        <f t="shared" si="10"/>
        <v>12174</v>
      </c>
      <c r="I74" s="1697">
        <f t="shared" si="10"/>
        <v>0</v>
      </c>
      <c r="J74" s="1697">
        <f t="shared" si="10"/>
        <v>0</v>
      </c>
      <c r="K74" s="1697">
        <f t="shared" si="10"/>
        <v>763024</v>
      </c>
      <c r="L74" s="1697">
        <f>SUM(L42,L47,L53,L57,L65,L72,L73)</f>
        <v>780113</v>
      </c>
    </row>
    <row r="75" spans="1:14" s="259" customFormat="1" ht="15.75" customHeight="1" thickTop="1" thickBot="1" x14ac:dyDescent="0.25">
      <c r="A75" s="1630" t="s">
        <v>49</v>
      </c>
      <c r="B75" s="1631" t="s">
        <v>596</v>
      </c>
      <c r="C75" s="571">
        <v>10381</v>
      </c>
      <c r="D75" s="571">
        <v>0</v>
      </c>
      <c r="E75" s="571">
        <v>0</v>
      </c>
      <c r="F75" s="571">
        <v>0</v>
      </c>
      <c r="G75" s="571">
        <v>0</v>
      </c>
      <c r="H75" s="571">
        <v>0</v>
      </c>
      <c r="I75" s="529">
        <v>0</v>
      </c>
      <c r="J75" s="529">
        <v>0</v>
      </c>
      <c r="K75" s="1690">
        <f>SUM(C75:J75)</f>
        <v>10381</v>
      </c>
      <c r="L75" s="574">
        <v>14000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18873</v>
      </c>
      <c r="F78" s="615"/>
      <c r="G78" s="615"/>
      <c r="H78" s="633">
        <v>2904</v>
      </c>
      <c r="I78" s="476"/>
      <c r="J78" s="476"/>
      <c r="K78" s="1691">
        <f t="shared" ref="K78:K83" si="11">SUM(C78:J78)</f>
        <v>21777</v>
      </c>
      <c r="L78" s="480">
        <v>35000</v>
      </c>
    </row>
    <row r="79" spans="1:14" x14ac:dyDescent="0.2">
      <c r="A79" s="1524" t="s">
        <v>322</v>
      </c>
      <c r="B79" s="613">
        <v>4120</v>
      </c>
      <c r="C79" s="615"/>
      <c r="D79" s="615"/>
      <c r="E79" s="466">
        <v>0</v>
      </c>
      <c r="F79" s="615"/>
      <c r="G79" s="615"/>
      <c r="H79" s="466">
        <v>0</v>
      </c>
      <c r="I79" s="476"/>
      <c r="J79" s="476"/>
      <c r="K79" s="1691">
        <f t="shared" si="11"/>
        <v>0</v>
      </c>
      <c r="L79" s="466">
        <v>0</v>
      </c>
    </row>
    <row r="80" spans="1:14" x14ac:dyDescent="0.2">
      <c r="A80" s="1524" t="s">
        <v>323</v>
      </c>
      <c r="B80" s="613">
        <v>4130</v>
      </c>
      <c r="C80" s="615"/>
      <c r="D80" s="615"/>
      <c r="E80" s="466">
        <v>5439</v>
      </c>
      <c r="F80" s="615"/>
      <c r="G80" s="615"/>
      <c r="H80" s="466">
        <v>0</v>
      </c>
      <c r="I80" s="476"/>
      <c r="J80" s="476"/>
      <c r="K80" s="1691">
        <f t="shared" si="11"/>
        <v>5439</v>
      </c>
      <c r="L80" s="466">
        <v>6439</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24312</v>
      </c>
      <c r="F84" s="615"/>
      <c r="G84" s="615"/>
      <c r="H84" s="1690">
        <f>SUM(H78:H83)</f>
        <v>2904</v>
      </c>
      <c r="I84" s="476"/>
      <c r="J84" s="476"/>
      <c r="K84" s="1690">
        <f>SUM(K78:K83)</f>
        <v>27216</v>
      </c>
      <c r="L84" s="1690">
        <f>SUM(L78:L83)</f>
        <v>41439</v>
      </c>
    </row>
    <row r="85" spans="1:12" ht="12.75" customHeight="1" thickTop="1" thickBot="1" x14ac:dyDescent="0.25">
      <c r="A85" s="1531" t="s">
        <v>273</v>
      </c>
      <c r="B85" s="634">
        <v>4210</v>
      </c>
      <c r="C85" s="615"/>
      <c r="D85" s="615"/>
      <c r="E85" s="635"/>
      <c r="F85" s="615"/>
      <c r="G85" s="615"/>
      <c r="H85" s="533">
        <v>1254</v>
      </c>
      <c r="I85" s="476"/>
      <c r="J85" s="476"/>
      <c r="K85" s="1697">
        <f>H85</f>
        <v>1254</v>
      </c>
      <c r="L85" s="528">
        <v>0</v>
      </c>
    </row>
    <row r="86" spans="1:12" ht="12.75" customHeight="1" thickTop="1" thickBot="1" x14ac:dyDescent="0.25">
      <c r="A86" s="1532" t="s">
        <v>723</v>
      </c>
      <c r="B86" s="636">
        <v>4220</v>
      </c>
      <c r="C86" s="615"/>
      <c r="D86" s="615"/>
      <c r="E86" s="637"/>
      <c r="F86" s="615"/>
      <c r="G86" s="615"/>
      <c r="H86" s="467">
        <v>226174</v>
      </c>
      <c r="I86" s="476"/>
      <c r="J86" s="476"/>
      <c r="K86" s="1697">
        <f t="shared" ref="K86:K98" si="12">H86</f>
        <v>226174</v>
      </c>
      <c r="L86" s="528">
        <v>229000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227428</v>
      </c>
      <c r="I92" s="476"/>
      <c r="J92" s="476"/>
      <c r="K92" s="1697">
        <f t="shared" si="12"/>
        <v>227428</v>
      </c>
      <c r="L92" s="1690">
        <f>SUM(L85:L91)</f>
        <v>229000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24312</v>
      </c>
      <c r="F102" s="615"/>
      <c r="G102" s="615"/>
      <c r="H102" s="1697">
        <f>SUM(H84,H92,H100,H101)</f>
        <v>230332</v>
      </c>
      <c r="I102" s="476"/>
      <c r="J102" s="476"/>
      <c r="K102" s="1697">
        <f>SUM(K84,K92,K100,K101)</f>
        <v>254644</v>
      </c>
      <c r="L102" s="1697">
        <f>SUM(L84,L92,L100,L101)</f>
        <v>270439</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2812813</v>
      </c>
      <c r="D114" s="1690">
        <f t="shared" ref="D114:K114" si="13">SUM(D33,D74,D75,D102,D112,D113)</f>
        <v>406862</v>
      </c>
      <c r="E114" s="1690">
        <f t="shared" si="13"/>
        <v>137373</v>
      </c>
      <c r="F114" s="1690">
        <f t="shared" si="13"/>
        <v>257071</v>
      </c>
      <c r="G114" s="1690">
        <f t="shared" si="13"/>
        <v>28052</v>
      </c>
      <c r="H114" s="1690">
        <f>SUM(H33,H74,H75,H102,H112,H113)</f>
        <v>249540</v>
      </c>
      <c r="I114" s="1690">
        <f t="shared" si="13"/>
        <v>0</v>
      </c>
      <c r="J114" s="1690">
        <f t="shared" si="13"/>
        <v>0</v>
      </c>
      <c r="K114" s="1690">
        <f t="shared" si="13"/>
        <v>3891711</v>
      </c>
      <c r="L114" s="1690">
        <f>SUM(L33,L74,L75,L102,L112,L113)</f>
        <v>3998575</v>
      </c>
    </row>
    <row r="115" spans="1:14" ht="13.5" thickTop="1" x14ac:dyDescent="0.2">
      <c r="A115" s="2195" t="s">
        <v>1053</v>
      </c>
      <c r="B115" s="2196"/>
      <c r="C115" s="617"/>
      <c r="D115" s="617"/>
      <c r="E115" s="617"/>
      <c r="F115" s="617"/>
      <c r="G115" s="617"/>
      <c r="H115" s="617"/>
      <c r="I115" s="617"/>
      <c r="J115" s="617"/>
      <c r="K115" s="1704">
        <f>'Revenues 9-14'!C275-'Expenditures 15-22'!K114</f>
        <v>-60177</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3" t="s">
        <v>314</v>
      </c>
      <c r="B117" s="2174"/>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105204</v>
      </c>
      <c r="D124" s="466">
        <v>5743</v>
      </c>
      <c r="E124" s="466">
        <v>210534</v>
      </c>
      <c r="F124" s="466">
        <v>43513</v>
      </c>
      <c r="G124" s="466">
        <v>33800</v>
      </c>
      <c r="H124" s="466">
        <v>0</v>
      </c>
      <c r="I124" s="467">
        <v>0</v>
      </c>
      <c r="J124" s="467">
        <v>0</v>
      </c>
      <c r="K124" s="1690">
        <f>SUM(C124:J124)</f>
        <v>398794</v>
      </c>
      <c r="L124" s="466">
        <v>438190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105204</v>
      </c>
      <c r="D127" s="1690">
        <f t="shared" ref="D127:L127" si="14">SUM(D122:D126)</f>
        <v>5743</v>
      </c>
      <c r="E127" s="1690">
        <f t="shared" si="14"/>
        <v>210534</v>
      </c>
      <c r="F127" s="1690">
        <f t="shared" si="14"/>
        <v>43513</v>
      </c>
      <c r="G127" s="1690">
        <f t="shared" si="14"/>
        <v>33800</v>
      </c>
      <c r="H127" s="1690">
        <f t="shared" si="14"/>
        <v>0</v>
      </c>
      <c r="I127" s="1690">
        <f t="shared" si="14"/>
        <v>0</v>
      </c>
      <c r="J127" s="1690">
        <f t="shared" si="14"/>
        <v>0</v>
      </c>
      <c r="K127" s="1690">
        <f t="shared" si="14"/>
        <v>398794</v>
      </c>
      <c r="L127" s="1690">
        <f t="shared" si="14"/>
        <v>438190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105204</v>
      </c>
      <c r="D129" s="1697">
        <f t="shared" ref="D129:L129" si="15">SUM(D120,D127,D128)</f>
        <v>5743</v>
      </c>
      <c r="E129" s="1697">
        <f t="shared" si="15"/>
        <v>210534</v>
      </c>
      <c r="F129" s="1697">
        <f t="shared" si="15"/>
        <v>43513</v>
      </c>
      <c r="G129" s="1697">
        <f t="shared" si="15"/>
        <v>33800</v>
      </c>
      <c r="H129" s="1697">
        <f t="shared" si="15"/>
        <v>0</v>
      </c>
      <c r="I129" s="1697">
        <f t="shared" si="15"/>
        <v>0</v>
      </c>
      <c r="J129" s="1697">
        <f t="shared" si="15"/>
        <v>0</v>
      </c>
      <c r="K129" s="1697">
        <f t="shared" si="15"/>
        <v>398794</v>
      </c>
      <c r="L129" s="1697">
        <f t="shared" si="15"/>
        <v>438190</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85" t="s">
        <v>641</v>
      </c>
      <c r="B151" s="2167"/>
      <c r="C151" s="1690">
        <f>SUM(C129,C130,C139,C149,C150)</f>
        <v>105204</v>
      </c>
      <c r="D151" s="1690">
        <f t="shared" ref="D151:K151" si="16">SUM(D129,D130,D139,D149,D150)</f>
        <v>5743</v>
      </c>
      <c r="E151" s="1690">
        <f t="shared" si="16"/>
        <v>210534</v>
      </c>
      <c r="F151" s="1690">
        <f t="shared" si="16"/>
        <v>43513</v>
      </c>
      <c r="G151" s="1690">
        <f t="shared" si="16"/>
        <v>33800</v>
      </c>
      <c r="H151" s="1690">
        <f t="shared" si="16"/>
        <v>0</v>
      </c>
      <c r="I151" s="1690">
        <f t="shared" si="16"/>
        <v>0</v>
      </c>
      <c r="J151" s="1690">
        <f t="shared" si="16"/>
        <v>0</v>
      </c>
      <c r="K151" s="1690">
        <f t="shared" si="16"/>
        <v>398794</v>
      </c>
      <c r="L151" s="1690">
        <f>SUM(L129,L130,L139,L149,L150)</f>
        <v>438190</v>
      </c>
    </row>
    <row r="152" spans="1:14" ht="12.75" customHeight="1" thickTop="1" x14ac:dyDescent="0.2">
      <c r="A152" s="2188" t="s">
        <v>1240</v>
      </c>
      <c r="B152" s="2189"/>
      <c r="C152" s="617"/>
      <c r="D152" s="617"/>
      <c r="E152" s="617"/>
      <c r="F152" s="617"/>
      <c r="G152" s="617"/>
      <c r="H152" s="617"/>
      <c r="I152" s="617"/>
      <c r="J152" s="615"/>
      <c r="K152" s="1704">
        <f>'Revenues 9-14'!D275-'Expenditures 15-22'!K151</f>
        <v>-18047</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3" t="s">
        <v>642</v>
      </c>
      <c r="B154" s="2175"/>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61826</v>
      </c>
      <c r="I169" s="615"/>
      <c r="J169" s="615"/>
      <c r="K169" s="1691">
        <f>SUM(C169:H169)</f>
        <v>61826</v>
      </c>
      <c r="L169" s="655">
        <v>151000</v>
      </c>
    </row>
    <row r="170" spans="1:14" ht="33.75" customHeight="1" x14ac:dyDescent="0.2">
      <c r="A170" s="668" t="s">
        <v>1769</v>
      </c>
      <c r="B170" s="670" t="s">
        <v>31</v>
      </c>
      <c r="C170" s="615"/>
      <c r="D170" s="615"/>
      <c r="E170" s="615"/>
      <c r="F170" s="615"/>
      <c r="G170" s="615"/>
      <c r="H170" s="567">
        <v>109180</v>
      </c>
      <c r="I170" s="615"/>
      <c r="J170" s="615"/>
      <c r="K170" s="1691">
        <f>SUM(C170:J170)</f>
        <v>109180</v>
      </c>
      <c r="L170" s="567">
        <v>0</v>
      </c>
    </row>
    <row r="171" spans="1:14" ht="15.75" customHeight="1" x14ac:dyDescent="0.2">
      <c r="A171" s="620" t="s">
        <v>790</v>
      </c>
      <c r="B171" s="671" t="s">
        <v>86</v>
      </c>
      <c r="C171" s="615"/>
      <c r="D171" s="615"/>
      <c r="E171" s="466">
        <v>1000</v>
      </c>
      <c r="F171" s="615"/>
      <c r="G171" s="615"/>
      <c r="H171" s="567">
        <v>0</v>
      </c>
      <c r="I171" s="476"/>
      <c r="J171" s="615"/>
      <c r="K171" s="1691">
        <f>SUM(C171:J171)</f>
        <v>1000</v>
      </c>
      <c r="L171" s="567">
        <v>1000</v>
      </c>
    </row>
    <row r="172" spans="1:14" ht="12.75" customHeight="1" thickBot="1" x14ac:dyDescent="0.25">
      <c r="A172" s="1688" t="s">
        <v>659</v>
      </c>
      <c r="B172" s="1689" t="s">
        <v>513</v>
      </c>
      <c r="C172" s="615"/>
      <c r="D172" s="615"/>
      <c r="E172" s="1697">
        <f>SUM(E168,E169,E170,E171)</f>
        <v>1000</v>
      </c>
      <c r="F172" s="615"/>
      <c r="G172" s="615"/>
      <c r="H172" s="1697">
        <f>SUM(H168,H169,H170,H171)</f>
        <v>171006</v>
      </c>
      <c r="I172" s="637"/>
      <c r="J172" s="615"/>
      <c r="K172" s="1697">
        <f>SUM(K168,K169,K170,K171)</f>
        <v>172006</v>
      </c>
      <c r="L172" s="1697">
        <f>SUM(L168,L169,L170,L171)</f>
        <v>152000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1000</v>
      </c>
      <c r="F174" s="615"/>
      <c r="G174" s="615"/>
      <c r="H174" s="1697">
        <f>SUM(H160,H172,H173)</f>
        <v>171006</v>
      </c>
      <c r="I174" s="637"/>
      <c r="J174" s="615"/>
      <c r="K174" s="1697">
        <f>SUM(K160,K172,K173)</f>
        <v>172006</v>
      </c>
      <c r="L174" s="1697">
        <f>SUM(L160,L172,L173)</f>
        <v>152000</v>
      </c>
    </row>
    <row r="175" spans="1:14" ht="13.5" thickTop="1" x14ac:dyDescent="0.2">
      <c r="A175" s="2195" t="s">
        <v>1053</v>
      </c>
      <c r="B175" s="2196"/>
      <c r="C175" s="615"/>
      <c r="D175" s="615"/>
      <c r="E175" s="615"/>
      <c r="F175" s="615"/>
      <c r="G175" s="615"/>
      <c r="H175" s="617"/>
      <c r="I175" s="615"/>
      <c r="J175" s="615"/>
      <c r="K175" s="1704">
        <f>'Revenues 9-14'!E275-'Expenditures 15-22'!K174</f>
        <v>-4853</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119023</v>
      </c>
      <c r="D182" s="467">
        <v>10762</v>
      </c>
      <c r="E182" s="467">
        <v>101599</v>
      </c>
      <c r="F182" s="467">
        <v>39489</v>
      </c>
      <c r="G182" s="467">
        <v>0</v>
      </c>
      <c r="H182" s="466">
        <v>0</v>
      </c>
      <c r="I182" s="467">
        <v>0</v>
      </c>
      <c r="J182" s="467">
        <v>0</v>
      </c>
      <c r="K182" s="1691">
        <f>SUM(C182:J182)</f>
        <v>270873</v>
      </c>
      <c r="L182" s="466">
        <v>332150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119023</v>
      </c>
      <c r="D184" s="1697">
        <f t="shared" ref="D184:J184" si="17">SUM(D180,D182,D183)</f>
        <v>10762</v>
      </c>
      <c r="E184" s="1697">
        <f t="shared" si="17"/>
        <v>101599</v>
      </c>
      <c r="F184" s="1697">
        <f t="shared" si="17"/>
        <v>39489</v>
      </c>
      <c r="G184" s="1697">
        <f t="shared" si="17"/>
        <v>0</v>
      </c>
      <c r="H184" s="1697">
        <f t="shared" si="17"/>
        <v>0</v>
      </c>
      <c r="I184" s="1697">
        <f t="shared" si="17"/>
        <v>0</v>
      </c>
      <c r="J184" s="1697">
        <f t="shared" si="17"/>
        <v>0</v>
      </c>
      <c r="K184" s="1697">
        <f>SUM(K180,K182,K183)</f>
        <v>270873</v>
      </c>
      <c r="L184" s="1697">
        <f>SUM(L180, L182:L183)</f>
        <v>332150</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7249</v>
      </c>
      <c r="F188" s="615"/>
      <c r="G188" s="615"/>
      <c r="H188" s="466">
        <v>0</v>
      </c>
      <c r="I188" s="476"/>
      <c r="J188" s="615"/>
      <c r="K188" s="1691">
        <f t="shared" ref="K188:K193" si="18">SUM(E188,H188)</f>
        <v>7249</v>
      </c>
      <c r="L188" s="466">
        <v>5000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7249</v>
      </c>
      <c r="F194" s="615"/>
      <c r="G194" s="615"/>
      <c r="H194" s="1690">
        <f>SUM(H188:H193)</f>
        <v>0</v>
      </c>
      <c r="I194" s="476"/>
      <c r="J194" s="615"/>
      <c r="K194" s="1690">
        <f>SUM(K188:K193)</f>
        <v>7249</v>
      </c>
      <c r="L194" s="1690">
        <f>SUM(L188:L193)</f>
        <v>5000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7249</v>
      </c>
      <c r="F196" s="615"/>
      <c r="G196" s="615"/>
      <c r="H196" s="1697">
        <f>SUM(H194,H195)</f>
        <v>0</v>
      </c>
      <c r="I196" s="476"/>
      <c r="J196" s="615"/>
      <c r="K196" s="1697">
        <f>SUM(K194,K195)</f>
        <v>7249</v>
      </c>
      <c r="L196" s="1697">
        <f>SUM(L194,L195)</f>
        <v>5000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119023</v>
      </c>
      <c r="D210" s="1690">
        <f>SUM(D184,D185)</f>
        <v>10762</v>
      </c>
      <c r="E210" s="1690">
        <f>SUM(E184,E185,E196)</f>
        <v>108848</v>
      </c>
      <c r="F210" s="1690">
        <f>SUM(F184,F185)</f>
        <v>39489</v>
      </c>
      <c r="G210" s="1690">
        <f>SUM(G184,G185)</f>
        <v>0</v>
      </c>
      <c r="H210" s="1690">
        <f>SUM(H184,H185,H196,H208,H209)</f>
        <v>0</v>
      </c>
      <c r="I210" s="1690">
        <f>SUM(I184,I185)</f>
        <v>0</v>
      </c>
      <c r="J210" s="1690">
        <f>SUM(J184,J185)</f>
        <v>0</v>
      </c>
      <c r="K210" s="1691">
        <f>SUM(K184,K185,K196,K208,K209)</f>
        <v>278122</v>
      </c>
      <c r="L210" s="1690">
        <f>SUM(L184,L185,L196,L208,L209)</f>
        <v>337150</v>
      </c>
    </row>
    <row r="211" spans="1:14" ht="13.5" thickTop="1" x14ac:dyDescent="0.2">
      <c r="A211" s="2195" t="s">
        <v>1053</v>
      </c>
      <c r="B211" s="2196"/>
      <c r="C211" s="617"/>
      <c r="D211" s="617"/>
      <c r="E211" s="617"/>
      <c r="F211" s="617"/>
      <c r="G211" s="617"/>
      <c r="H211" s="617"/>
      <c r="I211" s="615"/>
      <c r="J211" s="615"/>
      <c r="K211" s="1704">
        <f>'Revenues 9-14'!F275-'Expenditures 15-22'!K210</f>
        <v>132001</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0" t="s">
        <v>1022</v>
      </c>
      <c r="B213" s="2191"/>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45864</v>
      </c>
      <c r="E215" s="615"/>
      <c r="F215" s="615"/>
      <c r="G215" s="615"/>
      <c r="H215" s="615"/>
      <c r="I215" s="615"/>
      <c r="J215" s="615"/>
      <c r="K215" s="1691">
        <f>D215</f>
        <v>45864</v>
      </c>
      <c r="L215" s="466">
        <v>50425</v>
      </c>
    </row>
    <row r="216" spans="1:14" x14ac:dyDescent="0.2">
      <c r="A216" s="1524" t="s">
        <v>165</v>
      </c>
      <c r="B216" s="613" t="s">
        <v>1024</v>
      </c>
      <c r="C216" s="615"/>
      <c r="D216" s="467">
        <v>2619</v>
      </c>
      <c r="E216" s="615"/>
      <c r="F216" s="615"/>
      <c r="G216" s="615"/>
      <c r="H216" s="615"/>
      <c r="I216" s="615"/>
      <c r="J216" s="615"/>
      <c r="K216" s="1691">
        <f t="shared" ref="K216:K228" si="19">D216</f>
        <v>2619</v>
      </c>
      <c r="L216" s="466">
        <v>4427</v>
      </c>
    </row>
    <row r="217" spans="1:14" x14ac:dyDescent="0.2">
      <c r="A217" s="1524" t="s">
        <v>166</v>
      </c>
      <c r="B217" s="613">
        <v>1200</v>
      </c>
      <c r="C217" s="615"/>
      <c r="D217" s="466">
        <v>11819</v>
      </c>
      <c r="E217" s="615"/>
      <c r="F217" s="615"/>
      <c r="G217" s="615"/>
      <c r="H217" s="615"/>
      <c r="I217" s="615"/>
      <c r="J217" s="615"/>
      <c r="K217" s="1691">
        <f t="shared" si="19"/>
        <v>11819</v>
      </c>
      <c r="L217" s="466">
        <v>13600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5183</v>
      </c>
      <c r="E219" s="615"/>
      <c r="F219" s="615"/>
      <c r="G219" s="615"/>
      <c r="H219" s="615"/>
      <c r="I219" s="615"/>
      <c r="J219" s="615"/>
      <c r="K219" s="1691">
        <f t="shared" si="19"/>
        <v>5183</v>
      </c>
      <c r="L219" s="466">
        <v>7100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2717</v>
      </c>
      <c r="E222" s="615"/>
      <c r="F222" s="615"/>
      <c r="G222" s="615"/>
      <c r="H222" s="615"/>
      <c r="I222" s="615"/>
      <c r="J222" s="615"/>
      <c r="K222" s="1691">
        <f t="shared" si="19"/>
        <v>2717</v>
      </c>
      <c r="L222" s="466">
        <v>2900</v>
      </c>
    </row>
    <row r="223" spans="1:14" x14ac:dyDescent="0.2">
      <c r="A223" s="1524" t="s">
        <v>1020</v>
      </c>
      <c r="B223" s="613">
        <v>1500</v>
      </c>
      <c r="C223" s="615"/>
      <c r="D223" s="466">
        <v>5902</v>
      </c>
      <c r="E223" s="615"/>
      <c r="F223" s="615"/>
      <c r="G223" s="615"/>
      <c r="H223" s="615"/>
      <c r="I223" s="615"/>
      <c r="J223" s="615"/>
      <c r="K223" s="1691">
        <f t="shared" si="19"/>
        <v>5902</v>
      </c>
      <c r="L223" s="466">
        <v>3665</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74104</v>
      </c>
      <c r="E229" s="615"/>
      <c r="F229" s="615"/>
      <c r="G229" s="615"/>
      <c r="H229" s="615"/>
      <c r="I229" s="615"/>
      <c r="J229" s="615"/>
      <c r="K229" s="1690">
        <f>SUM(K215:K228)</f>
        <v>74104</v>
      </c>
      <c r="L229" s="1690">
        <f>SUM(L215:L228)</f>
        <v>82117</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0</v>
      </c>
      <c r="E233" s="615"/>
      <c r="F233" s="615"/>
      <c r="G233" s="615"/>
      <c r="H233" s="615"/>
      <c r="I233" s="615"/>
      <c r="J233" s="615"/>
      <c r="K233" s="1691">
        <f t="shared" si="20"/>
        <v>0</v>
      </c>
      <c r="L233" s="466">
        <v>0</v>
      </c>
    </row>
    <row r="234" spans="1:12" x14ac:dyDescent="0.2">
      <c r="A234" s="1524" t="s">
        <v>207</v>
      </c>
      <c r="B234" s="613">
        <v>2130</v>
      </c>
      <c r="C234" s="615"/>
      <c r="D234" s="466">
        <v>5147</v>
      </c>
      <c r="E234" s="615"/>
      <c r="F234" s="615"/>
      <c r="G234" s="615"/>
      <c r="H234" s="615"/>
      <c r="I234" s="615"/>
      <c r="J234" s="615"/>
      <c r="K234" s="1691">
        <f t="shared" si="20"/>
        <v>5147</v>
      </c>
      <c r="L234" s="466">
        <v>5335</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5147</v>
      </c>
      <c r="E238" s="615"/>
      <c r="F238" s="615"/>
      <c r="G238" s="615"/>
      <c r="H238" s="615"/>
      <c r="I238" s="615"/>
      <c r="J238" s="615"/>
      <c r="K238" s="1690">
        <f>SUM(K232:K237)</f>
        <v>5147</v>
      </c>
      <c r="L238" s="1690">
        <f>SUM(L232:L237)</f>
        <v>5335</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0</v>
      </c>
      <c r="E241" s="615"/>
      <c r="F241" s="615"/>
      <c r="G241" s="615"/>
      <c r="H241" s="615"/>
      <c r="I241" s="615"/>
      <c r="J241" s="615"/>
      <c r="K241" s="1692">
        <f>D241</f>
        <v>0</v>
      </c>
      <c r="L241" s="466">
        <v>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0</v>
      </c>
      <c r="E243" s="615"/>
      <c r="F243" s="615"/>
      <c r="G243" s="615"/>
      <c r="H243" s="615"/>
      <c r="I243" s="615"/>
      <c r="J243" s="615"/>
      <c r="K243" s="1690">
        <f>SUM(K240:K242)</f>
        <v>0</v>
      </c>
      <c r="L243" s="1690">
        <f>SUM(L240:L242)</f>
        <v>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113</v>
      </c>
      <c r="E245" s="615"/>
      <c r="F245" s="615"/>
      <c r="G245" s="615"/>
      <c r="H245" s="615"/>
      <c r="I245" s="615"/>
      <c r="J245" s="615"/>
      <c r="K245" s="1692">
        <f>D245</f>
        <v>113</v>
      </c>
      <c r="L245" s="480">
        <v>140</v>
      </c>
    </row>
    <row r="246" spans="1:12" x14ac:dyDescent="0.2">
      <c r="A246" s="1524" t="s">
        <v>872</v>
      </c>
      <c r="B246" s="613">
        <v>2320</v>
      </c>
      <c r="C246" s="615"/>
      <c r="D246" s="466">
        <v>1697</v>
      </c>
      <c r="E246" s="615"/>
      <c r="F246" s="615"/>
      <c r="G246" s="615"/>
      <c r="H246" s="615"/>
      <c r="I246" s="615"/>
      <c r="J246" s="615"/>
      <c r="K246" s="1692">
        <f t="shared" ref="K246:K256" si="21">D246</f>
        <v>1697</v>
      </c>
      <c r="L246" s="466">
        <v>1800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1810</v>
      </c>
      <c r="E257" s="615"/>
      <c r="F257" s="615"/>
      <c r="G257" s="615"/>
      <c r="H257" s="615"/>
      <c r="I257" s="615"/>
      <c r="J257" s="615"/>
      <c r="K257" s="1690">
        <f>SUM(K245:K256)</f>
        <v>1810</v>
      </c>
      <c r="L257" s="1690">
        <f>SUM(L245:L256)</f>
        <v>1940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17846</v>
      </c>
      <c r="E259" s="615"/>
      <c r="F259" s="615"/>
      <c r="G259" s="615"/>
      <c r="H259" s="615"/>
      <c r="I259" s="615"/>
      <c r="J259" s="615"/>
      <c r="K259" s="1692">
        <f>D259</f>
        <v>17846</v>
      </c>
      <c r="L259" s="480">
        <v>19000</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17846</v>
      </c>
      <c r="E261" s="615"/>
      <c r="F261" s="615"/>
      <c r="G261" s="615"/>
      <c r="H261" s="615"/>
      <c r="I261" s="615"/>
      <c r="J261" s="615"/>
      <c r="K261" s="1690">
        <f>SUM(K259:K260)</f>
        <v>17846</v>
      </c>
      <c r="L261" s="1690">
        <f>SUM(L259:L260)</f>
        <v>19000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12561</v>
      </c>
      <c r="E264" s="615"/>
      <c r="F264" s="615"/>
      <c r="G264" s="615"/>
      <c r="H264" s="615"/>
      <c r="I264" s="615"/>
      <c r="J264" s="615"/>
      <c r="K264" s="1692">
        <f t="shared" ref="K264:K269" si="22">D264</f>
        <v>12561</v>
      </c>
      <c r="L264" s="466">
        <v>13600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19256</v>
      </c>
      <c r="E266" s="615"/>
      <c r="F266" s="615"/>
      <c r="G266" s="615"/>
      <c r="H266" s="615"/>
      <c r="I266" s="615"/>
      <c r="J266" s="615"/>
      <c r="K266" s="1692">
        <f t="shared" si="22"/>
        <v>19256</v>
      </c>
      <c r="L266" s="466">
        <v>19600</v>
      </c>
    </row>
    <row r="267" spans="1:14" x14ac:dyDescent="0.2">
      <c r="A267" s="1524" t="s">
        <v>1010</v>
      </c>
      <c r="B267" s="613">
        <v>2550</v>
      </c>
      <c r="C267" s="615"/>
      <c r="D267" s="466">
        <v>25151</v>
      </c>
      <c r="E267" s="615"/>
      <c r="F267" s="615"/>
      <c r="G267" s="615"/>
      <c r="H267" s="615"/>
      <c r="I267" s="615"/>
      <c r="J267" s="615"/>
      <c r="K267" s="1692">
        <f t="shared" si="22"/>
        <v>25151</v>
      </c>
      <c r="L267" s="466">
        <v>28950</v>
      </c>
    </row>
    <row r="268" spans="1:14" x14ac:dyDescent="0.2">
      <c r="A268" s="1524" t="s">
        <v>102</v>
      </c>
      <c r="B268" s="613">
        <v>2560</v>
      </c>
      <c r="C268" s="615"/>
      <c r="D268" s="466">
        <v>14790</v>
      </c>
      <c r="E268" s="615"/>
      <c r="F268" s="615"/>
      <c r="G268" s="615"/>
      <c r="H268" s="615"/>
      <c r="I268" s="615"/>
      <c r="J268" s="615"/>
      <c r="K268" s="1692">
        <f t="shared" si="22"/>
        <v>14790</v>
      </c>
      <c r="L268" s="466">
        <v>18000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71758</v>
      </c>
      <c r="E270" s="615"/>
      <c r="F270" s="615"/>
      <c r="G270" s="615"/>
      <c r="H270" s="615"/>
      <c r="I270" s="615"/>
      <c r="J270" s="615"/>
      <c r="K270" s="1690">
        <f>SUM(K263:K269)</f>
        <v>71758</v>
      </c>
      <c r="L270" s="1690">
        <f>SUM(L263:L269)</f>
        <v>80150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96561</v>
      </c>
      <c r="E279" s="615"/>
      <c r="F279" s="615"/>
      <c r="G279" s="615"/>
      <c r="H279" s="615"/>
      <c r="I279" s="615"/>
      <c r="J279" s="615"/>
      <c r="K279" s="1697">
        <f>SUM(K238,K243,K257,K261,K270,K277,K278)</f>
        <v>96561</v>
      </c>
      <c r="L279" s="1697">
        <f>SUM(L238,L243,L257,L261,L270,L277,L278)</f>
        <v>106425</v>
      </c>
    </row>
    <row r="280" spans="1:12" ht="15.75" customHeight="1" thickTop="1" thickBot="1" x14ac:dyDescent="0.25">
      <c r="A280" s="1644" t="s">
        <v>930</v>
      </c>
      <c r="B280" s="1633">
        <v>3000</v>
      </c>
      <c r="C280" s="615"/>
      <c r="D280" s="574">
        <v>2006</v>
      </c>
      <c r="E280" s="615"/>
      <c r="F280" s="615"/>
      <c r="G280" s="615"/>
      <c r="H280" s="615"/>
      <c r="I280" s="615"/>
      <c r="J280" s="615"/>
      <c r="K280" s="1699">
        <f>D280</f>
        <v>2006</v>
      </c>
      <c r="L280" s="574">
        <v>2840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1000</v>
      </c>
    </row>
    <row r="295" spans="1:14" ht="12.75" customHeight="1" thickTop="1" thickBot="1" x14ac:dyDescent="0.25">
      <c r="A295" s="2186" t="s">
        <v>526</v>
      </c>
      <c r="B295" s="2187"/>
      <c r="C295" s="615"/>
      <c r="D295" s="1690">
        <f>SUM(D229,D279,D280,D285)</f>
        <v>172671</v>
      </c>
      <c r="E295" s="615"/>
      <c r="F295" s="615"/>
      <c r="G295" s="615"/>
      <c r="H295" s="1690">
        <f>H293</f>
        <v>0</v>
      </c>
      <c r="I295" s="615"/>
      <c r="J295" s="615"/>
      <c r="K295" s="1690">
        <f>SUM(K229,K279,K280,K285,K293,K294)</f>
        <v>172671</v>
      </c>
      <c r="L295" s="1690">
        <f>SUM(L229,L279,L280,L285,L293,L294)</f>
        <v>192382</v>
      </c>
    </row>
    <row r="296" spans="1:14" ht="13.5" thickTop="1" x14ac:dyDescent="0.2">
      <c r="A296" s="2195" t="s">
        <v>1053</v>
      </c>
      <c r="B296" s="2196"/>
      <c r="C296" s="615"/>
      <c r="D296" s="617"/>
      <c r="E296" s="615"/>
      <c r="F296" s="615"/>
      <c r="G296" s="615"/>
      <c r="H296" s="686"/>
      <c r="I296" s="615"/>
      <c r="J296" s="615"/>
      <c r="K296" s="1704">
        <f>'Revenues 9-14'!G275-'Expenditures 15-22'!K295</f>
        <v>18466</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78" t="s">
        <v>145</v>
      </c>
      <c r="B298" s="2172"/>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10580</v>
      </c>
      <c r="F301" s="466">
        <v>400</v>
      </c>
      <c r="G301" s="466">
        <v>696324</v>
      </c>
      <c r="H301" s="466">
        <v>0</v>
      </c>
      <c r="I301" s="467">
        <v>0</v>
      </c>
      <c r="J301" s="467">
        <v>0</v>
      </c>
      <c r="K301" s="1691">
        <f>SUM(C301:J301)</f>
        <v>707304</v>
      </c>
      <c r="L301" s="467">
        <v>1083171</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10580</v>
      </c>
      <c r="F303" s="1697">
        <f t="shared" si="23"/>
        <v>400</v>
      </c>
      <c r="G303" s="1697">
        <f t="shared" si="23"/>
        <v>696324</v>
      </c>
      <c r="H303" s="1697">
        <f t="shared" si="23"/>
        <v>0</v>
      </c>
      <c r="I303" s="1697">
        <f t="shared" si="23"/>
        <v>0</v>
      </c>
      <c r="J303" s="1697">
        <f t="shared" si="23"/>
        <v>0</v>
      </c>
      <c r="K303" s="1697">
        <f t="shared" si="23"/>
        <v>707304</v>
      </c>
      <c r="L303" s="1697">
        <f t="shared" si="23"/>
        <v>1083171</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3" t="s">
        <v>295</v>
      </c>
      <c r="B312" s="2184"/>
      <c r="C312" s="1690">
        <f>SUM(C303)</f>
        <v>0</v>
      </c>
      <c r="D312" s="1690">
        <f>SUM(D303)</f>
        <v>0</v>
      </c>
      <c r="E312" s="1690">
        <f>SUM(E303,E310)</f>
        <v>10580</v>
      </c>
      <c r="F312" s="1690">
        <f>SUM(F303)</f>
        <v>400</v>
      </c>
      <c r="G312" s="1690">
        <f>SUM(G303)</f>
        <v>696324</v>
      </c>
      <c r="H312" s="1690">
        <f>SUM(H303,H310)</f>
        <v>0</v>
      </c>
      <c r="I312" s="1690">
        <f>SUM(I303)</f>
        <v>0</v>
      </c>
      <c r="J312" s="1690">
        <f>SUM(J303)</f>
        <v>0</v>
      </c>
      <c r="K312" s="1690">
        <f>SUM(K303,K310,K311)</f>
        <v>707304</v>
      </c>
      <c r="L312" s="1690">
        <f>SUM(L303,L310,L311)</f>
        <v>1083171</v>
      </c>
      <c r="M312" s="664"/>
      <c r="N312" s="664"/>
    </row>
    <row r="313" spans="1:14" ht="13.5" thickTop="1" x14ac:dyDescent="0.2">
      <c r="A313" s="2179" t="s">
        <v>1053</v>
      </c>
      <c r="B313" s="2180"/>
      <c r="C313" s="625"/>
      <c r="D313" s="625"/>
      <c r="E313" s="625"/>
      <c r="F313" s="625"/>
      <c r="G313" s="625"/>
      <c r="H313" s="625"/>
      <c r="I313" s="625"/>
      <c r="J313" s="625"/>
      <c r="K313" s="1705">
        <f>'Revenues 9-14'!H275-'Expenditures 15-22'!K312</f>
        <v>-541067</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2" t="s">
        <v>151</v>
      </c>
      <c r="B315" s="2193"/>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4" t="s">
        <v>954</v>
      </c>
      <c r="B317" s="2193"/>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45651</v>
      </c>
      <c r="F320" s="467">
        <v>0</v>
      </c>
      <c r="G320" s="467">
        <v>0</v>
      </c>
      <c r="H320" s="467">
        <v>0</v>
      </c>
      <c r="I320" s="467">
        <v>0</v>
      </c>
      <c r="J320" s="467">
        <v>0</v>
      </c>
      <c r="K320" s="1691">
        <f t="shared" ref="K320:K327" si="24">SUM(C320:J320)</f>
        <v>45651</v>
      </c>
      <c r="L320" s="467">
        <v>47000</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30391</v>
      </c>
      <c r="F322" s="467">
        <v>0</v>
      </c>
      <c r="G322" s="467">
        <v>0</v>
      </c>
      <c r="H322" s="467">
        <v>0</v>
      </c>
      <c r="I322" s="467">
        <v>0</v>
      </c>
      <c r="J322" s="467">
        <v>0</v>
      </c>
      <c r="K322" s="1691">
        <f t="shared" si="24"/>
        <v>30391</v>
      </c>
      <c r="L322" s="467">
        <v>30000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270448</v>
      </c>
      <c r="D325" s="467">
        <v>7235</v>
      </c>
      <c r="E325" s="467">
        <v>10024</v>
      </c>
      <c r="F325" s="467">
        <v>803</v>
      </c>
      <c r="G325" s="467">
        <v>0</v>
      </c>
      <c r="H325" s="467">
        <v>0</v>
      </c>
      <c r="I325" s="467">
        <v>0</v>
      </c>
      <c r="J325" s="467">
        <v>0</v>
      </c>
      <c r="K325" s="1691">
        <f t="shared" si="24"/>
        <v>288510</v>
      </c>
      <c r="L325" s="467">
        <v>282045</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8065</v>
      </c>
      <c r="F327" s="467">
        <v>0</v>
      </c>
      <c r="G327" s="467">
        <v>0</v>
      </c>
      <c r="H327" s="467">
        <v>0</v>
      </c>
      <c r="I327" s="467">
        <v>0</v>
      </c>
      <c r="J327" s="467">
        <v>0</v>
      </c>
      <c r="K327" s="1691">
        <f t="shared" si="24"/>
        <v>8065</v>
      </c>
      <c r="L327" s="467">
        <v>13000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270448</v>
      </c>
      <c r="D330" s="1690">
        <f t="shared" ref="D330:J330" si="25">SUM(D319:D329)</f>
        <v>7235</v>
      </c>
      <c r="E330" s="1690">
        <f t="shared" si="25"/>
        <v>94131</v>
      </c>
      <c r="F330" s="1690">
        <f t="shared" si="25"/>
        <v>803</v>
      </c>
      <c r="G330" s="1690">
        <f t="shared" si="25"/>
        <v>0</v>
      </c>
      <c r="H330" s="1690">
        <f t="shared" si="25"/>
        <v>0</v>
      </c>
      <c r="I330" s="1690">
        <f t="shared" si="25"/>
        <v>0</v>
      </c>
      <c r="J330" s="1690">
        <f t="shared" si="25"/>
        <v>0</v>
      </c>
      <c r="K330" s="1690">
        <f>SUM(K319:K329)</f>
        <v>372617</v>
      </c>
      <c r="L330" s="1690">
        <f>SUM(L319:L329)</f>
        <v>372045</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270448</v>
      </c>
      <c r="D342" s="1690">
        <f>SUM(D330)</f>
        <v>7235</v>
      </c>
      <c r="E342" s="1690">
        <f>SUM(E330)</f>
        <v>94131</v>
      </c>
      <c r="F342" s="1690">
        <f>SUM(F330)</f>
        <v>803</v>
      </c>
      <c r="G342" s="1690">
        <f>SUM(G330)</f>
        <v>0</v>
      </c>
      <c r="H342" s="1690">
        <f>SUM(H330,H334,H340)</f>
        <v>0</v>
      </c>
      <c r="I342" s="1690">
        <f>SUM(I330)</f>
        <v>0</v>
      </c>
      <c r="J342" s="1690">
        <f>SUM(J330)</f>
        <v>0</v>
      </c>
      <c r="K342" s="1690">
        <f>SUM(K330,K334,K340)</f>
        <v>372617</v>
      </c>
      <c r="L342" s="1697">
        <f>SUM(L330,L340,L341)</f>
        <v>372045</v>
      </c>
    </row>
    <row r="343" spans="1:14" ht="12.75" customHeight="1" thickTop="1" x14ac:dyDescent="0.2">
      <c r="A343" s="2181" t="s">
        <v>1053</v>
      </c>
      <c r="B343" s="2182"/>
      <c r="C343" s="615"/>
      <c r="D343" s="615"/>
      <c r="E343" s="615"/>
      <c r="F343" s="615"/>
      <c r="G343" s="615"/>
      <c r="H343" s="615"/>
      <c r="I343" s="615"/>
      <c r="J343" s="615"/>
      <c r="K343" s="1704">
        <f>'Revenues 9-14'!J275-'Expenditures 15-22'!K342</f>
        <v>35154</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1" t="s">
        <v>1023</v>
      </c>
      <c r="B345" s="2172"/>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3915</v>
      </c>
      <c r="F348" s="466">
        <v>0</v>
      </c>
      <c r="G348" s="466">
        <v>0</v>
      </c>
      <c r="H348" s="466">
        <v>0</v>
      </c>
      <c r="I348" s="467">
        <v>0</v>
      </c>
      <c r="J348" s="467">
        <v>0</v>
      </c>
      <c r="K348" s="1691">
        <f>SUM(C348:J348)</f>
        <v>3915</v>
      </c>
      <c r="L348" s="466">
        <v>11000</v>
      </c>
    </row>
    <row r="349" spans="1:14" x14ac:dyDescent="0.2">
      <c r="A349" s="1524" t="s">
        <v>206</v>
      </c>
      <c r="B349" s="613">
        <v>2540</v>
      </c>
      <c r="C349" s="466">
        <v>0</v>
      </c>
      <c r="D349" s="466">
        <v>0</v>
      </c>
      <c r="E349" s="466">
        <v>16842</v>
      </c>
      <c r="F349" s="466">
        <v>0</v>
      </c>
      <c r="G349" s="466">
        <v>0</v>
      </c>
      <c r="H349" s="466">
        <v>0</v>
      </c>
      <c r="I349" s="467">
        <v>0</v>
      </c>
      <c r="J349" s="467">
        <v>0</v>
      </c>
      <c r="K349" s="1691">
        <f>SUM(C349:J349)</f>
        <v>16842</v>
      </c>
      <c r="L349" s="466">
        <v>82745</v>
      </c>
    </row>
    <row r="350" spans="1:14" ht="12.75" customHeight="1" thickBot="1" x14ac:dyDescent="0.25">
      <c r="A350" s="1688" t="s">
        <v>743</v>
      </c>
      <c r="B350" s="1689" t="s">
        <v>35</v>
      </c>
      <c r="C350" s="1690">
        <f>SUM(C348:C349)</f>
        <v>0</v>
      </c>
      <c r="D350" s="1690">
        <f t="shared" ref="D350:L350" si="26">SUM(D348:D349)</f>
        <v>0</v>
      </c>
      <c r="E350" s="1690">
        <f t="shared" si="26"/>
        <v>20757</v>
      </c>
      <c r="F350" s="1690">
        <f t="shared" si="26"/>
        <v>0</v>
      </c>
      <c r="G350" s="1690">
        <f t="shared" si="26"/>
        <v>0</v>
      </c>
      <c r="H350" s="1690">
        <f t="shared" si="26"/>
        <v>0</v>
      </c>
      <c r="I350" s="1690">
        <f t="shared" si="26"/>
        <v>0</v>
      </c>
      <c r="J350" s="1690">
        <f t="shared" si="26"/>
        <v>0</v>
      </c>
      <c r="K350" s="1690">
        <f t="shared" si="26"/>
        <v>20757</v>
      </c>
      <c r="L350" s="1690">
        <f t="shared" si="26"/>
        <v>93745</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20757</v>
      </c>
      <c r="F352" s="1690">
        <f t="shared" si="27"/>
        <v>0</v>
      </c>
      <c r="G352" s="1690">
        <f t="shared" si="27"/>
        <v>0</v>
      </c>
      <c r="H352" s="1690">
        <f t="shared" si="27"/>
        <v>0</v>
      </c>
      <c r="I352" s="1690">
        <f t="shared" si="27"/>
        <v>0</v>
      </c>
      <c r="J352" s="1690">
        <f t="shared" si="27"/>
        <v>0</v>
      </c>
      <c r="K352" s="1690">
        <f t="shared" si="27"/>
        <v>20757</v>
      </c>
      <c r="L352" s="1690">
        <f t="shared" si="27"/>
        <v>93745</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20757</v>
      </c>
      <c r="F367" s="1690">
        <f t="shared" si="28"/>
        <v>0</v>
      </c>
      <c r="G367" s="1690">
        <f t="shared" si="28"/>
        <v>0</v>
      </c>
      <c r="H367" s="1690">
        <f t="shared" si="28"/>
        <v>0</v>
      </c>
      <c r="I367" s="1690">
        <f t="shared" si="28"/>
        <v>0</v>
      </c>
      <c r="J367" s="1690">
        <f t="shared" si="28"/>
        <v>0</v>
      </c>
      <c r="K367" s="1690">
        <f t="shared" si="28"/>
        <v>20757</v>
      </c>
      <c r="L367" s="1690">
        <f t="shared" si="28"/>
        <v>93745</v>
      </c>
    </row>
    <row r="368" spans="1:14" ht="13.5" thickTop="1" x14ac:dyDescent="0.2">
      <c r="A368" s="2195" t="s">
        <v>1053</v>
      </c>
      <c r="B368" s="2196"/>
      <c r="C368" s="653"/>
      <c r="D368" s="653"/>
      <c r="E368" s="625"/>
      <c r="F368" s="625"/>
      <c r="G368" s="625"/>
      <c r="H368" s="625"/>
      <c r="I368" s="625"/>
      <c r="J368" s="622"/>
      <c r="K368" s="1691">
        <f>'Revenues 9-14'!K275-'Expenditures 15-22'!K367</f>
        <v>9266</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sharepoint/v3"/>
    <ds:schemaRef ds:uri="http://schemas.microsoft.com/office/2006/metadata/properties"/>
    <ds:schemaRef ds:uri="http://www.w3.org/XML/1998/namespace"/>
    <ds:schemaRef ds:uri="http://purl.org/dc/terms/"/>
    <ds:schemaRef ds:uri="http://purl.org/dc/dcmitype/"/>
    <ds:schemaRef ds:uri="http://schemas.microsoft.com/office/2006/documentManagement/types"/>
    <ds:schemaRef ds:uri="http://purl.org/dc/elements/1.1/"/>
    <ds:schemaRef ds:uri="4d435f69-8686-490b-bd6d-b153bf22ab50"/>
    <ds:schemaRef ds:uri="http://schemas.openxmlformats.org/package/2006/metadata/core-properties"/>
    <ds:schemaRef ds:uri="http://schemas.microsoft.com/office/infopath/2007/PartnerControls"/>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2018-10-04T15:55:25Z</cp:lastPrinted>
  <dcterms:created xsi:type="dcterms:W3CDTF">2003-10-29T19:06:34Z</dcterms:created>
  <dcterms:modified xsi:type="dcterms:W3CDTF">2018-10-23T20:07:00Z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