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5345" windowHeight="36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 NA" sheetId="169" r:id="rId25"/>
    <sheet name="Single Audit Checklist - NA" sheetId="170" r:id="rId26"/>
    <sheet name="SEFA Reconcile - NA" sheetId="171" r:id="rId27"/>
    <sheet name="SEFA NOTES - NA" sheetId="173" r:id="rId28"/>
    <sheet name=" SEFA - NA" sheetId="179" r:id="rId29"/>
    <sheet name="SF&amp;QC Sec-1 - NA" sheetId="174" r:id="rId30"/>
    <sheet name="Finding 2018-001" sheetId="175" r:id="rId31"/>
    <sheet name="SF&amp;QC Sec-3 - NA" sheetId="176" r:id="rId32"/>
    <sheet name="SSPAF" sheetId="177" r:id="rId33"/>
  </sheets>
  <definedNames>
    <definedName name="_xlnm.Print_Area" localSheetId="28">' SEFA - NA'!$B$1:$M$46</definedName>
    <definedName name="_xlnm.Print_Area" localSheetId="27">'SEFA NOTES - NA'!$A$1:$F$52</definedName>
    <definedName name="_xlnm.Print_Area" localSheetId="26">'SEFA Reconcile - NA'!$A$1:$E$49</definedName>
    <definedName name="_xlnm.Print_Area" localSheetId="29">'SF&amp;QC Sec-1 - NA'!$A$1:$J$63</definedName>
    <definedName name="_xlnm.Print_Area" localSheetId="31">'SF&amp;QC Sec-3 - NA'!$A$1:$K$52</definedName>
    <definedName name="_xlnm.Print_Area" localSheetId="25">'Single Audit Checklist - NA'!$A$1:$D$124</definedName>
    <definedName name="_xlnm.Print_Area" localSheetId="24">'Single Audit Cover - NA'!$A$1:$L$52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 - NA'!$1:$4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5" i="36"/>
  <c r="D36" i="36"/>
  <c r="D37" i="36"/>
  <c r="D38" i="36"/>
  <c r="D39" i="36"/>
  <c r="D40" i="36"/>
  <c r="D71"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9" i="118"/>
  <c r="D11" i="37"/>
  <c r="J22" i="37"/>
  <c r="D6103" i="106" l="1"/>
  <c r="D5" i="4"/>
  <c r="B3406" i="106" s="1"/>
  <c r="D3406" i="106" s="1"/>
  <c r="I210" i="29"/>
  <c r="B7071" i="106" s="1"/>
  <c r="D7071" i="106" s="1"/>
  <c r="D24" i="37"/>
  <c r="B4270" i="106" s="1"/>
  <c r="D4270" i="106" s="1"/>
  <c r="F50" i="34"/>
  <c r="F46" i="34"/>
  <c r="D22" i="37"/>
  <c r="F42" i="34"/>
  <c r="F41" i="34"/>
  <c r="D13" i="7"/>
  <c r="B3726" i="106" s="1"/>
  <c r="D3726" i="106" s="1"/>
  <c r="F72" i="34"/>
  <c r="F38" i="34"/>
  <c r="G35" i="108"/>
  <c r="B1126" i="106"/>
  <c r="D1126" i="106" s="1"/>
  <c r="F27" i="108"/>
  <c r="F26" i="108"/>
  <c r="D26" i="108"/>
  <c r="D36" i="108"/>
  <c r="J210" i="29"/>
  <c r="B7072" i="106" s="1"/>
  <c r="D7072" i="106" s="1"/>
  <c r="F36" i="108"/>
  <c r="B1746" i="106"/>
  <c r="D1746" i="106" s="1"/>
  <c r="G172" i="5"/>
  <c r="G173" i="5" s="1"/>
  <c r="B5778" i="106" s="1"/>
  <c r="D5778" i="106" s="1"/>
  <c r="L15" i="11"/>
  <c r="B3459" i="106" s="1"/>
  <c r="D3459" i="106" s="1"/>
  <c r="L5" i="11"/>
  <c r="B2056" i="106" s="1"/>
  <c r="D2056" i="106" s="1"/>
  <c r="G33" i="108"/>
  <c r="F31" i="108"/>
  <c r="I24" i="12"/>
  <c r="I26" i="12" s="1"/>
  <c r="B7741" i="106" s="1"/>
  <c r="D7741" i="106" s="1"/>
  <c r="H28" i="118"/>
  <c r="E35" i="108"/>
  <c r="H33" i="118"/>
  <c r="B7076" i="106"/>
  <c r="D7076" i="106" s="1"/>
  <c r="F49" i="34"/>
  <c r="F21" i="8"/>
  <c r="B1879" i="106" s="1"/>
  <c r="D1879" i="106" s="1"/>
  <c r="C129" i="29"/>
  <c r="B1225" i="106" s="1"/>
  <c r="D1225" i="106" s="1"/>
  <c r="F45" i="34"/>
  <c r="B7047" i="106"/>
  <c r="D7047" i="106" s="1"/>
  <c r="B7074" i="106"/>
  <c r="D7074"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1" i="106" l="1"/>
  <c r="D7256" i="106"/>
  <c r="D7250" i="106"/>
  <c r="J24" i="12"/>
  <c r="D41" i="108"/>
  <c r="E43" i="108" s="1"/>
  <c r="C151" i="29"/>
  <c r="B1226" i="106" s="1"/>
  <c r="D1226" i="106" s="1"/>
  <c r="B1996" i="106"/>
  <c r="D1996" i="106" s="1"/>
  <c r="B5770" i="106"/>
  <c r="D5770" i="106" s="1"/>
  <c r="H77" i="4"/>
  <c r="B3299" i="106" s="1"/>
  <c r="D3299" i="106" s="1"/>
  <c r="L16" i="11"/>
  <c r="B2061" i="106" s="1"/>
  <c r="D2061" i="106" s="1"/>
  <c r="B4435" i="106"/>
  <c r="D4435" i="106" s="1"/>
  <c r="D7253" i="106"/>
  <c r="I6" i="4"/>
  <c r="B5011" i="106" s="1"/>
  <c r="D5011" i="106"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B3411" i="106" l="1"/>
  <c r="D3411" i="106" s="1"/>
  <c r="D34" i="36"/>
  <c r="C13" i="3"/>
  <c r="H24" i="118"/>
  <c r="K24" i="118" s="1"/>
  <c r="O23" i="118" s="1"/>
  <c r="O25" i="118" s="1"/>
  <c r="O35" i="118" s="1"/>
  <c r="O37" i="118"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<sst xmlns="http://schemas.openxmlformats.org/spreadsheetml/2006/main" count="5057" uniqueCount="2128">
  <si>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</si>
  <si>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</si>
  <si>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</si>
  <si>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</si>
  <si>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</si>
  <si>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</si>
  <si>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</si>
  <si>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</si>
  <si>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</si>
  <si>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</si>
  <si>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</si>
  <si>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</si>
  <si>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</si>
  <si>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</si>
  <si>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</si>
  <si>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</si>
  <si>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</si>
  <si>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</si>
  <si>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</si>
  <si>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</si>
  <si>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</si>
  <si>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</si>
  <si>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</si>
  <si>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</si>
  <si>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</si>
  <si>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</si>
  <si>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</si>
  <si>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</si>
  <si>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</si>
  <si>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</si>
  <si>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</si>
  <si>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</si>
  <si>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</si>
  <si>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</si>
  <si>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</si>
  <si>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</si>
  <si>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</si>
  <si>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</si>
  <si>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</si>
  <si>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</si>
  <si>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</si>
  <si>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</si>
  <si>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</si>
  <si>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</si>
  <si>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</si>
  <si>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</si>
  <si>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</si>
  <si>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</si>
  <si>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</si>
  <si>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</si>
  <si>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</si>
  <si>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</si>
  <si>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</si>
  <si>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</si>
  <si>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</si>
  <si>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</si>
  <si>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</si>
  <si>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</si>
  <si>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</si>
  <si>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</si>
  <si>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</si>
  <si>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</si>
  <si>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</si>
  <si>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</si>
  <si>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</si>
  <si>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</si>
  <si>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</si>
  <si>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</si>
  <si>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</si>
  <si>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</si>
  <si>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</si>
  <si>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</si>
  <si>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</si>
  <si>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</si>
  <si>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</si>
  <si>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</si>
  <si>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</si>
  <si>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</si>
  <si>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</si>
  <si>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</si>
  <si>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</si>
  <si>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</si>
  <si>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</si>
  <si>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</si>
  <si>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</si>
  <si>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</si>
  <si>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</si>
  <si>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</si>
  <si>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</si>
  <si>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</si>
  <si>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</si>
  <si>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</si>
  <si>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</si>
  <si>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</si>
  <si>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</si>
  <si>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</si>
  <si>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</si>
  <si>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</si>
  <si>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</si>
  <si>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</si>
  <si>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</si>
  <si>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</si>
  <si>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</si>
  <si>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</si>
  <si>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</si>
  <si>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</si>
  <si>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</si>
  <si>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</si>
  <si>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</si>
  <si>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</si>
  <si>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</si>
  <si>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</si>
  <si>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</si>
  <si>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</si>
  <si>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</si>
  <si>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</si>
  <si>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</si>
  <si>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</si>
  <si>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</si>
  <si>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</si>
  <si>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</si>
  <si>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</si>
  <si>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</si>
  <si>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</si>
  <si>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</si>
  <si>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</si>
  <si>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</si>
  <si>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</si>
  <si>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</si>
  <si>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</si>
  <si>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</si>
  <si>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</si>
  <si>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</si>
  <si>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</si>
  <si>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</si>
  <si>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</si>
  <si>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</si>
  <si>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</si>
  <si>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</si>
  <si>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</si>
  <si>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</si>
  <si>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</si>
  <si>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</si>
  <si>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</si>
  <si>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</si>
  <si>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</si>
  <si>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</si>
  <si>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</si>
  <si>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</si>
  <si>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</si>
  <si>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</si>
  <si>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</si>
  <si>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</si>
  <si>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</si>
  <si>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</si>
  <si>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</si>
  <si>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</si>
  <si>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</si>
  <si>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</si>
  <si>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</si>
  <si>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</si>
  <si>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</si>
  <si>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</si>
  <si>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</si>
  <si>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</si>
  <si>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</si>
  <si>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</si>
  <si>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</si>
  <si>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</si>
  <si>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</si>
  <si>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</si>
  <si>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</si>
  <si>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</si>
  <si>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</si>
  <si>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</si>
  <si>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</si>
  <si>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</si>
  <si>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</si>
  <si>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</si>
  <si>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</si>
  <si>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</si>
  <si>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</si>
  <si>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</si>
  <si>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</si>
  <si>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</si>
  <si>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</si>
  <si>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</si>
  <si>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</si>
  <si>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</si>
  <si>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</si>
  <si>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</si>
  <si>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</si>
  <si>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</si>
  <si>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</si>
  <si>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</si>
  <si>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</si>
  <si>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</si>
  <si>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</si>
  <si>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</si>
  <si>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</si>
  <si>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</si>
  <si>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</si>
  <si>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</si>
  <si>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</si>
  <si>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</si>
  <si>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</si>
  <si>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</si>
  <si>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</si>
  <si>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</si>
  <si>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</si>
  <si>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</si>
  <si>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</si>
  <si>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</si>
  <si>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</si>
  <si>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</si>
  <si>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</si>
  <si>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</si>
  <si>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</si>
  <si>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</si>
  <si>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</si>
  <si>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</si>
  <si>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</si>
  <si>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</si>
  <si>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</si>
  <si>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</si>
  <si>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</si>
  <si>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</si>
  <si>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</si>
  <si>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</si>
  <si>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</si>
  <si>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</si>
  <si>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</si>
  <si>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</si>
  <si>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</si>
  <si>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</si>
  <si>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</si>
  <si>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</si>
  <si>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</si>
  <si>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</si>
  <si>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</si>
  <si>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</si>
  <si>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</si>
  <si>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</si>
  <si>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</si>
  <si>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</si>
  <si>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</si>
  <si>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</si>
  <si>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</si>
  <si>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</si>
  <si>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</si>
  <si>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</si>
  <si>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</si>
  <si>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</si>
  <si>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</si>
  <si>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</si>
  <si>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</si>
  <si>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</si>
  <si>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</si>
  <si>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</si>
  <si>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</si>
  <si>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</si>
  <si>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</si>
  <si>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</si>
  <si>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</si>
  <si>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</si>
  <si>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</si>
  <si>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</si>
  <si>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</si>
  <si>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</si>
  <si>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</si>
  <si>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</si>
  <si>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</si>
  <si>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</si>
  <si>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</si>
  <si>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</si>
  <si>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</si>
  <si>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</si>
  <si>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</si>
  <si>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</si>
  <si>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</si>
  <si>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</si>
  <si>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</si>
  <si>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</si>
  <si>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</si>
  <si>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</si>
  <si>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</si>
  <si>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</si>
  <si>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</si>
  <si>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</si>
  <si>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</si>
  <si>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</si>
  <si>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</si>
  <si>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</si>
  <si>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</si>
  <si>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</si>
  <si>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</si>
  <si>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</si>
  <si>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</si>
  <si>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</si>
  <si>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</si>
  <si>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</si>
  <si>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</si>
  <si>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</si>
  <si>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</si>
  <si>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</si>
  <si>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</si>
  <si>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</si>
  <si>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</si>
  <si>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</si>
  <si>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</si>
  <si>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</si>
  <si>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</si>
  <si>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</si>
  <si>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</si>
  <si>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</si>
  <si>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</si>
  <si>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</si>
  <si>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</si>
  <si>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</si>
  <si>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</si>
  <si>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</si>
  <si>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</si>
  <si>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</si>
  <si>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</si>
  <si>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</si>
  <si>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</si>
  <si>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</si>
  <si>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</si>
  <si>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</si>
  <si>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</si>
  <si>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</si>
  <si>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</si>
  <si>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</si>
  <si>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</si>
  <si>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</si>
  <si>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</si>
  <si>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</si>
  <si>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</si>
  <si>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</si>
  <si>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</si>
  <si>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</si>
  <si>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</si>
  <si>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</si>
  <si>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</si>
  <si>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</si>
  <si>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</si>
  <si>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</si>
  <si>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</si>
  <si>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</si>
  <si>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</si>
  <si>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</si>
  <si>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</si>
  <si>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</si>
  <si>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</si>
  <si>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</si>
  <si>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</si>
  <si>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</si>
  <si>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</si>
  <si>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</si>
  <si>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</si>
  <si>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</si>
  <si>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</si>
  <si>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</si>
  <si>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</si>
  <si>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</si>
  <si>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</si>
  <si>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</si>
  <si>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</si>
  <si>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</si>
  <si>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</si>
  <si>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</si>
  <si>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</si>
  <si>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</si>
  <si>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</si>
  <si>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</si>
  <si>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</si>
  <si>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</si>
  <si>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</si>
  <si>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</si>
  <si>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</si>
  <si>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</si>
  <si>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</si>
  <si>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</si>
  <si>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</si>
  <si>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</si>
  <si>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</si>
  <si>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</si>
  <si>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</si>
  <si>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</si>
  <si>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</si>
  <si>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</si>
  <si>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</si>
  <si>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</si>
  <si>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</si>
  <si>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</si>
  <si>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</si>
  <si>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</si>
  <si>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</si>
  <si>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</si>
  <si>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</si>
  <si>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</si>
  <si>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</si>
  <si>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</si>
  <si>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</si>
  <si>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</si>
  <si>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</si>
  <si>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</si>
  <si>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</si>
  <si>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</si>
  <si>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</si>
  <si>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</si>
  <si>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</si>
  <si>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</si>
  <si>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</si>
  <si>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</si>
  <si>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</si>
  <si>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</si>
  <si>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</si>
  <si>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</si>
  <si>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</si>
  <si>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</si>
  <si>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</si>
  <si>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</si>
  <si>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</si>
  <si>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</si>
  <si>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</si>
  <si>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</si>
  <si>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</si>
  <si>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</si>
  <si>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</si>
  <si>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</si>
  <si>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</si>
  <si>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</si>
  <si>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</si>
  <si>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</si>
  <si>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</si>
  <si>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</si>
  <si>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</si>
  <si>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</si>
  <si>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</si>
  <si>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</si>
  <si>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</si>
  <si>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</si>
  <si>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</si>
  <si>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</si>
  <si>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</si>
  <si>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</si>
  <si>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</si>
  <si>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</si>
  <si>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</si>
  <si>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</si>
  <si>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</si>
  <si>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</si>
  <si>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</si>
  <si>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</si>
  <si>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</si>
  <si>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</si>
  <si>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</si>
  <si>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</si>
  <si>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</si>
  <si>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</si>
  <si>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</si>
  <si>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</si>
  <si>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</si>
  <si>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</si>
  <si>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</si>
  <si>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</si>
  <si>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</si>
  <si>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</si>
  <si>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</si>
  <si>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</si>
  <si>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</si>
  <si>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</si>
  <si>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</si>
  <si>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</si>
  <si>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</si>
  <si>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</si>
  <si>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</si>
  <si>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</si>
  <si>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</si>
  <si>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</si>
  <si>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</si>
  <si>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</si>
  <si>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</si>
  <si>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</si>
  <si>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</si>
  <si>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</si>
  <si>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</si>
  <si>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</si>
  <si>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</si>
  <si>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</si>
  <si>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</si>
  <si>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</si>
  <si>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</si>
  <si>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</si>
  <si>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</si>
  <si>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</si>
  <si>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</si>
  <si>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</si>
  <si>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</si>
  <si>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</si>
  <si>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</si>
  <si>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</si>
  <si>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</si>
  <si>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</si>
  <si>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</si>
  <si>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</si>
  <si>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</si>
  <si>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</si>
  <si>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</si>
  <si>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</si>
  <si>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</si>
  <si>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</si>
  <si>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</si>
  <si>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</si>
  <si>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</si>
  <si>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</si>
  <si>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</si>
  <si>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</si>
  <si>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</si>
  <si>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</si>
  <si>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</si>
  <si>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</si>
  <si>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</si>
  <si>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</si>
  <si>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</si>
  <si>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</si>
  <si>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</si>
  <si>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</si>
  <si>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</si>
  <si>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</si>
  <si>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</si>
  <si>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</si>
  <si>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</si>
  <si>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</si>
  <si>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</si>
  <si>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</si>
  <si>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</si>
  <si>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</si>
  <si>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</si>
  <si>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</si>
  <si>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</si>
  <si>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</si>
  <si>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</si>
  <si>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</si>
  <si>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</si>
  <si>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</si>
  <si>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</si>
  <si>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</si>
  <si>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</si>
  <si>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</si>
  <si>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</si>
  <si>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</si>
  <si>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</si>
  <si>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</si>
  <si>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</si>
  <si>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</si>
  <si>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</si>
  <si>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</si>
  <si>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</si>
  <si>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</si>
  <si>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</si>
  <si>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</si>
  <si>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</si>
  <si>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</si>
  <si>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</si>
  <si>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</si>
  <si>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</si>
  <si>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</si>
  <si>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</si>
  <si>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</si>
  <si>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</si>
  <si>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</si>
  <si>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</si>
  <si>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</si>
  <si>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</si>
  <si>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</si>
  <si>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</si>
  <si>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</si>
  <si>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</si>
  <si>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</si>
  <si>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</si>
  <si>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</si>
  <si>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</si>
  <si>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</si>
  <si>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</si>
  <si>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</si>
  <si>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</si>
  <si>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</si>
  <si>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</si>
  <si>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</si>
  <si>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</si>
  <si>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</si>
  <si>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</si>
  <si>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</si>
  <si>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</si>
  <si>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</si>
  <si>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</si>
  <si>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</si>
  <si>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</si>
  <si>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</si>
  <si>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</si>
  <si>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</si>
  <si>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</si>
  <si>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</si>
  <si>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</si>
  <si>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</si>
  <si>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</si>
  <si>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</si>
  <si>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</si>
  <si>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</si>
  <si>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</si>
  <si>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</si>
  <si>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</si>
  <si>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</si>
  <si>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</si>
  <si>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</si>
  <si>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</si>
  <si>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</si>
  <si>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</si>
  <si>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</si>
  <si>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</si>
  <si>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</si>
  <si>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</si>
  <si>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</si>
  <si>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</si>
  <si>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</si>
  <si>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</si>
  <si>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</si>
  <si>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</si>
  <si>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</si>
  <si>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</si>
  <si>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</si>
  <si>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</si>
  <si>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</si>
  <si>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</si>
  <si>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</si>
  <si>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</si>
  <si>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</si>
  <si>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</si>
  <si>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</si>
  <si>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</si>
  <si>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</si>
  <si>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</si>
  <si>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</si>
  <si>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</si>
  <si>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</si>
  <si>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</si>
  <si>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</si>
  <si>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</si>
  <si>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</si>
  <si>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</si>
  <si>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</si>
  <si>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</si>
  <si>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</si>
  <si>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</si>
  <si>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</si>
  <si>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</si>
  <si>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</si>
  <si>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</si>
  <si>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</si>
  <si>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</si>
  <si>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</si>
  <si>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</si>
  <si>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</si>
  <si>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</si>
  <si>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</si>
  <si>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</si>
  <si>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</si>
  <si>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</si>
  <si>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</si>
  <si>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</si>
  <si>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</si>
  <si>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</si>
  <si>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</si>
  <si>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</si>
  <si>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</si>
  <si>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</si>
  <si>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</si>
  <si>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</si>
  <si>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</si>
  <si>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</si>
  <si>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</si>
  <si>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</si>
  <si>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</si>
  <si>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</si>
  <si>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</si>
  <si>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</si>
  <si>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</si>
  <si>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</si>
  <si>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</si>
  <si>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</si>
  <si>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</si>
  <si>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</si>
  <si>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</si>
  <si>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</si>
  <si>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</si>
  <si>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</si>
  <si>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</si>
  <si>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</si>
  <si>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</si>
  <si>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</si>
  <si>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</si>
  <si>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</si>
  <si>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</si>
  <si>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</si>
  <si>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</si>
  <si>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</si>
  <si>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</si>
  <si>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</si>
  <si>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</si>
  <si>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</si>
  <si>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</si>
  <si>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</si>
  <si>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</si>
  <si>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</si>
  <si>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</si>
  <si>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</si>
  <si>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</si>
  <si>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</si>
  <si>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</si>
  <si>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</si>
  <si>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</si>
  <si>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</si>
  <si>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</si>
  <si>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</si>
  <si>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</si>
  <si>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</si>
  <si>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</si>
  <si>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</si>
  <si>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</si>
  <si>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</si>
  <si>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</si>
  <si>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</si>
  <si>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</si>
  <si>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</si>
  <si>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</si>
  <si>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</si>
  <si>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</si>
  <si>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</si>
  <si>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</si>
  <si>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</si>
  <si>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</si>
  <si>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</si>
  <si>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</si>
  <si>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</si>
  <si>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</si>
  <si>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</si>
  <si>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</si>
  <si>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</si>
  <si>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</si>
  <si>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</si>
  <si>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</si>
  <si>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</si>
  <si>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</si>
  <si>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</si>
  <si>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</si>
  <si>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</si>
  <si>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</si>
  <si>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</si>
  <si>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</si>
  <si>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</si>
  <si>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</si>
  <si>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</si>
  <si>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</si>
  <si>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</si>
  <si>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</si>
  <si>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</si>
  <si>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</si>
  <si>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</si>
  <si>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</si>
  <si>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</si>
  <si>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</si>
  <si>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</si>
  <si>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</si>
  <si>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</si>
  <si>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</si>
  <si>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</si>
  <si>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</si>
  <si>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</si>
  <si>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</si>
  <si>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</si>
  <si>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</si>
  <si>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</si>
  <si>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</si>
  <si>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</si>
  <si>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</si>
  <si>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</si>
  <si>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</si>
  <si>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</si>
  <si>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</si>
  <si>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</si>
  <si>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</si>
  <si>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</si>
  <si>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</si>
  <si>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</si>
  <si>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</si>
  <si>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</si>
  <si>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</si>
  <si>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</si>
  <si>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</si>
  <si>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</si>
  <si>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</si>
  <si>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</si>
  <si>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</si>
  <si>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</si>
  <si>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</si>
  <si>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</si>
  <si>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</si>
  <si>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</si>
  <si>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</si>
  <si>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</si>
  <si>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</si>
  <si>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</si>
  <si>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</si>
  <si>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</si>
  <si>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</si>
  <si>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</si>
  <si>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</si>
  <si>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</si>
  <si>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</si>
  <si>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</si>
  <si>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</si>
  <si>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</si>
  <si>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</si>
  <si>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</si>
  <si>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</si>
  <si>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</si>
  <si>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</si>
  <si>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</si>
  <si>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</si>
  <si>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</si>
  <si>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</si>
  <si>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</si>
  <si>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</si>
  <si>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</si>
  <si>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</si>
  <si>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</si>
  <si>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</si>
  <si>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</si>
  <si>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</si>
  <si>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</si>
  <si>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</si>
  <si>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</si>
  <si>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</si>
  <si>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</si>
  <si>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</si>
  <si>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</si>
  <si>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</si>
  <si>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</si>
  <si>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</si>
  <si>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</si>
  <si>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</si>
  <si>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</si>
  <si>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</si>
  <si>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</si>
  <si>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</si>
  <si>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</si>
  <si>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</si>
  <si>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</si>
  <si>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</si>
  <si>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</si>
  <si>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</si>
  <si>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</si>
  <si>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</si>
  <si>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</si>
  <si>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</si>
  <si>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</si>
  <si>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</si>
  <si>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</si>
  <si>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</si>
  <si>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</si>
  <si>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</si>
  <si>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</si>
  <si>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</si>
  <si>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</si>
  <si>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</si>
  <si>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</si>
  <si>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</si>
  <si>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</si>
  <si>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</si>
  <si>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</si>
  <si>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</si>
  <si>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</si>
  <si>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</si>
  <si>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</si>
  <si>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</si>
  <si>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</si>
  <si>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</si>
  <si>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</si>
  <si>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</si>
  <si>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</si>
  <si>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</si>
  <si>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</si>
  <si>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</si>
  <si>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</si>
  <si>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</si>
  <si>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</si>
  <si>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</si>
  <si>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</si>
  <si>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</si>
  <si>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</si>
  <si>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</si>
  <si>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</si>
  <si>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</si>
  <si>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</si>
  <si>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</si>
  <si>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</si>
  <si>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</si>
  <si>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</si>
  <si>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</si>
  <si>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</si>
  <si>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</si>
  <si>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</si>
  <si>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</si>
  <si>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</si>
  <si>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</si>
  <si>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</si>
  <si>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</si>
  <si>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</si>
  <si>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</si>
  <si>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</si>
  <si>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</si>
  <si>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</si>
  <si>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</si>
  <si>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</si>
  <si>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</si>
  <si>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</si>
  <si>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</si>
  <si>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</si>
  <si>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</si>
  <si>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</si>
  <si>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</si>
  <si>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</si>
  <si>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</si>
  <si>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</si>
  <si>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</si>
  <si>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</si>
  <si>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</si>
  <si>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</si>
  <si>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</si>
  <si>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</si>
  <si>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</si>
  <si>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</si>
  <si>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</si>
  <si>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</si>
  <si>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</si>
  <si>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</si>
  <si>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</si>
  <si>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</si>
  <si>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</si>
  <si>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</si>
  <si>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</si>
  <si>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</si>
  <si>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</si>
  <si>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</si>
  <si>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</si>
  <si>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</si>
  <si>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</si>
  <si>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</si>
  <si>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</si>
  <si>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</si>
  <si>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</si>
  <si>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</si>
  <si>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</si>
  <si>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</si>
  <si>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</si>
  <si>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</si>
  <si>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</si>
  <si>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</si>
  <si>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</si>
  <si>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</si>
  <si>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</si>
  <si>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</si>
  <si>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</si>
  <si>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</si>
  <si>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</si>
  <si>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</si>
  <si>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</si>
  <si>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</si>
  <si>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</si>
  <si>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</si>
  <si>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</si>
  <si>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</si>
  <si>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</si>
  <si>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</si>
  <si>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</si>
  <si>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</si>
  <si>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</si>
  <si>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</si>
  <si>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</si>
  <si>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</si>
  <si>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</si>
  <si>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</si>
  <si>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</si>
  <si>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</si>
  <si>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</si>
  <si>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</si>
  <si>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</si>
  <si>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</si>
  <si>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</si>
  <si>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</si>
  <si>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</si>
  <si>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</si>
  <si>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</si>
  <si>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</si>
  <si>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</si>
  <si>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</si>
  <si>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</si>
  <si>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</si>
  <si>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</si>
  <si>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</si>
  <si>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</si>
  <si>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</si>
  <si>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</si>
  <si>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</si>
  <si>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</si>
  <si>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</si>
  <si>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</si>
  <si>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</si>
  <si>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</si>
  <si>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</si>
  <si>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</si>
  <si>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</si>
  <si>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</si>
  <si>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</si>
  <si>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</si>
  <si>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</si>
  <si>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</si>
  <si>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</si>
  <si>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</si>
  <si>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</si>
  <si>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</si>
  <si>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</si>
  <si>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</si>
  <si>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</si>
  <si>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</si>
  <si>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</si>
  <si>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</si>
  <si>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</si>
  <si>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</si>
  <si>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</si>
  <si>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</si>
  <si>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</si>
  <si>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</si>
  <si>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</si>
  <si>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</si>
  <si>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</si>
  <si>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</si>
  <si>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</si>
  <si>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</si>
  <si>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</si>
  <si>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</si>
  <si>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</si>
  <si>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</si>
  <si>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</si>
  <si>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</si>
  <si>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</si>
  <si>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</si>
  <si>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</si>
  <si>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</si>
  <si>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</si>
  <si>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</si>
  <si>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</si>
  <si>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</si>
  <si>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</si>
  <si>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</si>
  <si>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</si>
  <si>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</si>
  <si>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</si>
  <si>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</si>
  <si>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</si>
  <si>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</si>
  <si>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</si>
  <si>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</si>
  <si>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</si>
  <si>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</si>
  <si>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</si>
  <si>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</si>
  <si>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</si>
  <si>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</si>
  <si>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</si>
  <si>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</si>
  <si>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</si>
  <si>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</si>
  <si>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</si>
  <si>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</si>
  <si>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</si>
  <si>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</si>
  <si>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</si>
  <si>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</si>
  <si>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</si>
  <si>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</si>
  <si>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</si>
  <si>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</si>
  <si>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</si>
  <si>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</si>
  <si>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</si>
  <si>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</si>
  <si>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</si>
  <si>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</si>
  <si>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</si>
  <si>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</si>
  <si>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</si>
  <si>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</si>
  <si>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</si>
  <si>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</si>
  <si>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</si>
  <si>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</si>
  <si>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</si>
  <si>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</si>
  <si>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</si>
  <si>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</si>
  <si>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</si>
  <si>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</si>
  <si>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</si>
  <si>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</si>
  <si>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</si>
  <si>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</si>
  <si>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</si>
  <si>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</si>
  <si>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</si>
  <si>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</si>
  <si>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</si>
  <si>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</si>
  <si>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</si>
  <si>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</si>
  <si>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</si>
  <si>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</si>
  <si>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</si>
  <si>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</si>
  <si>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</si>
  <si>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</si>
  <si>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</si>
  <si>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</si>
  <si>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</si>
  <si>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</si>
  <si>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</si>
  <si>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</si>
  <si>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</si>
  <si>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</si>
  <si>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</si>
  <si>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</si>
  <si>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</si>
  <si>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</si>
  <si>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</si>
  <si>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</si>
  <si>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</si>
  <si>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</si>
  <si>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</si>
  <si>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</si>
  <si>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</si>
  <si>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</si>
  <si>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</si>
  <si>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</si>
  <si>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</si>
  <si>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</si>
  <si>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</si>
  <si>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</si>
  <si>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</si>
  <si>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</si>
  <si>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</si>
  <si>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</si>
  <si>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</si>
  <si>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</si>
  <si>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</si>
  <si>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</si>
  <si>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</si>
  <si>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</si>
  <si>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</si>
  <si>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</si>
  <si>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</si>
  <si>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</si>
  <si>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</si>
  <si>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</si>
  <si>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</si>
  <si>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</si>
  <si>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</si>
  <si>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</si>
  <si>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</si>
  <si>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</si>
  <si>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</si>
  <si>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</si>
  <si>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</si>
  <si>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</si>
  <si>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</si>
  <si>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</si>
  <si>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</si>
  <si>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</si>
  <si>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</si>
  <si>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</si>
  <si>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</si>
  <si>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</si>
  <si>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</si>
  <si>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</si>
  <si>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</si>
  <si>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</si>
  <si>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</si>
  <si>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</si>
  <si>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</si>
  <si>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</si>
  <si>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</si>
  <si>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</si>
  <si>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</si>
  <si>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</si>
  <si>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</si>
  <si>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</si>
  <si>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</si>
  <si>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</si>
  <si>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</si>
  <si>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</si>
  <si>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</si>
  <si>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</si>
  <si>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</si>
  <si>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</si>
  <si>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</si>
  <si>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</si>
  <si>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</si>
  <si>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</si>
  <si>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</si>
  <si>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</si>
  <si>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</si>
  <si>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</si>
  <si>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</si>
  <si>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</si>
  <si>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</si>
  <si>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</si>
  <si>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</si>
  <si>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</si>
  <si>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</si>
  <si>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</si>
  <si>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</si>
  <si>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</si>
  <si>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</si>
  <si>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</si>
  <si>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</si>
  <si>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</si>
  <si>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</si>
  <si>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</si>
  <si>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</si>
  <si>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</si>
  <si>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</si>
  <si>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</si>
  <si>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</si>
  <si>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</si>
  <si>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</si>
  <si>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</si>
  <si>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</si>
  <si>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</si>
  <si>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</si>
  <si>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</si>
  <si>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</si>
  <si>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</si>
  <si>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</si>
  <si>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</si>
  <si>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</si>
  <si>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</si>
  <si>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</si>
  <si>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</si>
  <si>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</si>
  <si>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</si>
  <si>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</si>
  <si>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</si>
  <si>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</si>
  <si>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</si>
  <si>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</si>
  <si>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</si>
  <si>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</si>
  <si>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</si>
  <si>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</si>
  <si>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</si>
  <si>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</si>
  <si>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</si>
  <si>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</si>
  <si>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</si>
  <si>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</si>
  <si>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</si>
  <si>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</si>
  <si>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</si>
  <si>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</si>
  <si>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</si>
  <si>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</si>
  <si>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</si>
  <si>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</si>
  <si>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</si>
  <si>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</si>
  <si>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</si>
  <si>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</si>
  <si>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</si>
  <si>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</si>
  <si>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</si>
  <si>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</si>
  <si>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</si>
  <si>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</si>
  <si>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</si>
  <si>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</si>
  <si>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</si>
  <si>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</si>
  <si>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</si>
  <si>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</si>
  <si>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</si>
  <si>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</si>
  <si>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</si>
  <si>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</si>
  <si>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</si>
  <si>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</si>
  <si>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</si>
  <si>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</si>
  <si>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</si>
  <si>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</si>
  <si>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</si>
  <si>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</si>
  <si>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</si>
  <si>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</si>
  <si>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</si>
  <si>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</si>
  <si>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</si>
  <si>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</si>
  <si>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</si>
  <si>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</si>
  <si>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</si>
  <si>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</si>
  <si>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</si>
  <si>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</si>
  <si>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</si>
  <si>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</si>
  <si>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</si>
  <si>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</si>
  <si>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</si>
  <si>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</si>
  <si>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</si>
  <si>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</si>
  <si>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</si>
  <si>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</si>
  <si>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</si>
  <si>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</si>
  <si>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</si>
  <si>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</si>
  <si>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</si>
  <si>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</si>
  <si>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</si>
  <si>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</si>
  <si>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</si>
  <si>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</si>
  <si>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</si>
  <si>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</si>
  <si>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</si>
  <si>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</si>
  <si>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</si>
  <si>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</si>
  <si>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</si>
  <si>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</si>
  <si>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</si>
  <si>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</si>
  <si>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</si>
  <si>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</si>
  <si>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</si>
  <si>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</si>
  <si>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</si>
  <si>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</si>
  <si>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</si>
  <si>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</si>
  <si>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</si>
  <si>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</si>
  <si>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</si>
  <si>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</si>
  <si>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</si>
  <si>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</si>
  <si>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</si>
  <si>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</si>
  <si>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</si>
  <si>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</si>
  <si>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</si>
  <si>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</si>
  <si>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</si>
  <si>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</si>
  <si>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</si>
  <si>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</si>
  <si>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</si>
  <si>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</si>
  <si>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</si>
  <si>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</si>
  <si>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</si>
  <si>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</si>
  <si>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</si>
  <si>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</si>
  <si>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</si>
  <si>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</si>
  <si>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</si>
  <si>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</si>
  <si>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</si>
  <si>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</si>
  <si>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</si>
  <si>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</si>
  <si>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</si>
  <si>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</si>
  <si>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</si>
  <si>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</si>
  <si>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</si>
  <si>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</si>
  <si>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</si>
  <si>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</si>
  <si>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</si>
  <si>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</si>
  <si>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</si>
  <si>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</si>
  <si>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</si>
  <si>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</si>
  <si>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</si>
  <si>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</si>
  <si>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</si>
  <si>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</si>
  <si>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</si>
  <si>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</si>
  <si>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</si>
  <si>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</si>
  <si>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</si>
  <si>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</si>
  <si>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</si>
  <si>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</si>
  <si>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</si>
  <si>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</si>
  <si>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</si>
  <si>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</si>
  <si>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</si>
  <si>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</si>
  <si>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</si>
  <si>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</si>
  <si>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</si>
  <si>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</si>
  <si>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</si>
  <si>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</si>
  <si>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</si>
  <si>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</si>
  <si>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</si>
  <si>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</si>
  <si>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</si>
  <si>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</si>
  <si>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</si>
  <si>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</si>
  <si>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</si>
  <si>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</si>
  <si>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</si>
  <si>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</si>
  <si>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</si>
  <si>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</si>
  <si>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</si>
  <si>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</si>
  <si>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</si>
  <si>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</si>
  <si>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</si>
  <si>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</si>
  <si>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</si>
  <si>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</si>
  <si>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</si>
  <si>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</si>
  <si>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</si>
  <si>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</si>
  <si>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</si>
  <si>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</si>
  <si>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</si>
  <si>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</si>
  <si>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</si>
  <si>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</si>
  <si>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</si>
  <si>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</si>
  <si>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</si>
  <si>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</si>
  <si>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</si>
  <si>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</si>
  <si>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</si>
  <si>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</si>
  <si>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</si>
  <si>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</si>
  <si>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</si>
  <si>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</si>
  <si>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</si>
  <si>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</si>
  <si>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</si>
  <si>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</si>
  <si>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</si>
  <si>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</si>
  <si>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</si>
  <si>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</si>
  <si>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</si>
  <si>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</si>
  <si>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</si>
  <si>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</si>
  <si>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</si>
  <si>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</si>
  <si>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</si>
  <si>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</si>
  <si>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</si>
  <si>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</si>
  <si>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</si>
  <si>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</si>
  <si>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</si>
  <si>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</si>
  <si>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</si>
  <si>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</si>
  <si>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</si>
  <si>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</si>
  <si>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</si>
  <si>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</si>
  <si>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</si>
  <si>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</si>
  <si>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</si>
  <si>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</si>
  <si>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</si>
  <si>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</si>
  <si>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</si>
  <si>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</si>
  <si>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</si>
  <si>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</si>
  <si>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</si>
  <si>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</si>
  <si>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</si>
  <si>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</si>
  <si>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</si>
  <si>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</si>
  <si>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</si>
  <si>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</si>
  <si>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</si>
  <si>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</si>
  <si>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</si>
  <si>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</si>
  <si>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</si>
  <si>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</si>
  <si>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</si>
  <si>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</si>
  <si>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</si>
  <si>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</si>
  <si>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</si>
  <si>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</si>
  <si>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</si>
  <si>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</si>
  <si>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</si>
  <si>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</si>
  <si>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</si>
  <si>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</si>
  <si>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</si>
  <si>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</si>
  <si>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</si>
  <si>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</si>
  <si>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</si>
  <si>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</si>
  <si>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</si>
  <si>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</si>
  <si>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</si>
  <si>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</si>
  <si>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</si>
  <si>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</si>
  <si>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</si>
  <si>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</si>
  <si>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</si>
  <si>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</si>
  <si>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</si>
  <si>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</si>
  <si>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</si>
  <si>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</si>
  <si>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</si>
  <si>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</si>
  <si>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</si>
  <si>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</si>
  <si>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</si>
  <si>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</si>
  <si>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</si>
  <si>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</si>
  <si>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</si>
  <si>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</si>
  <si>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</si>
  <si>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</si>
  <si>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</si>
  <si>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</si>
  <si>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</si>
  <si>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</si>
  <si>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</si>
  <si>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</si>
  <si>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</si>
  <si>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</si>
  <si>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</si>
  <si>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</si>
  <si>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</si>
  <si>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</si>
  <si>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</si>
  <si>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</si>
  <si>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</si>
  <si>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</si>
  <si>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</si>
  <si>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</si>
  <si>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</si>
  <si>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</si>
  <si>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</si>
  <si>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</si>
  <si>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</si>
  <si>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</si>
  <si>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</si>
  <si>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</si>
  <si>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</si>
  <si>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</si>
  <si>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</si>
  <si>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</si>
  <si>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</si>
  <si>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</si>
  <si>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</si>
  <si>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</si>
  <si>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</si>
  <si>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</si>
  <si>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</si>
  <si>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</si>
  <si>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</si>
  <si>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</si>
  <si>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</si>
  <si>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</si>
  <si>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</si>
  <si>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</si>
  <si>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</si>
  <si>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</si>
  <si>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</si>
  <si>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</si>
  <si>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</si>
  <si>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</si>
  <si>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</si>
  <si>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</si>
  <si>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</si>
  <si>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</si>
  <si>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</si>
  <si>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</si>
  <si>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</si>
  <si>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</si>
  <si>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</si>
  <si>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</si>
  <si>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</si>
  <si>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</si>
  <si>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</si>
  <si>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</si>
  <si>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</si>
  <si>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</si>
  <si>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</si>
  <si>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</si>
  <si>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</si>
  <si>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</si>
  <si>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</si>
  <si>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</si>
  <si>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</si>
  <si>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</si>
  <si>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</si>
  <si>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</si>
  <si>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</si>
  <si>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</si>
  <si>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</si>
  <si>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</si>
  <si>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</si>
  <si>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</si>
  <si>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</si>
  <si>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</si>
  <si>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</si>
  <si>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</si>
  <si>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</si>
  <si>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</si>
  <si>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</si>
  <si>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</si>
  <si>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</si>
  <si>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</si>
  <si>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</si>
  <si>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</si>
  <si>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</si>
  <si>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</si>
  <si>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</si>
  <si>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</si>
  <si>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</si>
  <si>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</si>
  <si>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</si>
  <si>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</si>
  <si>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</si>
  <si>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</si>
  <si>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</si>
  <si>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</si>
  <si>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</si>
  <si>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</si>
  <si>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</si>
  <si>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</si>
  <si>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</si>
  <si>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</si>
  <si>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</si>
  <si>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</si>
  <si>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</si>
  <si>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</si>
  <si>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</si>
  <si>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</si>
  <si>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</si>
  <si>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</si>
  <si>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</si>
  <si>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</si>
  <si>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</si>
  <si>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</si>
  <si>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</si>
  <si>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</si>
  <si>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</si>
  <si>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</si>
  <si>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</si>
  <si>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</si>
  <si>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</si>
  <si>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</si>
  <si>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</si>
  <si>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</si>
  <si>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</si>
  <si>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</si>
  <si>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</si>
  <si>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</si>
  <si>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</si>
  <si>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</si>
  <si>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</si>
  <si>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</si>
  <si>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</si>
  <si>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</si>
  <si>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</si>
  <si>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</si>
  <si>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</si>
  <si>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</si>
  <si>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</si>
  <si>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</si>
  <si>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</si>
  <si>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</si>
  <si>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</si>
  <si>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</si>
  <si>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</si>
  <si>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</si>
  <si>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</si>
  <si>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</si>
  <si>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</si>
  <si>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</si>
  <si>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</si>
  <si>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</si>
  <si>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</si>
  <si>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</si>
  <si>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</si>
  <si>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</si>
  <si>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</si>
  <si>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</si>
  <si>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</si>
  <si>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</si>
  <si>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</si>
  <si>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</si>
  <si>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</si>
  <si>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</si>
  <si>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</si>
  <si>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</si>
  <si>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</si>
  <si>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</si>
  <si>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</si>
  <si>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</si>
  <si>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</si>
  <si>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</si>
  <si>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</si>
  <si>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</si>
  <si>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</si>
  <si>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</si>
  <si>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</si>
  <si>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</si>
  <si>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</si>
  <si>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</si>
  <si>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</si>
  <si>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</si>
  <si>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</si>
  <si>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</si>
  <si>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</si>
  <si>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</si>
  <si>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</si>
  <si>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</si>
  <si>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</si>
  <si>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</si>
  <si>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</si>
  <si>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</si>
  <si>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</si>
  <si>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</si>
  <si>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</si>
  <si>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</si>
  <si>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</si>
  <si>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</si>
  <si>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</si>
  <si>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</si>
  <si>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</si>
  <si>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</si>
  <si>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</si>
  <si>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</si>
  <si>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</si>
  <si>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</si>
  <si>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</si>
  <si>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</si>
  <si>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</si>
  <si>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</si>
  <si>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</si>
  <si>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</si>
  <si>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</si>
  <si>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</si>
  <si>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</si>
  <si>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</si>
  <si>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</si>
  <si>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</si>
  <si>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</si>
  <si>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</si>
  <si>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</si>
  <si>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</si>
  <si>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</si>
  <si>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</si>
  <si>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</si>
  <si>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</si>
  <si>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</si>
  <si>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</si>
  <si>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</si>
  <si>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</si>
  <si>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</si>
  <si>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</si>
  <si>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</si>
  <si>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</si>
  <si>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</si>
  <si>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</si>
  <si>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</si>
  <si>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</si>
  <si>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</si>
  <si>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</si>
  <si>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</si>
  <si>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</si>
  <si>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</si>
  <si>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</si>
  <si>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</si>
  <si>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</si>
  <si>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</si>
  <si>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</si>
  <si>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</si>
  <si>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</si>
  <si>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</si>
  <si>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</si>
  <si>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</si>
  <si>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</si>
  <si>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</si>
  <si>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</si>
  <si>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</si>
  <si>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</si>
  <si>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</si>
  <si>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</si>
  <si>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</si>
  <si>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</si>
  <si>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</si>
  <si>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</si>
  <si>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</si>
  <si>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</si>
  <si>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</si>
  <si>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</si>
  <si>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</si>
  <si>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</si>
  <si>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</si>
  <si>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</si>
  <si>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</si>
  <si>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</si>
  <si>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</si>
  <si>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</si>
  <si>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</si>
  <si>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</si>
  <si>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</si>
  <si>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</si>
  <si>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</si>
  <si>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</si>
  <si>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</si>
  <si>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</si>
  <si>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</si>
  <si>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</si>
  <si>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</si>
  <si>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</si>
  <si>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</si>
  <si>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</si>
  <si>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</si>
  <si>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</si>
  <si>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</si>
  <si>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</si>
  <si>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</si>
  <si>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</si>
  <si>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</si>
  <si>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</si>
  <si>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</si>
  <si>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</si>
  <si>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</si>
  <si>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</si>
  <si>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</si>
  <si>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</si>
  <si>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</si>
  <si>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</si>
  <si>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</si>
  <si>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</si>
  <si>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</si>
  <si>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</si>
  <si>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</si>
  <si>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</si>
  <si>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</si>
  <si>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</si>
  <si>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</si>
  <si>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</si>
  <si>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</si>
  <si>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</si>
  <si>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</si>
  <si>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</si>
  <si>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</si>
  <si>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</si>
  <si>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</si>
  <si>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</si>
  <si>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</si>
  <si>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</si>
  <si>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</si>
  <si>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</si>
  <si>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</si>
  <si>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</si>
  <si>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</si>
  <si>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</si>
  <si>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</si>
  <si>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</si>
  <si>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</si>
  <si>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</si>
  <si>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</si>
  <si>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</si>
  <si>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</si>
  <si>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</si>
  <si>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</si>
  <si>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</si>
  <si>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</si>
  <si>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</si>
  <si>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</si>
  <si>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</si>
  <si>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</si>
  <si>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</si>
  <si>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</si>
  <si>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</si>
  <si>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</si>
  <si>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</si>
  <si>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</si>
  <si>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</si>
  <si>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</si>
  <si>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</si>
  <si>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</si>
  <si>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</si>
  <si>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</si>
  <si>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</si>
  <si>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</si>
  <si>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</si>
  <si>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</si>
  <si>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</si>
  <si>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</si>
  <si>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</si>
  <si>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</si>
  <si>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</si>
  <si>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</si>
  <si>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</si>
  <si>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</si>
  <si>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</si>
  <si>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</si>
  <si>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</si>
  <si>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</si>
  <si>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</si>
  <si>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</si>
  <si>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</si>
  <si>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</si>
  <si>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</si>
  <si>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</si>
  <si>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</si>
  <si>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</si>
  <si>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</si>
  <si>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</si>
  <si>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</si>
  <si>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</si>
  <si>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</si>
  <si>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</si>
  <si>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</si>
  <si>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</si>
  <si>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</si>
  <si>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</si>
  <si>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</si>
  <si>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</si>
  <si>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</si>
  <si>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</si>
  <si>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</si>
  <si>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</si>
  <si>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</si>
  <si>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</si>
  <si>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</si>
  <si>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</si>
  <si>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</si>
  <si>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</si>
  <si>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</si>
  <si>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</si>
  <si>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</si>
  <si>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</si>
  <si>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</si>
  <si>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</si>
  <si>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</si>
  <si>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</si>
  <si>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</si>
  <si>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</si>
  <si>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</si>
  <si>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</si>
  <si>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</si>
  <si>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</si>
  <si>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</si>
  <si>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</si>
  <si>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</si>
  <si>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</si>
  <si>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</si>
  <si>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</si>
  <si>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</si>
  <si>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</si>
  <si>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</si>
  <si>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</si>
  <si>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</si>
  <si>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</si>
  <si>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</si>
  <si>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</si>
  <si>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</si>
  <si>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</si>
  <si>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</si>
  <si>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</si>
  <si>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</si>
  <si>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</si>
  <si>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</si>
  <si>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</si>
  <si>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</si>
  <si>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</si>
  <si>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</si>
  <si>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</si>
  <si>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</si>
  <si>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</si>
  <si>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</si>
  <si>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</si>
  <si>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</si>
  <si>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</si>
  <si>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</si>
  <si>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</si>
  <si>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</si>
  <si>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</si>
  <si>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</si>
  <si>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</si>
  <si>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</si>
  <si>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</si>
  <si>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</si>
  <si>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</si>
  <si>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</si>
  <si>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</si>
  <si>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</si>
  <si>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</si>
  <si>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</si>
  <si>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</si>
  <si>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</si>
  <si>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</si>
  <si>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</si>
  <si>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</si>
  <si>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</si>
  <si>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</si>
  <si>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</si>
  <si>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</si>
  <si>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</si>
  <si>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</si>
  <si>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</si>
  <si>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</si>
  <si>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</si>
  <si>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</si>
  <si>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</si>
  <si>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</si>
  <si>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</si>
  <si>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</si>
  <si>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</si>
  <si>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</si>
  <si>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</si>
  <si>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</si>
  <si>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</si>
  <si>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</si>
  <si>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</si>
  <si>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</si>
  <si>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</si>
  <si>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</si>
  <si>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</si>
  <si>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</si>
  <si>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</si>
  <si>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</si>
  <si>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</si>
  <si>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</si>
  <si>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</si>
  <si>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</si>
  <si>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</si>
  <si>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Henry</t>
  </si>
  <si>
    <t>Annawan Community Unit School District No. 226</t>
  </si>
  <si>
    <t>501 W South Street</t>
  </si>
  <si>
    <t>Annawan</t>
  </si>
  <si>
    <t xml:space="preserve">Matt Nordstrom </t>
  </si>
  <si>
    <t>mnordstrom@annawan226.org</t>
  </si>
  <si>
    <t>309-935-6781</t>
  </si>
  <si>
    <t>309-935-6065</t>
  </si>
  <si>
    <t>Tim C. Custis, CPA</t>
  </si>
  <si>
    <t>tcustis@gorenzcpa.com</t>
  </si>
  <si>
    <t>2014 Working Cash Bonds</t>
  </si>
  <si>
    <t>x</t>
  </si>
  <si>
    <t>Wethersfield CUSD Bus/Sports Coops</t>
  </si>
  <si>
    <t>Henry Stark Counties Special Education District</t>
  </si>
  <si>
    <t>Quad City Career and Technical Education Consortium</t>
  </si>
  <si>
    <t>2017-001</t>
  </si>
  <si>
    <t>Lack of Segregation of Duties</t>
  </si>
  <si>
    <t>Unresolved see Finding 2018-001</t>
  </si>
  <si>
    <t>AU-C 265 has prescribed definitions for significant deficiencies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</si>
  <si>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</si>
  <si>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</si>
  <si>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</si>
  <si>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precludes the hiring of additional staff.</t>
  </si>
  <si>
    <t>Segregation of duties is normally difficult to accomplish within a small governmental entity. Management should be evver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</si>
  <si>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</si>
  <si>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20 - See Finding 2018-001</t>
  </si>
  <si>
    <t>The opinion is adverse due to the use of the Regulatory Basis of Accounting.</t>
  </si>
  <si>
    <t>Tech Lease</t>
  </si>
  <si>
    <t>Kansas State Bank - Tech Lease</t>
  </si>
  <si>
    <t>2018 Working Cash Bonds</t>
  </si>
  <si>
    <t>Page 10, Line 78 - Sale of Signs</t>
  </si>
  <si>
    <t>Page 11, Line 106 - Lab Fees</t>
  </si>
  <si>
    <t>Page 11, Line 107 - Refunds and Reimbursements</t>
  </si>
  <si>
    <t>Page 12, Line 171 - SOS - Library Grant</t>
  </si>
  <si>
    <t>Page 24, Line 33 - Technology Lease</t>
  </si>
  <si>
    <t>Page 15, Line 41 - Graduation Supplies</t>
  </si>
  <si>
    <t>For the current fiscal year under audit, the district did not have any qualifying contracts</t>
  </si>
  <si>
    <t>exceeding the $25,000 limit.</t>
  </si>
  <si>
    <t>No contracts for the year ended June 30, 2018</t>
  </si>
  <si>
    <t>Auditcheck tab: Line 80 -  "PLEASE ENTER CONTRACTS PAID IN THE CURRENT YEAR"</t>
  </si>
  <si>
    <t>066-005027</t>
  </si>
  <si>
    <t>see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</si>
</sst>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2077</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2077</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28037226026</v>
      </c>
      <c r="B13" s="2034"/>
      <c r="C13" s="2034"/>
      <c r="D13" s="2034"/>
      <c r="E13" s="2034"/>
      <c r="F13" s="2034"/>
      <c r="G13" s="2034"/>
      <c r="H13" s="2035"/>
      <c r="I13" s="31"/>
      <c r="J13" s="30"/>
      <c r="K13" s="28"/>
      <c r="L13" s="30"/>
      <c r="M13" s="30"/>
      <c r="N13" s="30"/>
      <c r="O13" s="30"/>
      <c r="P13" s="30"/>
      <c r="Q13" s="30"/>
      <c r="R13" s="30"/>
      <c r="S13" s="30"/>
      <c r="T13" s="2038" t="s">
        <v>2078</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2086</v>
      </c>
      <c r="B15" s="2036"/>
      <c r="C15" s="2036"/>
      <c r="D15" s="2036"/>
      <c r="E15" s="2036"/>
      <c r="F15" s="2036"/>
      <c r="G15" s="2036"/>
      <c r="H15" s="2037"/>
      <c r="T15" s="2042" t="s">
        <v>2094</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2087</v>
      </c>
      <c r="B17" s="1993"/>
      <c r="C17" s="1993"/>
      <c r="D17" s="1993"/>
      <c r="E17" s="1993"/>
      <c r="F17" s="1993"/>
      <c r="G17" s="1993"/>
      <c r="H17" s="2018"/>
      <c r="T17" s="2049" t="s">
        <v>2079</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2088</v>
      </c>
      <c r="B19" s="1978"/>
      <c r="C19" s="1978"/>
      <c r="D19" s="1978"/>
      <c r="E19" s="1978"/>
      <c r="F19" s="1978"/>
      <c r="G19" s="1978"/>
      <c r="H19" s="1958"/>
      <c r="I19" s="30"/>
      <c r="J19" s="99"/>
      <c r="K19" s="40"/>
      <c r="L19" s="38"/>
      <c r="M19" s="112" t="s">
        <v>333</v>
      </c>
      <c r="P19" s="27"/>
      <c r="Q19" s="27"/>
      <c r="R19" s="27"/>
      <c r="S19" s="31"/>
      <c r="T19" s="2032" t="s">
        <v>2080</v>
      </c>
      <c r="U19" s="1957"/>
      <c r="V19" s="1957"/>
      <c r="W19" s="1958"/>
      <c r="X19" s="2047" t="s">
        <v>2081</v>
      </c>
      <c r="Y19" s="2048"/>
      <c r="Z19" s="2045">
        <v>61614</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2089</v>
      </c>
      <c r="B21" s="1957"/>
      <c r="C21" s="1957"/>
      <c r="D21" s="1957"/>
      <c r="E21" s="1957"/>
      <c r="F21" s="1957"/>
      <c r="G21" s="1957"/>
      <c r="H21" s="1958"/>
      <c r="I21" s="2012" t="s">
        <v>699</v>
      </c>
      <c r="J21" s="2007"/>
      <c r="K21" s="2007"/>
      <c r="L21" s="2007"/>
      <c r="M21" s="2007"/>
      <c r="N21" s="2007"/>
      <c r="O21" s="2007"/>
      <c r="P21" s="2007"/>
      <c r="Q21" s="2007"/>
      <c r="R21" s="2007"/>
      <c r="S21" s="2013"/>
      <c r="T21" s="2056" t="s">
        <v>2082</v>
      </c>
      <c r="U21" s="2057"/>
      <c r="V21" s="2057"/>
      <c r="W21" s="2057"/>
      <c r="X21" s="2062" t="s">
        <v>2083</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2091</v>
      </c>
      <c r="B23" s="2010"/>
      <c r="C23" s="2010"/>
      <c r="D23" s="2010"/>
      <c r="E23" s="2010"/>
      <c r="F23" s="2010"/>
      <c r="G23" s="2010"/>
      <c r="H23" s="2011"/>
      <c r="T23" s="1992" t="s">
        <v>2126</v>
      </c>
      <c r="U23" s="2055"/>
      <c r="V23" s="2055"/>
      <c r="W23" s="2055"/>
      <c r="X23" s="2059">
        <v>44530</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61234</v>
      </c>
      <c r="B25" s="1957"/>
      <c r="C25" s="1957"/>
      <c r="D25" s="1957"/>
      <c r="E25" s="1957"/>
      <c r="F25" s="1957"/>
      <c r="G25" s="1957"/>
      <c r="H25" s="1958"/>
      <c r="I25" s="113"/>
      <c r="J25" s="1981"/>
      <c r="K25" s="1981"/>
      <c r="L25" s="1981"/>
      <c r="M25" s="1981"/>
      <c r="N25" s="1981"/>
      <c r="O25" s="1981"/>
      <c r="P25" s="1981"/>
      <c r="Q25" s="1981"/>
      <c r="R25" s="1981"/>
      <c r="S25" s="1982"/>
      <c r="T25" s="2052" t="s">
        <v>2095</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2090</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2091</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2092</v>
      </c>
      <c r="B42" s="1976"/>
      <c r="C42" s="1977"/>
      <c r="D42" s="1975" t="s">
        <v>2093</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8" t="s">
        <v>1905</v>
      </c>
      <c r="B2" s="1548" t="s">
        <v>2037</v>
      </c>
      <c r="C2" s="713" t="s">
        <v>1910</v>
      </c>
      <c r="D2" s="713" t="s">
        <v>1911</v>
      </c>
      <c r="E2" s="713" t="s">
        <v>1912</v>
      </c>
      <c r="F2" s="713" t="s">
        <v>1913</v>
      </c>
    </row>
    <row r="3" spans="1:6" ht="12" customHeight="1" x14ac:dyDescent="0.2">
      <c r="A3" s="2199"/>
      <c r="B3" s="1545"/>
      <c r="C3" s="1546"/>
      <c r="D3" s="1547" t="s">
        <v>274</v>
      </c>
      <c r="E3" s="1546"/>
      <c r="F3" s="1547" t="s">
        <v>275</v>
      </c>
    </row>
    <row r="4" spans="1:6" ht="13.7" customHeight="1" x14ac:dyDescent="0.2">
      <c r="A4" s="714" t="s">
        <v>1217</v>
      </c>
      <c r="B4" s="1769">
        <f>'Revenues 9-14'!C5</f>
        <v>1547832</v>
      </c>
      <c r="C4" s="1544">
        <v>784992</v>
      </c>
      <c r="D4" s="1772">
        <f t="shared" ref="D4:D16" si="0">B4-C4</f>
        <v>762840</v>
      </c>
      <c r="E4" s="1544">
        <v>1565878</v>
      </c>
      <c r="F4" s="1772">
        <f t="shared" ref="F4:F16" si="1">E4-C4</f>
        <v>780886</v>
      </c>
    </row>
    <row r="5" spans="1:6" ht="13.7" customHeight="1" x14ac:dyDescent="0.2">
      <c r="A5" s="714" t="s">
        <v>925</v>
      </c>
      <c r="B5" s="1770">
        <f>'Revenues 9-14'!D5</f>
        <v>265138</v>
      </c>
      <c r="C5" s="583">
        <v>133611</v>
      </c>
      <c r="D5" s="1773">
        <f t="shared" si="0"/>
        <v>131527</v>
      </c>
      <c r="E5" s="583">
        <v>266523</v>
      </c>
      <c r="F5" s="1773">
        <f t="shared" si="1"/>
        <v>132912</v>
      </c>
    </row>
    <row r="6" spans="1:6" ht="13.7" customHeight="1" x14ac:dyDescent="0.2">
      <c r="A6" s="714" t="s">
        <v>431</v>
      </c>
      <c r="B6" s="1770">
        <f>'Revenues 9-14'!E5</f>
        <v>482970</v>
      </c>
      <c r="C6" s="583">
        <v>240803</v>
      </c>
      <c r="D6" s="1773">
        <f t="shared" si="0"/>
        <v>242167</v>
      </c>
      <c r="E6" s="583">
        <v>480347</v>
      </c>
      <c r="F6" s="1773">
        <f t="shared" si="1"/>
        <v>239544</v>
      </c>
    </row>
    <row r="7" spans="1:6" ht="13.7" customHeight="1" x14ac:dyDescent="0.2">
      <c r="A7" s="714" t="s">
        <v>157</v>
      </c>
      <c r="B7" s="1770">
        <f>'Revenues 9-14'!F5</f>
        <v>106077</v>
      </c>
      <c r="C7" s="583">
        <v>53461</v>
      </c>
      <c r="D7" s="1773">
        <f t="shared" si="0"/>
        <v>52616</v>
      </c>
      <c r="E7" s="583">
        <v>106642</v>
      </c>
      <c r="F7" s="1773">
        <f t="shared" si="1"/>
        <v>53181</v>
      </c>
    </row>
    <row r="8" spans="1:6" ht="13.7" customHeight="1" x14ac:dyDescent="0.2">
      <c r="A8" s="714" t="s">
        <v>1241</v>
      </c>
      <c r="B8" s="1770">
        <f>'Revenues 9-14'!G5</f>
        <v>104642</v>
      </c>
      <c r="C8" s="583">
        <v>52026</v>
      </c>
      <c r="D8" s="1773">
        <f t="shared" si="0"/>
        <v>52616</v>
      </c>
      <c r="E8" s="583">
        <v>103780</v>
      </c>
      <c r="F8" s="1773">
        <f t="shared" si="1"/>
        <v>51754</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26546</v>
      </c>
      <c r="C10" s="583">
        <v>13372</v>
      </c>
      <c r="D10" s="1773">
        <f t="shared" si="0"/>
        <v>13174</v>
      </c>
      <c r="E10" s="583">
        <v>26674</v>
      </c>
      <c r="F10" s="1773">
        <f t="shared" si="1"/>
        <v>13302</v>
      </c>
    </row>
    <row r="11" spans="1:6" x14ac:dyDescent="0.2">
      <c r="A11" s="714" t="s">
        <v>429</v>
      </c>
      <c r="B11" s="1770">
        <f>'Revenues 9-14'!J5</f>
        <v>233923</v>
      </c>
      <c r="C11" s="583">
        <v>116287</v>
      </c>
      <c r="D11" s="1773">
        <f t="shared" si="0"/>
        <v>117636</v>
      </c>
      <c r="E11" s="583">
        <v>231966</v>
      </c>
      <c r="F11" s="1773">
        <f t="shared" si="1"/>
        <v>115679</v>
      </c>
    </row>
    <row r="12" spans="1:6" ht="13.7" customHeight="1" x14ac:dyDescent="0.2">
      <c r="A12" s="714" t="s">
        <v>159</v>
      </c>
      <c r="B12" s="1770">
        <f>'Revenues 9-14'!K5</f>
        <v>26546</v>
      </c>
      <c r="C12" s="583">
        <v>13372</v>
      </c>
      <c r="D12" s="1773">
        <f t="shared" si="0"/>
        <v>13174</v>
      </c>
      <c r="E12" s="583">
        <v>26674</v>
      </c>
      <c r="F12" s="1773">
        <f t="shared" si="1"/>
        <v>13302</v>
      </c>
    </row>
    <row r="13" spans="1:6" ht="13.7" customHeight="1" x14ac:dyDescent="0.2">
      <c r="A13" s="714" t="s">
        <v>993</v>
      </c>
      <c r="B13" s="1770">
        <f>SUM('Revenues 9-14'!C6:D6)</f>
        <v>26546</v>
      </c>
      <c r="C13" s="583">
        <v>13372</v>
      </c>
      <c r="D13" s="1773">
        <f t="shared" si="0"/>
        <v>13174</v>
      </c>
      <c r="E13" s="583">
        <v>26674</v>
      </c>
      <c r="F13" s="1773">
        <f t="shared" si="1"/>
        <v>13302</v>
      </c>
    </row>
    <row r="14" spans="1:6" ht="13.7" customHeight="1" x14ac:dyDescent="0.2">
      <c r="A14" s="714" t="s">
        <v>430</v>
      </c>
      <c r="B14" s="1770">
        <f>SUM('Revenues 9-14'!C7:D7,'Revenues 9-14'!F7:H7)</f>
        <v>21215</v>
      </c>
      <c r="C14" s="583">
        <v>10692</v>
      </c>
      <c r="D14" s="1773">
        <f t="shared" si="0"/>
        <v>10523</v>
      </c>
      <c r="E14" s="583">
        <v>21328</v>
      </c>
      <c r="F14" s="1773">
        <f t="shared" si="1"/>
        <v>10636</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104642</v>
      </c>
      <c r="C16" s="583">
        <v>52026</v>
      </c>
      <c r="D16" s="1773">
        <f t="shared" si="0"/>
        <v>52616</v>
      </c>
      <c r="E16" s="583">
        <v>103780</v>
      </c>
      <c r="F16" s="1773">
        <f t="shared" si="1"/>
        <v>51754</v>
      </c>
    </row>
    <row r="17" spans="1:6" ht="13.7" customHeight="1" x14ac:dyDescent="0.2">
      <c r="A17" s="714" t="s">
        <v>1222</v>
      </c>
      <c r="B17" s="1770">
        <f>'Revenues 9-14'!C10</f>
        <v>0</v>
      </c>
      <c r="C17" s="583"/>
      <c r="D17" s="1773">
        <f t="shared" ref="D17:D18" si="2">B17-C17</f>
        <v>0</v>
      </c>
      <c r="E17" s="583"/>
      <c r="F17" s="1773">
        <f t="shared" ref="F17:F18" si="3">E17-C17</f>
        <v>0</v>
      </c>
    </row>
    <row r="18" spans="1:6" ht="13.7" customHeight="1" x14ac:dyDescent="0.2">
      <c r="A18" s="714" t="s">
        <v>786</v>
      </c>
      <c r="B18" s="1770">
        <f>SUM('Revenues 9-14'!C11:K11)</f>
        <v>0</v>
      </c>
      <c r="C18" s="583"/>
      <c r="D18" s="1773">
        <f t="shared" si="2"/>
        <v>0</v>
      </c>
      <c r="E18" s="583"/>
      <c r="F18" s="1773">
        <f t="shared" si="3"/>
        <v>0</v>
      </c>
    </row>
    <row r="19" spans="1:6" ht="13.7" customHeight="1" thickBot="1" x14ac:dyDescent="0.25">
      <c r="A19" s="1774" t="s">
        <v>1223</v>
      </c>
      <c r="B19" s="1771">
        <f>SUM(B4:B18)</f>
        <v>2946077</v>
      </c>
      <c r="C19" s="1771">
        <f>SUM(C4:C18)</f>
        <v>1484014</v>
      </c>
      <c r="D19" s="1771">
        <f>SUM(D4:D18)</f>
        <v>1462063</v>
      </c>
      <c r="E19" s="1771">
        <f>SUM(E4:E18)</f>
        <v>2960266</v>
      </c>
      <c r="F19" s="1771">
        <f>SUM(F4:F18)</f>
        <v>1476252</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0"/>
    </row>
    <row r="2" spans="1:7" ht="33.75" x14ac:dyDescent="0.2">
      <c r="A2" s="2225" t="s">
        <v>1905</v>
      </c>
      <c r="B2" s="2226"/>
      <c r="C2" s="1907" t="s">
        <v>2038</v>
      </c>
      <c r="D2" s="722" t="s">
        <v>2045</v>
      </c>
      <c r="E2" s="722" t="s">
        <v>2046</v>
      </c>
      <c r="F2" s="1907" t="s">
        <v>2039</v>
      </c>
    </row>
    <row r="3" spans="1:7" ht="15.75" customHeight="1" x14ac:dyDescent="0.2">
      <c r="A3" s="2227" t="s">
        <v>1176</v>
      </c>
      <c r="B3" s="2228"/>
      <c r="C3" s="2221"/>
      <c r="D3" s="2222"/>
      <c r="E3" s="2222"/>
      <c r="F3" s="2223"/>
    </row>
    <row r="4" spans="1:7" ht="12.75" customHeight="1" thickBot="1" x14ac:dyDescent="0.25">
      <c r="A4" s="2215" t="s">
        <v>651</v>
      </c>
      <c r="B4" s="2216"/>
      <c r="C4" s="579"/>
      <c r="D4" s="579"/>
      <c r="E4" s="579"/>
      <c r="F4" s="1775">
        <f>SUM(C4+D4)-E4</f>
        <v>0</v>
      </c>
    </row>
    <row r="5" spans="1:7" ht="15.75" customHeight="1" thickTop="1" x14ac:dyDescent="0.2">
      <c r="A5" s="2219" t="s">
        <v>1172</v>
      </c>
      <c r="B5" s="2214"/>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1" t="s">
        <v>652</v>
      </c>
      <c r="B15" s="2212"/>
      <c r="C15" s="1775">
        <f>SUM(C6:C14)</f>
        <v>0</v>
      </c>
      <c r="D15" s="1775">
        <f>SUM(D6:D14)</f>
        <v>0</v>
      </c>
      <c r="E15" s="1775">
        <f>SUM(E6:E14)</f>
        <v>0</v>
      </c>
      <c r="F15" s="1775">
        <f>SUM(F6:F14)</f>
        <v>0</v>
      </c>
      <c r="G15" s="550"/>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5"/>
      <c r="D17" s="583"/>
      <c r="E17" s="725"/>
      <c r="F17" s="1775">
        <f>SUM(C17+D17)-E17</f>
        <v>0</v>
      </c>
    </row>
    <row r="18" spans="1:11" ht="12.75" customHeight="1" thickTop="1" thickBot="1" x14ac:dyDescent="0.25">
      <c r="A18" s="2206" t="s">
        <v>6</v>
      </c>
      <c r="B18" s="2207"/>
      <c r="C18" s="725"/>
      <c r="D18" s="583"/>
      <c r="E18" s="725"/>
      <c r="F18" s="1775">
        <f>SUM(C18+D18)-E18</f>
        <v>0</v>
      </c>
    </row>
    <row r="19" spans="1:11" ht="12.75" customHeight="1" thickTop="1" thickBot="1" x14ac:dyDescent="0.25">
      <c r="A19" s="2206" t="s">
        <v>406</v>
      </c>
      <c r="B19" s="2207"/>
      <c r="C19" s="725"/>
      <c r="D19" s="583"/>
      <c r="E19" s="725"/>
      <c r="F19" s="1775">
        <f>SUM(C19+D19)-E19</f>
        <v>0</v>
      </c>
    </row>
    <row r="20" spans="1:11" ht="12.75" customHeight="1" thickTop="1" thickBot="1" x14ac:dyDescent="0.25">
      <c r="A20" s="2206" t="s">
        <v>468</v>
      </c>
      <c r="B20" s="2207"/>
      <c r="C20" s="725"/>
      <c r="D20" s="583"/>
      <c r="E20" s="725"/>
      <c r="F20" s="1775">
        <f>SUM(C20+D20)-E20</f>
        <v>0</v>
      </c>
    </row>
    <row r="21" spans="1:11" ht="14.25" thickTop="1" thickBot="1" x14ac:dyDescent="0.25">
      <c r="A21" s="2211" t="s">
        <v>653</v>
      </c>
      <c r="B21" s="2212"/>
      <c r="C21" s="1775">
        <f>SUM(C17:C20)</f>
        <v>0</v>
      </c>
      <c r="D21" s="1775">
        <f>SUM(D17:D20)</f>
        <v>0</v>
      </c>
      <c r="E21" s="1775">
        <f>SUM(E17:E20)</f>
        <v>0</v>
      </c>
      <c r="F21" s="1775">
        <f>SUM(F17:F20)</f>
        <v>0</v>
      </c>
      <c r="G21" s="550"/>
    </row>
    <row r="22" spans="1:11" ht="15.75" customHeight="1" thickTop="1" x14ac:dyDescent="0.2">
      <c r="A22" s="2213" t="s">
        <v>1174</v>
      </c>
      <c r="B22" s="2214"/>
      <c r="C22" s="2208"/>
      <c r="D22" s="2209"/>
      <c r="E22" s="2209"/>
      <c r="F22" s="2210"/>
    </row>
    <row r="23" spans="1:11" ht="13.5" thickBot="1" x14ac:dyDescent="0.25">
      <c r="A23" s="2215" t="s">
        <v>654</v>
      </c>
      <c r="B23" s="2216"/>
      <c r="C23" s="579"/>
      <c r="D23" s="579"/>
      <c r="E23" s="579"/>
      <c r="F23" s="1775">
        <f>SUM(C23+D23)-E23</f>
        <v>0</v>
      </c>
      <c r="G23" s="550"/>
    </row>
    <row r="24" spans="1:11" ht="15.75" customHeight="1" thickTop="1" x14ac:dyDescent="0.2">
      <c r="A24" s="2213" t="s">
        <v>1175</v>
      </c>
      <c r="B24" s="2214"/>
      <c r="C24" s="2208"/>
      <c r="D24" s="2209"/>
      <c r="E24" s="2209"/>
      <c r="F24" s="2210"/>
    </row>
    <row r="25" spans="1:11" ht="13.5" thickBot="1" x14ac:dyDescent="0.25">
      <c r="A25" s="2215" t="s">
        <v>655</v>
      </c>
      <c r="B25" s="2216"/>
      <c r="C25" s="579"/>
      <c r="D25" s="579"/>
      <c r="E25" s="579"/>
      <c r="F25" s="1775">
        <f>SUM(C25+D25)-E25</f>
        <v>0</v>
      </c>
      <c r="G25" s="550"/>
    </row>
    <row r="26" spans="1:11" ht="15.75" customHeight="1" thickTop="1" x14ac:dyDescent="0.2">
      <c r="A26" s="2219" t="s">
        <v>678</v>
      </c>
      <c r="B26" s="2214"/>
      <c r="C26" s="726"/>
      <c r="D26" s="726"/>
      <c r="E26" s="726"/>
      <c r="F26" s="727"/>
    </row>
    <row r="27" spans="1:11" ht="13.5" thickBot="1" x14ac:dyDescent="0.25">
      <c r="A27" s="2211" t="s">
        <v>1130</v>
      </c>
      <c r="B27" s="2212"/>
      <c r="C27" s="583"/>
      <c r="D27" s="583"/>
      <c r="E27" s="583"/>
      <c r="F27" s="1775">
        <f>SUM(C27+D27)-E27</f>
        <v>0</v>
      </c>
      <c r="G27" s="550"/>
    </row>
    <row r="28" spans="1:11" ht="7.5" customHeight="1" thickTop="1" x14ac:dyDescent="0.2">
      <c r="A28" s="592"/>
    </row>
    <row r="29" spans="1:11" ht="23.25" customHeight="1" x14ac:dyDescent="0.2">
      <c r="A29" s="2217" t="s">
        <v>603</v>
      </c>
      <c r="B29" s="2218"/>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2096</v>
      </c>
      <c r="B31" s="732">
        <v>41654</v>
      </c>
      <c r="C31" s="733">
        <v>1700000</v>
      </c>
      <c r="D31" s="734">
        <v>1</v>
      </c>
      <c r="E31" s="733">
        <v>460000</v>
      </c>
      <c r="F31" s="733"/>
      <c r="G31" s="733"/>
      <c r="H31" s="733">
        <v>460000</v>
      </c>
      <c r="I31" s="1776">
        <f>((E31+F31)-H31)+G31</f>
        <v>0</v>
      </c>
      <c r="J31" s="733"/>
      <c r="K31" s="735"/>
    </row>
    <row r="32" spans="1:11" ht="12" customHeight="1" x14ac:dyDescent="0.2">
      <c r="A32" s="731" t="s">
        <v>2115</v>
      </c>
      <c r="B32" s="732">
        <v>43138</v>
      </c>
      <c r="C32" s="733">
        <v>1700000</v>
      </c>
      <c r="D32" s="734">
        <v>1</v>
      </c>
      <c r="E32" s="733"/>
      <c r="F32" s="733">
        <v>1700000</v>
      </c>
      <c r="G32" s="733"/>
      <c r="H32" s="733"/>
      <c r="I32" s="1776">
        <f>((E32+F32)-H32)+G32</f>
        <v>1700000</v>
      </c>
      <c r="J32" s="733">
        <f>1700000-266651</f>
        <v>1433349</v>
      </c>
      <c r="K32" s="735"/>
    </row>
    <row r="33" spans="1:11" ht="12" customHeight="1" x14ac:dyDescent="0.2">
      <c r="A33" s="731" t="s">
        <v>2114</v>
      </c>
      <c r="B33" s="732">
        <v>42941</v>
      </c>
      <c r="C33" s="733">
        <v>40275</v>
      </c>
      <c r="D33" s="734">
        <v>7</v>
      </c>
      <c r="E33" s="733"/>
      <c r="F33" s="733"/>
      <c r="G33" s="733">
        <v>40275</v>
      </c>
      <c r="H33" s="733">
        <v>14127</v>
      </c>
      <c r="I33" s="1776">
        <f t="shared" ref="I33:I48" si="1">((E33+F33)-H33)+G33</f>
        <v>26148</v>
      </c>
      <c r="J33" s="733">
        <v>26148</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3440275</v>
      </c>
      <c r="D49" s="744"/>
      <c r="E49" s="1776">
        <f t="shared" ref="E49:J49" si="2">SUM(E31:E48)</f>
        <v>460000</v>
      </c>
      <c r="F49" s="1776">
        <f t="shared" si="2"/>
        <v>1700000</v>
      </c>
      <c r="G49" s="1776">
        <f t="shared" si="2"/>
        <v>40275</v>
      </c>
      <c r="H49" s="1776">
        <f t="shared" si="2"/>
        <v>474127</v>
      </c>
      <c r="I49" s="1776">
        <f t="shared" si="2"/>
        <v>1726148</v>
      </c>
      <c r="J49" s="1776">
        <f t="shared" si="2"/>
        <v>1459497</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0" t="s">
        <v>605</v>
      </c>
      <c r="C52" s="2201"/>
      <c r="D52" s="2201"/>
      <c r="E52" s="748" t="s">
        <v>900</v>
      </c>
      <c r="F52" s="2202" t="s">
        <v>2113</v>
      </c>
      <c r="G52" s="2203"/>
      <c r="H52" s="735"/>
      <c r="I52" s="735"/>
      <c r="J52" s="745"/>
    </row>
    <row r="53" spans="1:11" ht="11.25" customHeight="1" x14ac:dyDescent="0.2">
      <c r="A53" s="749" t="s">
        <v>969</v>
      </c>
      <c r="B53" s="750" t="s">
        <v>1008</v>
      </c>
      <c r="C53" s="745"/>
      <c r="D53" s="736"/>
      <c r="E53" s="748" t="s">
        <v>518</v>
      </c>
      <c r="F53" s="2204"/>
      <c r="G53" s="2205"/>
      <c r="H53" s="735"/>
      <c r="I53" s="735"/>
      <c r="J53" s="745"/>
    </row>
    <row r="54" spans="1:11" ht="11.25" customHeight="1" x14ac:dyDescent="0.2">
      <c r="A54" s="751" t="s">
        <v>970</v>
      </c>
      <c r="B54" s="746" t="s">
        <v>1009</v>
      </c>
      <c r="C54" s="745"/>
      <c r="D54" s="736"/>
      <c r="E54" s="748" t="s">
        <v>519</v>
      </c>
      <c r="F54" s="2204"/>
      <c r="G54" s="220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0"/>
      <c r="I1" s="759"/>
      <c r="J1" s="433"/>
    </row>
    <row r="2" spans="1:11" ht="26.25" x14ac:dyDescent="0.2">
      <c r="A2" s="2248" t="s">
        <v>1776</v>
      </c>
      <c r="B2" s="2249"/>
      <c r="C2" s="2249"/>
      <c r="D2" s="2249"/>
      <c r="E2" s="2250"/>
      <c r="F2" s="760" t="s">
        <v>960</v>
      </c>
      <c r="G2" s="761" t="s">
        <v>1773</v>
      </c>
      <c r="H2" s="761" t="s">
        <v>430</v>
      </c>
      <c r="I2" s="761" t="s">
        <v>1220</v>
      </c>
      <c r="J2" s="761" t="s">
        <v>1919</v>
      </c>
      <c r="K2" s="761" t="s">
        <v>140</v>
      </c>
    </row>
    <row r="3" spans="1:11" x14ac:dyDescent="0.2">
      <c r="A3" s="2251" t="s">
        <v>1698</v>
      </c>
      <c r="B3" s="2252"/>
      <c r="C3" s="2252"/>
      <c r="D3" s="2252"/>
      <c r="E3" s="2253"/>
      <c r="F3" s="762"/>
      <c r="G3" s="763"/>
      <c r="H3" s="763"/>
      <c r="I3" s="763"/>
      <c r="J3" s="764">
        <v>235893</v>
      </c>
      <c r="K3" s="764"/>
    </row>
    <row r="4" spans="1:11" x14ac:dyDescent="0.2">
      <c r="A4" s="2254" t="s">
        <v>387</v>
      </c>
      <c r="B4" s="2255"/>
      <c r="C4" s="2255"/>
      <c r="D4" s="2255"/>
      <c r="E4" s="2201"/>
      <c r="F4" s="765"/>
      <c r="G4" s="766"/>
      <c r="H4" s="767"/>
      <c r="I4" s="766"/>
      <c r="J4" s="768"/>
      <c r="K4" s="768"/>
    </row>
    <row r="5" spans="1:11" x14ac:dyDescent="0.2">
      <c r="A5" s="2232" t="s">
        <v>1129</v>
      </c>
      <c r="B5" s="2233"/>
      <c r="C5" s="2233"/>
      <c r="D5" s="2233"/>
      <c r="E5" s="2234"/>
      <c r="F5" s="769" t="s">
        <v>903</v>
      </c>
      <c r="G5" s="770"/>
      <c r="H5" s="763">
        <v>21218</v>
      </c>
      <c r="I5" s="771"/>
      <c r="J5" s="772"/>
      <c r="K5" s="772"/>
    </row>
    <row r="6" spans="1:11" x14ac:dyDescent="0.2">
      <c r="A6" s="773" t="s">
        <v>744</v>
      </c>
      <c r="B6" s="774"/>
      <c r="C6" s="774"/>
      <c r="D6" s="774"/>
      <c r="E6" s="775"/>
      <c r="F6" s="776" t="s">
        <v>904</v>
      </c>
      <c r="G6" s="763"/>
      <c r="H6" s="763">
        <v>10</v>
      </c>
      <c r="I6" s="763"/>
      <c r="J6" s="764">
        <v>630</v>
      </c>
      <c r="K6" s="764"/>
    </row>
    <row r="7" spans="1:11" x14ac:dyDescent="0.2">
      <c r="A7" s="777" t="s">
        <v>264</v>
      </c>
      <c r="B7" s="778"/>
      <c r="C7" s="778"/>
      <c r="D7" s="778"/>
      <c r="E7" s="779"/>
      <c r="F7" s="769" t="s">
        <v>905</v>
      </c>
      <c r="G7" s="766"/>
      <c r="H7" s="766"/>
      <c r="I7" s="766"/>
      <c r="J7" s="780"/>
      <c r="K7" s="764">
        <v>2425</v>
      </c>
    </row>
    <row r="8" spans="1:11" x14ac:dyDescent="0.2">
      <c r="A8" s="777" t="s">
        <v>363</v>
      </c>
      <c r="B8" s="778"/>
      <c r="C8" s="778"/>
      <c r="D8" s="778"/>
      <c r="E8" s="779"/>
      <c r="F8" s="769" t="s">
        <v>906</v>
      </c>
      <c r="G8" s="781"/>
      <c r="H8" s="781"/>
      <c r="I8" s="781"/>
      <c r="J8" s="764">
        <v>103733</v>
      </c>
      <c r="K8" s="768"/>
    </row>
    <row r="9" spans="1:11" x14ac:dyDescent="0.2">
      <c r="A9" s="777" t="s">
        <v>140</v>
      </c>
      <c r="B9" s="778"/>
      <c r="C9" s="778"/>
      <c r="D9" s="778"/>
      <c r="E9" s="779"/>
      <c r="F9" s="776" t="s">
        <v>908</v>
      </c>
      <c r="G9" s="781"/>
      <c r="H9" s="770"/>
      <c r="I9" s="770"/>
      <c r="J9" s="780"/>
      <c r="K9" s="764">
        <v>4511</v>
      </c>
    </row>
    <row r="10" spans="1:11" x14ac:dyDescent="0.2">
      <c r="A10" s="2232" t="s">
        <v>1920</v>
      </c>
      <c r="B10" s="2233"/>
      <c r="C10" s="2233"/>
      <c r="D10" s="2233"/>
      <c r="E10" s="2235"/>
      <c r="F10" s="782" t="s">
        <v>917</v>
      </c>
      <c r="G10" s="781"/>
      <c r="H10" s="783"/>
      <c r="I10" s="763"/>
      <c r="J10" s="764"/>
      <c r="K10" s="764"/>
    </row>
    <row r="11" spans="1:11" x14ac:dyDescent="0.2">
      <c r="A11" s="2232" t="s">
        <v>162</v>
      </c>
      <c r="B11" s="2233"/>
      <c r="C11" s="2233"/>
      <c r="D11" s="2233"/>
      <c r="E11" s="2234"/>
      <c r="F11" s="769" t="s">
        <v>907</v>
      </c>
      <c r="G11" s="770"/>
      <c r="H11" s="763"/>
      <c r="I11" s="763"/>
      <c r="J11" s="764"/>
      <c r="K11" s="772"/>
    </row>
    <row r="12" spans="1:11" ht="13.5" thickBot="1" x14ac:dyDescent="0.25">
      <c r="A12" s="2259" t="s">
        <v>961</v>
      </c>
      <c r="B12" s="2260"/>
      <c r="C12" s="2260"/>
      <c r="D12" s="2260"/>
      <c r="E12" s="2261"/>
      <c r="F12" s="1777"/>
      <c r="G12" s="1778">
        <f>SUM(G5:G11)</f>
        <v>0</v>
      </c>
      <c r="H12" s="1778">
        <f>SUM(H5:H11)</f>
        <v>21228</v>
      </c>
      <c r="I12" s="1778">
        <f>SUM(I5:I11)</f>
        <v>0</v>
      </c>
      <c r="J12" s="1778">
        <f>SUM(J5:J11)</f>
        <v>104363</v>
      </c>
      <c r="K12" s="1778">
        <f>SUM(K5:K11)</f>
        <v>6936</v>
      </c>
    </row>
    <row r="13" spans="1:11" ht="13.5" thickTop="1" x14ac:dyDescent="0.2">
      <c r="A13" s="2256" t="s">
        <v>388</v>
      </c>
      <c r="B13" s="2257"/>
      <c r="C13" s="2257"/>
      <c r="D13" s="2257"/>
      <c r="E13" s="2258"/>
      <c r="F13" s="784"/>
      <c r="G13" s="785"/>
      <c r="H13" s="786"/>
      <c r="I13" s="787"/>
      <c r="J13" s="787"/>
      <c r="K13" s="787"/>
    </row>
    <row r="14" spans="1:11" x14ac:dyDescent="0.2">
      <c r="A14" s="2239" t="s">
        <v>476</v>
      </c>
      <c r="B14" s="2239"/>
      <c r="C14" s="2239"/>
      <c r="D14" s="2239"/>
      <c r="E14" s="2240"/>
      <c r="F14" s="788" t="s">
        <v>909</v>
      </c>
      <c r="G14" s="781"/>
      <c r="H14" s="763">
        <v>21228</v>
      </c>
      <c r="I14" s="770"/>
      <c r="J14" s="772"/>
      <c r="K14" s="764">
        <v>6936</v>
      </c>
    </row>
    <row r="15" spans="1:11" x14ac:dyDescent="0.2">
      <c r="A15" s="2233" t="s">
        <v>4</v>
      </c>
      <c r="B15" s="2233"/>
      <c r="C15" s="2233"/>
      <c r="D15" s="2233"/>
      <c r="E15" s="2234"/>
      <c r="F15" s="788" t="s">
        <v>910</v>
      </c>
      <c r="G15" s="770"/>
      <c r="H15" s="763"/>
      <c r="I15" s="763"/>
      <c r="J15" s="764">
        <v>60813</v>
      </c>
      <c r="K15" s="764"/>
    </row>
    <row r="16" spans="1:11" x14ac:dyDescent="0.2">
      <c r="A16" s="2233" t="s">
        <v>316</v>
      </c>
      <c r="B16" s="2233"/>
      <c r="C16" s="2233"/>
      <c r="D16" s="2233"/>
      <c r="E16" s="2234"/>
      <c r="F16" s="788" t="s">
        <v>980</v>
      </c>
      <c r="G16" s="771"/>
      <c r="H16" s="766"/>
      <c r="I16" s="766"/>
      <c r="J16" s="768"/>
      <c r="K16" s="768"/>
    </row>
    <row r="17" spans="1:11" x14ac:dyDescent="0.2">
      <c r="A17" s="2264" t="s">
        <v>992</v>
      </c>
      <c r="B17" s="2264"/>
      <c r="C17" s="2264"/>
      <c r="D17" s="2264"/>
      <c r="E17" s="2265"/>
      <c r="F17" s="789"/>
      <c r="G17" s="790"/>
      <c r="H17" s="791"/>
      <c r="I17" s="791"/>
      <c r="J17" s="792"/>
      <c r="K17" s="793"/>
    </row>
    <row r="18" spans="1:11" x14ac:dyDescent="0.2">
      <c r="A18" s="2243" t="s">
        <v>386</v>
      </c>
      <c r="B18" s="2244"/>
      <c r="C18" s="2244"/>
      <c r="D18" s="2244"/>
      <c r="E18" s="2245"/>
      <c r="F18" s="788" t="s">
        <v>989</v>
      </c>
      <c r="G18" s="781"/>
      <c r="H18" s="781"/>
      <c r="I18" s="781"/>
      <c r="J18" s="764"/>
      <c r="K18" s="794"/>
    </row>
    <row r="19" spans="1:11" ht="21.75" customHeight="1" x14ac:dyDescent="0.2">
      <c r="A19" s="2241" t="s">
        <v>1916</v>
      </c>
      <c r="B19" s="2241"/>
      <c r="C19" s="2241"/>
      <c r="D19" s="2241"/>
      <c r="E19" s="2242"/>
      <c r="F19" s="788" t="s">
        <v>990</v>
      </c>
      <c r="G19" s="781"/>
      <c r="H19" s="781"/>
      <c r="I19" s="781"/>
      <c r="J19" s="764"/>
      <c r="K19" s="794"/>
    </row>
    <row r="20" spans="1:11" x14ac:dyDescent="0.2">
      <c r="A20" s="2243" t="s">
        <v>1921</v>
      </c>
      <c r="B20" s="2244"/>
      <c r="C20" s="2244"/>
      <c r="D20" s="2244"/>
      <c r="E20" s="2245"/>
      <c r="F20" s="788" t="s">
        <v>991</v>
      </c>
      <c r="G20" s="781"/>
      <c r="H20" s="781"/>
      <c r="I20" s="781"/>
      <c r="J20" s="764"/>
      <c r="K20" s="794"/>
    </row>
    <row r="21" spans="1:11" ht="13.5" thickBot="1" x14ac:dyDescent="0.25">
      <c r="A21" s="2262" t="s">
        <v>659</v>
      </c>
      <c r="B21" s="2262"/>
      <c r="C21" s="2262"/>
      <c r="D21" s="2262"/>
      <c r="E21" s="2262"/>
      <c r="F21" s="1779"/>
      <c r="G21" s="791"/>
      <c r="H21" s="795"/>
      <c r="I21" s="795"/>
      <c r="J21" s="1780">
        <f>SUM(J18:J20)</f>
        <v>0</v>
      </c>
      <c r="K21" s="792"/>
    </row>
    <row r="22" spans="1:11" ht="13.5" thickTop="1" x14ac:dyDescent="0.2">
      <c r="A22" s="2233" t="s">
        <v>1922</v>
      </c>
      <c r="B22" s="2233"/>
      <c r="C22" s="2233"/>
      <c r="D22" s="2233"/>
      <c r="E22" s="2234"/>
      <c r="F22" s="788" t="s">
        <v>917</v>
      </c>
      <c r="G22" s="781"/>
      <c r="H22" s="763"/>
      <c r="I22" s="763"/>
      <c r="J22" s="796"/>
      <c r="K22" s="764"/>
    </row>
    <row r="23" spans="1:11" ht="13.5" thickBot="1" x14ac:dyDescent="0.25">
      <c r="A23" s="2263" t="s">
        <v>962</v>
      </c>
      <c r="B23" s="2262"/>
      <c r="C23" s="2262"/>
      <c r="D23" s="2262"/>
      <c r="E23" s="2262"/>
      <c r="F23" s="1781"/>
      <c r="G23" s="1778">
        <f>SUM(G14:G16,G21,G22)</f>
        <v>0</v>
      </c>
      <c r="H23" s="1778">
        <f>SUM(H14:H16,H21,H22)</f>
        <v>21228</v>
      </c>
      <c r="I23" s="1778">
        <f>SUM(I14:I16,I21,I22)</f>
        <v>0</v>
      </c>
      <c r="J23" s="1778">
        <f>SUM(J14:J16,J21,J22)</f>
        <v>60813</v>
      </c>
      <c r="K23" s="1778">
        <f>SUM(K14:K16,K21,K22)</f>
        <v>6936</v>
      </c>
    </row>
    <row r="24" spans="1:11" ht="14.25" thickTop="1" thickBot="1" x14ac:dyDescent="0.25">
      <c r="A24" s="2263" t="s">
        <v>2026</v>
      </c>
      <c r="B24" s="2262"/>
      <c r="C24" s="2262"/>
      <c r="D24" s="2262"/>
      <c r="E24" s="2262"/>
      <c r="F24" s="1782"/>
      <c r="G24" s="1783">
        <f>SUM(G3,G12)-G23</f>
        <v>0</v>
      </c>
      <c r="H24" s="1783">
        <f>SUM(H3,H12)-H23</f>
        <v>0</v>
      </c>
      <c r="I24" s="1783">
        <f>SUM(I3,I12)-I23</f>
        <v>0</v>
      </c>
      <c r="J24" s="1783">
        <f>SUM(J3,J12)-J23</f>
        <v>279443</v>
      </c>
      <c r="K24" s="1783">
        <f>SUM(K3,K12)-K23</f>
        <v>0</v>
      </c>
    </row>
    <row r="25" spans="1:11" ht="13.5" thickTop="1" x14ac:dyDescent="0.2">
      <c r="A25" s="797" t="s">
        <v>440</v>
      </c>
      <c r="B25" s="798"/>
      <c r="C25" s="798"/>
      <c r="D25" s="798"/>
      <c r="E25" s="799"/>
      <c r="F25" s="800">
        <v>714</v>
      </c>
      <c r="G25" s="801"/>
      <c r="H25" s="801"/>
      <c r="I25" s="801"/>
      <c r="J25" s="796">
        <v>279443</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6"/>
      <c r="I31" s="2237"/>
      <c r="J31" s="2237"/>
      <c r="K31" s="2237"/>
    </row>
    <row r="32" spans="1:11" x14ac:dyDescent="0.2">
      <c r="A32" s="808"/>
      <c r="B32" s="237"/>
      <c r="C32" s="237"/>
      <c r="D32" s="237"/>
      <c r="E32" s="804"/>
      <c r="F32" s="810" t="s">
        <v>561</v>
      </c>
      <c r="G32" s="763"/>
      <c r="H32" s="2238"/>
      <c r="I32" s="2237"/>
      <c r="J32" s="2237"/>
      <c r="K32" s="2237"/>
    </row>
    <row r="33" spans="1:11" ht="1.5" customHeight="1" x14ac:dyDescent="0.2">
      <c r="A33" s="811" t="s">
        <v>1231</v>
      </c>
      <c r="B33" s="364"/>
      <c r="C33" s="364"/>
      <c r="D33" s="364"/>
      <c r="E33" s="364"/>
      <c r="F33" s="364"/>
      <c r="G33" s="812"/>
      <c r="H33" s="2238"/>
      <c r="I33" s="2237"/>
      <c r="J33" s="2237"/>
      <c r="K33" s="2237"/>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46"/>
      <c r="C41" s="2246"/>
      <c r="D41" s="2246"/>
      <c r="E41" s="2246"/>
      <c r="F41" s="224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5"/>
      <c r="E1" s="826"/>
      <c r="F1" s="826"/>
      <c r="G1" s="827"/>
      <c r="H1" s="828"/>
      <c r="I1" s="829"/>
      <c r="J1" s="2266"/>
      <c r="K1" s="2267"/>
      <c r="L1" s="2267"/>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5215</v>
      </c>
      <c r="D5" s="840"/>
      <c r="E5" s="840"/>
      <c r="F5" s="1780">
        <f>(C5+D5)-E5</f>
        <v>5215</v>
      </c>
      <c r="G5" s="836"/>
      <c r="H5" s="841"/>
      <c r="I5" s="841"/>
      <c r="J5" s="841"/>
      <c r="K5" s="792"/>
      <c r="L5" s="1789">
        <f>F5-K5</f>
        <v>5215</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3547564</v>
      </c>
      <c r="D8" s="843">
        <v>61728</v>
      </c>
      <c r="E8" s="843"/>
      <c r="F8" s="1780">
        <f>(C8+D8)-E8</f>
        <v>3609292</v>
      </c>
      <c r="G8" s="842">
        <v>50</v>
      </c>
      <c r="H8" s="764">
        <v>2573850</v>
      </c>
      <c r="I8" s="764">
        <v>33119</v>
      </c>
      <c r="J8" s="764"/>
      <c r="K8" s="1789">
        <f>(H8+I8)-J8</f>
        <v>2606969</v>
      </c>
      <c r="L8" s="1789">
        <f>F8-K8</f>
        <v>1002323</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415336</v>
      </c>
      <c r="D10" s="845">
        <v>7841</v>
      </c>
      <c r="E10" s="845"/>
      <c r="F10" s="1784">
        <f>(C10+D10)-E10</f>
        <v>423177</v>
      </c>
      <c r="G10" s="842">
        <v>20</v>
      </c>
      <c r="H10" s="846">
        <v>182469</v>
      </c>
      <c r="I10" s="846">
        <v>19603</v>
      </c>
      <c r="J10" s="846"/>
      <c r="K10" s="1789">
        <f>(H10+I10)-J10</f>
        <v>202072</v>
      </c>
      <c r="L10" s="1789">
        <f>F10-K10</f>
        <v>221105</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551424</v>
      </c>
      <c r="D12" s="843">
        <v>81883</v>
      </c>
      <c r="E12" s="843">
        <v>138587</v>
      </c>
      <c r="F12" s="1780">
        <f>(C12+D12)-E12</f>
        <v>494720</v>
      </c>
      <c r="G12" s="842">
        <v>10</v>
      </c>
      <c r="H12" s="764">
        <v>370073</v>
      </c>
      <c r="I12" s="764">
        <v>49471</v>
      </c>
      <c r="J12" s="764">
        <v>138587</v>
      </c>
      <c r="K12" s="1789">
        <f>(H12+I12)-J12</f>
        <v>280957</v>
      </c>
      <c r="L12" s="1789">
        <f>F12-K12</f>
        <v>213763</v>
      </c>
    </row>
    <row r="13" spans="1:14" ht="14.25" thickTop="1" thickBot="1" x14ac:dyDescent="0.25">
      <c r="A13" s="847" t="s">
        <v>1184</v>
      </c>
      <c r="B13" s="839">
        <v>252</v>
      </c>
      <c r="C13" s="843">
        <v>672817</v>
      </c>
      <c r="D13" s="843"/>
      <c r="E13" s="843"/>
      <c r="F13" s="1780">
        <f>(C13+D13)-E13</f>
        <v>672817</v>
      </c>
      <c r="G13" s="842">
        <v>5</v>
      </c>
      <c r="H13" s="764">
        <v>672817</v>
      </c>
      <c r="I13" s="764"/>
      <c r="J13" s="764"/>
      <c r="K13" s="1789">
        <f>(H13+I13)-J13</f>
        <v>672817</v>
      </c>
      <c r="L13" s="1789">
        <f>F13-K13</f>
        <v>0</v>
      </c>
    </row>
    <row r="14" spans="1:14" ht="14.25" thickTop="1" thickBot="1" x14ac:dyDescent="0.25">
      <c r="A14" s="847" t="s">
        <v>1185</v>
      </c>
      <c r="B14" s="839">
        <v>253</v>
      </c>
      <c r="C14" s="764">
        <v>84093</v>
      </c>
      <c r="D14" s="764">
        <v>1059</v>
      </c>
      <c r="E14" s="764"/>
      <c r="F14" s="1780">
        <f>(C14+D14)-E14</f>
        <v>85152</v>
      </c>
      <c r="G14" s="842">
        <v>3</v>
      </c>
      <c r="H14" s="764">
        <v>84093</v>
      </c>
      <c r="I14" s="764">
        <v>353</v>
      </c>
      <c r="J14" s="764"/>
      <c r="K14" s="1789">
        <f>(H14+I14)-J14</f>
        <v>84446</v>
      </c>
      <c r="L14" s="1789">
        <f>F14-K14</f>
        <v>706</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5276449</v>
      </c>
      <c r="D16" s="1780">
        <f>SUM(D3,D5:D6,D8:D10,D12:D15)</f>
        <v>152511</v>
      </c>
      <c r="E16" s="1780">
        <f>SUM(E3,E5:E6,E8:E10,E12:E15)</f>
        <v>138587</v>
      </c>
      <c r="F16" s="1780">
        <f>SUM(F3,F5:F6,F8:F10,F12:F15)</f>
        <v>5290373</v>
      </c>
      <c r="G16" s="842"/>
      <c r="H16" s="1780">
        <f>SUM(H3,H6,H8:H10,H12:H14,)</f>
        <v>3883302</v>
      </c>
      <c r="I16" s="1780">
        <f>SUM(I3,I6,I8:I10,I12:I14,)</f>
        <v>102546</v>
      </c>
      <c r="J16" s="1780">
        <f>SUM(J3,J6,J8:J10,J12:J14,)</f>
        <v>138587</v>
      </c>
      <c r="K16" s="1780">
        <f>(H16+I16)-J16</f>
        <v>3847261</v>
      </c>
      <c r="L16" s="1780">
        <f>F16-K16</f>
        <v>1443112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102546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6" sqref="L36"/>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4" t="s">
        <v>1699</v>
      </c>
      <c r="B1" s="2275"/>
      <c r="C1" s="2275"/>
      <c r="D1" s="2275"/>
      <c r="E1" s="2275"/>
      <c r="F1" s="2276"/>
      <c r="G1" s="854"/>
    </row>
    <row r="2" spans="1:7" ht="15" customHeight="1" thickBot="1" x14ac:dyDescent="0.25">
      <c r="A2" s="2277" t="s">
        <v>498</v>
      </c>
      <c r="B2" s="2278"/>
      <c r="C2" s="2278"/>
      <c r="D2" s="2278"/>
      <c r="E2" s="2278"/>
      <c r="F2" s="227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3034481</v>
      </c>
      <c r="G8" s="864"/>
    </row>
    <row r="9" spans="1:7" x14ac:dyDescent="0.2">
      <c r="A9" s="868" t="s">
        <v>480</v>
      </c>
      <c r="B9" s="869" t="s">
        <v>1989</v>
      </c>
      <c r="C9" s="870"/>
      <c r="D9" s="868" t="s">
        <v>522</v>
      </c>
      <c r="E9" s="867"/>
      <c r="F9" s="1933">
        <f>'Expenditures 15-22'!K151</f>
        <v>335904</v>
      </c>
      <c r="G9" s="871"/>
    </row>
    <row r="10" spans="1:7" x14ac:dyDescent="0.2">
      <c r="A10" s="868" t="s">
        <v>520</v>
      </c>
      <c r="B10" s="869" t="s">
        <v>1990</v>
      </c>
      <c r="C10" s="870"/>
      <c r="D10" s="868" t="s">
        <v>522</v>
      </c>
      <c r="E10" s="867"/>
      <c r="F10" s="1933">
        <f>'Expenditures 15-22'!K174</f>
        <v>484477</v>
      </c>
      <c r="G10" s="871"/>
    </row>
    <row r="11" spans="1:7" x14ac:dyDescent="0.2">
      <c r="A11" s="868" t="s">
        <v>481</v>
      </c>
      <c r="B11" s="869" t="s">
        <v>1991</v>
      </c>
      <c r="C11" s="870"/>
      <c r="D11" s="868" t="s">
        <v>522</v>
      </c>
      <c r="E11" s="867"/>
      <c r="F11" s="1933">
        <f>'Expenditures 15-22'!K210</f>
        <v>237895</v>
      </c>
      <c r="G11" s="871"/>
    </row>
    <row r="12" spans="1:7" x14ac:dyDescent="0.2">
      <c r="A12" s="868" t="s">
        <v>482</v>
      </c>
      <c r="B12" s="869" t="s">
        <v>1992</v>
      </c>
      <c r="C12" s="870"/>
      <c r="D12" s="868" t="s">
        <v>522</v>
      </c>
      <c r="E12" s="867"/>
      <c r="F12" s="1933">
        <f>'Expenditures 15-22'!K295</f>
        <v>140051</v>
      </c>
      <c r="G12" s="871"/>
    </row>
    <row r="13" spans="1:7" x14ac:dyDescent="0.2">
      <c r="A13" s="868" t="s">
        <v>108</v>
      </c>
      <c r="B13" s="869" t="s">
        <v>1993</v>
      </c>
      <c r="C13" s="870"/>
      <c r="D13" s="868" t="s">
        <v>522</v>
      </c>
      <c r="E13" s="867"/>
      <c r="F13" s="1933">
        <f>'Expenditures 15-22'!K342</f>
        <v>177400</v>
      </c>
      <c r="G13" s="872"/>
    </row>
    <row r="14" spans="1:7" ht="12" customHeight="1" thickBot="1" x14ac:dyDescent="0.25">
      <c r="A14" s="1790"/>
      <c r="B14" s="1791"/>
      <c r="C14" s="1792"/>
      <c r="D14" s="1793" t="s">
        <v>522</v>
      </c>
      <c r="E14" s="1794" t="s">
        <v>1015</v>
      </c>
      <c r="F14" s="1795">
        <f>SUM(F8:F13)</f>
        <v>4410208</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81098</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186393</v>
      </c>
      <c r="G53" s="864"/>
    </row>
    <row r="54" spans="1:7" x14ac:dyDescent="0.2">
      <c r="A54" s="868" t="s">
        <v>479</v>
      </c>
      <c r="B54" s="868" t="s">
        <v>1552</v>
      </c>
      <c r="C54" s="888" t="s">
        <v>1039</v>
      </c>
      <c r="D54" s="884" t="s">
        <v>1157</v>
      </c>
      <c r="E54" s="867"/>
      <c r="F54" s="1937">
        <f>'Expenditures 15-22'!G114</f>
        <v>88084</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15592</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474127</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1059</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4481</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3660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854494</v>
      </c>
      <c r="G76" s="864"/>
    </row>
    <row r="77" spans="1:8" s="892" customFormat="1" ht="12" customHeight="1" thickTop="1" thickBot="1" x14ac:dyDescent="0.25">
      <c r="A77" s="1799"/>
      <c r="B77" s="1796"/>
      <c r="C77" s="1792"/>
      <c r="D77" s="1797" t="s">
        <v>2012</v>
      </c>
      <c r="E77" s="1794"/>
      <c r="F77" s="1800">
        <f>(F14-F76)</f>
        <v>3555714</v>
      </c>
      <c r="G77" s="868"/>
    </row>
    <row r="78" spans="1:8" s="892" customFormat="1" ht="12" customHeight="1" thickTop="1" x14ac:dyDescent="0.2">
      <c r="A78" s="1801"/>
      <c r="B78" s="1796"/>
      <c r="C78" s="1792"/>
      <c r="D78" s="1797" t="s">
        <v>2059</v>
      </c>
      <c r="E78" s="1794"/>
      <c r="F78" s="897">
        <v>321.11</v>
      </c>
      <c r="G78" s="898"/>
      <c r="H78" s="868"/>
    </row>
    <row r="79" spans="1:8" s="892" customFormat="1" ht="12" customHeight="1" thickBot="1" x14ac:dyDescent="0.25">
      <c r="A79" s="1802"/>
      <c r="B79" s="1796"/>
      <c r="C79" s="1792"/>
      <c r="D79" s="1797" t="s">
        <v>2013</v>
      </c>
      <c r="E79" s="1794" t="s">
        <v>1015</v>
      </c>
      <c r="F79" s="1803">
        <f>IF(F78&gt;0,F77/F78," Complete Line 78")</f>
        <v>11073.19610102457</v>
      </c>
      <c r="G79" s="868"/>
    </row>
    <row r="80" spans="1:8" s="892" customFormat="1" ht="8.25" customHeight="1" thickTop="1" x14ac:dyDescent="0.2">
      <c r="A80" s="899"/>
      <c r="B80" s="868"/>
      <c r="C80" s="870"/>
      <c r="D80" s="900"/>
      <c r="E80" s="867"/>
      <c r="F80" s="901"/>
      <c r="G80" s="868"/>
    </row>
    <row r="81" spans="1:7" s="892" customFormat="1" ht="12" thickBot="1" x14ac:dyDescent="0.25">
      <c r="A81" s="2271" t="s">
        <v>1167</v>
      </c>
      <c r="B81" s="2272"/>
      <c r="C81" s="2272"/>
      <c r="D81" s="2272"/>
      <c r="E81" s="2272"/>
      <c r="F81" s="227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62827</v>
      </c>
      <c r="G94" s="911"/>
    </row>
    <row r="95" spans="1:7" x14ac:dyDescent="0.2">
      <c r="A95" s="907" t="s">
        <v>142</v>
      </c>
      <c r="B95" s="907" t="s">
        <v>177</v>
      </c>
      <c r="C95" s="909">
        <v>1700</v>
      </c>
      <c r="D95" s="917" t="str">
        <f>'Revenues 9-14'!A82</f>
        <v>Total District/School Activity Income</v>
      </c>
      <c r="E95" s="905"/>
      <c r="F95" s="1809">
        <f>SUM('Revenues 9-14'!C82,'Revenues 9-14'!D82)</f>
        <v>23016</v>
      </c>
      <c r="G95" s="911"/>
    </row>
    <row r="96" spans="1:7" x14ac:dyDescent="0.2">
      <c r="A96" s="907" t="s">
        <v>479</v>
      </c>
      <c r="B96" s="907" t="s">
        <v>178</v>
      </c>
      <c r="C96" s="909">
        <f>'Revenues 9-14'!B84</f>
        <v>1811</v>
      </c>
      <c r="D96" s="910" t="str">
        <f>'Revenues 9-14'!A84</f>
        <v>Rentals - Regular Textbooks</v>
      </c>
      <c r="E96" s="905"/>
      <c r="F96" s="1809">
        <f>'Revenues 9-14'!C84</f>
        <v>17197</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6400</v>
      </c>
      <c r="G104" s="911"/>
    </row>
    <row r="105" spans="1:7" x14ac:dyDescent="0.2">
      <c r="A105" s="907" t="s">
        <v>524</v>
      </c>
      <c r="B105" s="907" t="s">
        <v>842</v>
      </c>
      <c r="C105" s="912">
        <v>3100</v>
      </c>
      <c r="D105" s="918" t="str">
        <f>'Revenues 9-14'!A131</f>
        <v>Total Special Education</v>
      </c>
      <c r="E105" s="905"/>
      <c r="F105" s="1809">
        <f>SUM('Revenues 9-14'!C131:D131,'Revenues 9-14'!F131)</f>
        <v>40096</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16907</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620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4511</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98021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32727</v>
      </c>
      <c r="G128" s="929"/>
    </row>
    <row r="129" spans="1:7" x14ac:dyDescent="0.2">
      <c r="A129" s="926" t="s">
        <v>685</v>
      </c>
      <c r="B129" s="926" t="s">
        <v>803</v>
      </c>
      <c r="C129" s="931">
        <v>4200</v>
      </c>
      <c r="D129" s="928" t="str">
        <f>'Revenues 9-14'!A201</f>
        <v>Total Food Service</v>
      </c>
      <c r="E129" s="905"/>
      <c r="F129" s="1809">
        <f>SUM('Revenues 9-14'!C201,'Revenues 9-14'!G201)</f>
        <v>56092</v>
      </c>
      <c r="G129" s="929"/>
    </row>
    <row r="130" spans="1:7" x14ac:dyDescent="0.2">
      <c r="A130" s="926" t="s">
        <v>689</v>
      </c>
      <c r="B130" s="926" t="s">
        <v>804</v>
      </c>
      <c r="C130" s="931">
        <v>4300</v>
      </c>
      <c r="D130" s="932" t="str">
        <f>'Revenues 9-14'!A211</f>
        <v>Total Title I</v>
      </c>
      <c r="E130" s="905"/>
      <c r="F130" s="1809">
        <f>SUM('Revenues 9-14'!C211,'Revenues 9-14'!D211,'Revenues 9-14'!F211,'Revenues 9-14'!G211)</f>
        <v>57991</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23467</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2111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3529</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81065.64</v>
      </c>
      <c r="G175" s="926"/>
    </row>
    <row r="176" spans="1:7" x14ac:dyDescent="0.2">
      <c r="A176" s="1942" t="s">
        <v>685</v>
      </c>
      <c r="B176" s="1943" t="s">
        <v>2058</v>
      </c>
      <c r="C176" s="1944">
        <v>3300</v>
      </c>
      <c r="D176" s="1945" t="s">
        <v>2062</v>
      </c>
      <c r="E176" s="905"/>
      <c r="F176" s="1929">
        <v>2.23</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528079.87</v>
      </c>
    </row>
    <row r="179" spans="1:7" ht="12" customHeight="1" x14ac:dyDescent="0.2">
      <c r="A179" s="1790"/>
      <c r="B179" s="1804"/>
      <c r="C179" s="1805"/>
      <c r="D179" s="1806" t="s">
        <v>2015</v>
      </c>
      <c r="E179" s="1807"/>
      <c r="F179" s="1809">
        <f>'PCTC-OEPP 27-28'!F77-F178</f>
        <v>3027634.13</v>
      </c>
    </row>
    <row r="180" spans="1:7" ht="12" customHeight="1" x14ac:dyDescent="0.2">
      <c r="A180" s="1790"/>
      <c r="B180" s="1804"/>
      <c r="C180" s="1805"/>
      <c r="D180" s="1806" t="s">
        <v>1924</v>
      </c>
      <c r="E180" s="1807"/>
      <c r="F180" s="1809">
        <f>'Cap Outlay Deprec 26'!I18</f>
        <v>102546</v>
      </c>
    </row>
    <row r="181" spans="1:7" ht="12" customHeight="1" x14ac:dyDescent="0.2">
      <c r="A181" s="1790"/>
      <c r="B181" s="1804"/>
      <c r="C181" s="1805"/>
      <c r="D181" s="1806" t="s">
        <v>2016</v>
      </c>
      <c r="E181" s="1807"/>
      <c r="F181" s="1809">
        <f>F179+F180</f>
        <v>3130180.13</v>
      </c>
    </row>
    <row r="182" spans="1:7" ht="12" customHeight="1" x14ac:dyDescent="0.2">
      <c r="A182" s="1790"/>
      <c r="B182" s="1810"/>
      <c r="C182" s="1805"/>
      <c r="D182" s="1806" t="str">
        <f>D78</f>
        <v>9 Month ADA from District Average Daily Attendance/Prior General State Aid Inquiry 2017-2018</v>
      </c>
      <c r="E182" s="1807"/>
      <c r="F182" s="1811">
        <f>'PCTC-OEPP 27-28'!F78</f>
        <v>321.11</v>
      </c>
      <c r="G182" s="929"/>
    </row>
    <row r="183" spans="1:7" ht="12" customHeight="1" thickBot="1" x14ac:dyDescent="0.25">
      <c r="A183" s="1790"/>
      <c r="B183" s="1810"/>
      <c r="C183" s="1805"/>
      <c r="D183" s="1806" t="s">
        <v>2017</v>
      </c>
      <c r="E183" s="1807" t="s">
        <v>1626</v>
      </c>
      <c r="F183" s="1812">
        <f>F181/F182</f>
        <v>9747.9995328703553</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60" zoomScaleNormal="60" workbookViewId="0">
      <pane ySplit="16" topLeftCell="A17" activePane="bottomLeft" state="frozen"/>
      <selection activeCell="L36" sqref="L36"/>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4" t="s">
        <v>1926</v>
      </c>
      <c r="B6" s="1555"/>
      <c r="C6" s="1555"/>
      <c r="D6" s="1555"/>
      <c r="E6" s="1555"/>
      <c r="F6" s="1555"/>
      <c r="G6" s="1556"/>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7" t="s">
        <v>1927</v>
      </c>
      <c r="B10" s="1558"/>
      <c r="C10" s="1558"/>
      <c r="D10" s="1558"/>
      <c r="E10" s="1558"/>
      <c r="F10" s="1558"/>
      <c r="G10" s="1559"/>
    </row>
    <row r="11" spans="1:7" ht="17.25" customHeight="1" x14ac:dyDescent="0.25">
      <c r="A11" s="2291" t="s">
        <v>1941</v>
      </c>
      <c r="B11" s="2292"/>
      <c r="C11" s="2292"/>
      <c r="D11" s="2292"/>
      <c r="E11" s="2292"/>
      <c r="F11" s="2292"/>
      <c r="G11" s="2293"/>
    </row>
    <row r="12" spans="1:7" ht="15" customHeight="1" x14ac:dyDescent="0.25">
      <c r="A12" s="1557" t="s">
        <v>1932</v>
      </c>
      <c r="B12" s="1558"/>
      <c r="C12" s="1558"/>
      <c r="D12" s="1558"/>
      <c r="E12" s="1558"/>
      <c r="F12" s="1558"/>
      <c r="G12" s="1559"/>
    </row>
    <row r="13" spans="1:7" ht="32.25" customHeight="1" x14ac:dyDescent="0.25">
      <c r="A13" s="2282" t="s">
        <v>1933</v>
      </c>
      <c r="B13" s="2283"/>
      <c r="C13" s="2283"/>
      <c r="D13" s="2283"/>
      <c r="E13" s="2283"/>
      <c r="F13" s="2283"/>
      <c r="G13" s="2284"/>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5" t="s">
        <v>2124</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954"/>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formatCells="0" formatColumns="0" formatRows="0"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7" t="s">
        <v>1778</v>
      </c>
      <c r="B5" s="2298"/>
      <c r="C5" s="2298"/>
      <c r="D5" s="2298"/>
      <c r="E5" s="2298"/>
      <c r="F5" s="2298"/>
      <c r="G5" s="2299"/>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53921</v>
      </c>
      <c r="F10" s="973"/>
      <c r="G10" s="974"/>
      <c r="H10" s="162"/>
      <c r="I10" s="162"/>
    </row>
    <row r="11" spans="1:9" s="667" customFormat="1" ht="22.5" customHeight="1" x14ac:dyDescent="0.2">
      <c r="A11" s="2302" t="s">
        <v>1945</v>
      </c>
      <c r="B11" s="2303"/>
      <c r="C11" s="2303"/>
      <c r="D11" s="2304"/>
      <c r="E11" s="976">
        <v>13983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2093163</v>
      </c>
      <c r="F19" s="1820"/>
      <c r="G19" s="1822">
        <f>'Expenditures 15-22'!K33-SUM('Expenditures 15-22'!G33,'Expenditures 15-22'!I33)+'Expenditures 15-22'!D229</f>
        <v>2093163</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100175</v>
      </c>
      <c r="F21" s="1823"/>
      <c r="G21" s="1826">
        <f>'Expenditures 15-22'!K42-SUM('Expenditures 15-22'!G42,'Expenditures 15-22'!I42)+'Expenditures 15-22'!K120-SUM('Expenditures 15-22'!G120,'Expenditures 15-22'!I120)+'Expenditures 15-22'!K180-SUM('Expenditures 15-22'!G180,'Expenditures 15-22'!I180)+'Expenditures 15-22'!D238</f>
        <v>100175</v>
      </c>
      <c r="H21" s="986"/>
      <c r="I21" s="162"/>
    </row>
    <row r="22" spans="1:9" s="667" customFormat="1" ht="12" customHeight="1" x14ac:dyDescent="0.2">
      <c r="A22" s="993" t="s">
        <v>585</v>
      </c>
      <c r="B22" s="994"/>
      <c r="C22" s="992">
        <v>2200</v>
      </c>
      <c r="D22" s="1823"/>
      <c r="E22" s="1825">
        <f>'Expenditures 15-22'!K47-SUM('Expenditures 15-22'!G47,'Expenditures 15-22'!I47)+'Expenditures 15-22'!D243</f>
        <v>15103</v>
      </c>
      <c r="F22" s="1823"/>
      <c r="G22" s="1826">
        <f>'Expenditures 15-22'!K47-SUM('Expenditures 15-22'!G47,'Expenditures 15-22'!I47)+'Expenditures 15-22'!D243</f>
        <v>15103</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326807</v>
      </c>
      <c r="F23" s="1823"/>
      <c r="G23" s="1825">
        <f>'Expenditures 15-22'!K53-SUM('Expenditures 15-22'!G53,'Expenditures 15-22'!I53)+'Expenditures 15-22'!D257+'Expenditures 15-22'!K330-SUM('Expenditures 15-22'!G330,'Expenditures 15-22'!I330)</f>
        <v>326807</v>
      </c>
      <c r="H23" s="986"/>
      <c r="I23" s="162"/>
    </row>
    <row r="24" spans="1:9" s="667" customFormat="1" ht="12" customHeight="1" x14ac:dyDescent="0.2">
      <c r="A24" s="993" t="s">
        <v>587</v>
      </c>
      <c r="B24" s="994"/>
      <c r="C24" s="992">
        <v>2400</v>
      </c>
      <c r="D24" s="1823"/>
      <c r="E24" s="1825">
        <f>'Expenditures 15-22'!K57-SUM('Expenditures 15-22'!G57,'Expenditures 15-22'!I57)+'Expenditures 15-22'!D261</f>
        <v>268031</v>
      </c>
      <c r="F24" s="1823"/>
      <c r="G24" s="1826">
        <f>'Expenditures 15-22'!K57-SUM('Expenditures 15-22'!G57,'Expenditures 15-22'!I57)+'Expenditures 15-22'!D261</f>
        <v>268031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37113</v>
      </c>
      <c r="E27" s="1825">
        <f>E8</f>
        <v>0</v>
      </c>
      <c r="F27" s="1825">
        <f>'Expenditures 15-22'!K60-SUM('Expenditures 15-22'!G60,'Expenditures 15-22'!I60)+'Expenditures 15-22'!D264-E8</f>
        <v>37113</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369679</v>
      </c>
      <c r="F28" s="1827">
        <f>'Expenditures 15-22'!K61-SUM('Expenditures 15-22'!G61,'Expenditures 15-22'!I61)+'Expenditures 15-22'!K124-SUM('Expenditures 15-22'!G124,'Expenditures 15-22'!I124)+'Expenditures 15-22'!D266-E9</f>
        <v>369679</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259973</v>
      </c>
      <c r="F29" s="1823"/>
      <c r="G29" s="1826">
        <f>'Expenditures 15-22'!K62-SUM('Expenditures 15-22'!G62,'Expenditures 15-22'!I62)+'Expenditures 15-22'!K125-SUM('Expenditures 15-22'!G125,'Expenditures 15-22'!I125)+'Expenditures 15-22'!K182-SUM('Expenditures 15-22'!G182,'Expenditures 15-22'!I182)+'Expenditures 15-22'!D267</f>
        <v>259973</v>
      </c>
      <c r="H29" s="984"/>
    </row>
    <row r="30" spans="1:9" ht="12" customHeight="1" x14ac:dyDescent="0.2">
      <c r="A30" s="993" t="s">
        <v>102</v>
      </c>
      <c r="B30" s="996"/>
      <c r="C30" s="992">
        <v>2560</v>
      </c>
      <c r="D30" s="1823"/>
      <c r="E30" s="1825">
        <f>'Expenditures 15-22'!K63-SUM('Expenditures 15-22'!G63,'Expenditures 15-22'!I63)+'Expenditures 15-22'!D268-E10</f>
        <v>106978</v>
      </c>
      <c r="F30" s="1823"/>
      <c r="G30" s="1825">
        <f>'Expenditures 15-22'!K63-SUM('Expenditures 15-22'!G63,'Expenditures 15-22'!I63)+'Expenditures 15-22'!D268-E10</f>
        <v>106978</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37113</v>
      </c>
      <c r="E41" s="1827">
        <f>SUM(E19:E40)</f>
        <v>3539909</v>
      </c>
      <c r="F41" s="1827">
        <f>SUM(F19:F39)</f>
        <v>406792</v>
      </c>
      <c r="G41" s="1827">
        <f>SUM(G19:G40)</f>
        <v>3170230</v>
      </c>
    </row>
    <row r="42" spans="1:7" x14ac:dyDescent="0.2">
      <c r="A42" s="986"/>
      <c r="B42" s="162"/>
      <c r="C42" s="1000"/>
      <c r="D42" s="2300" t="s">
        <v>543</v>
      </c>
      <c r="E42" s="2301"/>
      <c r="F42" s="1001" t="s">
        <v>544</v>
      </c>
      <c r="G42" s="1002"/>
    </row>
    <row r="43" spans="1:7" ht="12" customHeight="1" x14ac:dyDescent="0.2">
      <c r="A43" s="986"/>
      <c r="B43" s="162"/>
      <c r="C43" s="1000"/>
      <c r="D43" s="1828" t="s">
        <v>493</v>
      </c>
      <c r="E43" s="1829">
        <f>D41</f>
        <v>37113</v>
      </c>
      <c r="F43" s="1828" t="s">
        <v>495</v>
      </c>
      <c r="G43" s="1829">
        <f>F41</f>
        <v>406792</v>
      </c>
    </row>
    <row r="44" spans="1:7" ht="12" customHeight="1" x14ac:dyDescent="0.2">
      <c r="A44" s="986"/>
      <c r="B44" s="162"/>
      <c r="C44" s="1000"/>
      <c r="D44" s="1828" t="s">
        <v>494</v>
      </c>
      <c r="E44" s="1829">
        <f>E41</f>
        <v>3539909</v>
      </c>
      <c r="F44" s="1828" t="s">
        <v>494</v>
      </c>
      <c r="G44" s="1829">
        <f>G41</f>
        <v>3170230</v>
      </c>
    </row>
    <row r="45" spans="1:7" ht="12" customHeight="1" x14ac:dyDescent="0.2">
      <c r="A45" s="986"/>
      <c r="B45" s="162"/>
      <c r="C45" s="162"/>
      <c r="D45" s="1830" t="s">
        <v>1063</v>
      </c>
      <c r="E45" s="1831">
        <f>(E43/E44)</f>
        <v>1.0484167813353394E-2</v>
      </c>
      <c r="F45" s="1830" t="s">
        <v>1063</v>
      </c>
      <c r="G45" s="1831">
        <f>(G43/G44)</f>
        <v>0.12831624203922112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19" t="s">
        <v>1446</v>
      </c>
      <c r="B1" s="2319"/>
      <c r="C1" s="2319"/>
      <c r="D1" s="2319"/>
      <c r="E1" s="2319"/>
      <c r="F1" s="2319"/>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0" t="s">
        <v>1627</v>
      </c>
      <c r="B5" s="2321"/>
      <c r="C5" s="2322"/>
      <c r="D5" s="2322"/>
      <c r="E5" s="2322"/>
      <c r="F5" s="2322"/>
    </row>
    <row r="6" spans="1:10" ht="12" customHeight="1" x14ac:dyDescent="0.25">
      <c r="A6" s="1873"/>
      <c r="B6" s="1874"/>
      <c r="C6" s="2323" t="str">
        <f>COVER!A17</f>
        <v>Annawan Community Unit School District No. 226</v>
      </c>
      <c r="D6" s="2323"/>
      <c r="E6" s="2323"/>
      <c r="F6" s="1875"/>
    </row>
    <row r="7" spans="1:10" ht="11.25" customHeight="1" thickBot="1" x14ac:dyDescent="0.3">
      <c r="A7" s="1873"/>
      <c r="B7" s="1874"/>
      <c r="C7" s="2324">
        <f>COVER!A13</f>
        <v>28037226026</v>
      </c>
      <c r="D7" s="2324"/>
      <c r="E7" s="2324"/>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2097</v>
      </c>
      <c r="D25" s="1888" t="s">
        <v>2097</v>
      </c>
      <c r="E25" s="1891"/>
      <c r="F25" s="1890" t="s">
        <v>2098</v>
      </c>
      <c r="H25" s="1901">
        <f t="shared" si="0"/>
        <v>5</v>
      </c>
      <c r="I25" s="1901">
        <f t="shared" si="1"/>
        <v>5</v>
      </c>
      <c r="J25" s="1901">
        <f t="shared" si="2"/>
        <v>0</v>
      </c>
    </row>
    <row r="26" spans="1:12" ht="12" customHeight="1" x14ac:dyDescent="0.2">
      <c r="A26" s="1886" t="s">
        <v>1615</v>
      </c>
      <c r="B26" s="1887"/>
      <c r="C26" s="1888" t="s">
        <v>2097</v>
      </c>
      <c r="D26" s="1888" t="s">
        <v>2097</v>
      </c>
      <c r="E26" s="1891"/>
      <c r="F26" s="1890" t="s">
        <v>2099</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2097</v>
      </c>
      <c r="D31" s="1888" t="s">
        <v>2097</v>
      </c>
      <c r="E31" s="1891"/>
      <c r="F31" s="1890" t="s">
        <v>2100</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6"/>
      <c r="B39" s="1896"/>
      <c r="C39" s="1896"/>
      <c r="D39" s="1896"/>
      <c r="E39" s="1896"/>
      <c r="F39" s="1896"/>
    </row>
    <row r="40" spans="1:11" s="1893" customFormat="1" ht="12" customHeight="1" x14ac:dyDescent="0.25">
      <c r="A40" s="1897" t="s">
        <v>1458</v>
      </c>
      <c r="B40" s="1898"/>
      <c r="C40" s="2314"/>
      <c r="D40" s="2314"/>
      <c r="E40" s="2314"/>
      <c r="F40" s="2315"/>
      <c r="H40" s="1902"/>
      <c r="I40" s="1902"/>
      <c r="J40" s="1902"/>
      <c r="K40" s="1902"/>
    </row>
    <row r="41" spans="1:11" s="1893" customFormat="1" ht="12" customHeight="1" x14ac:dyDescent="0.25">
      <c r="A41" s="2316"/>
      <c r="B41" s="2317"/>
      <c r="C41" s="2317"/>
      <c r="D41" s="2317"/>
      <c r="E41" s="2317"/>
      <c r="F41" s="2318"/>
      <c r="H41" s="1902"/>
      <c r="I41" s="1902"/>
      <c r="J41" s="1902"/>
      <c r="K41" s="1902"/>
    </row>
    <row r="42" spans="1:11" s="1893" customFormat="1" ht="12" customHeight="1" x14ac:dyDescent="0.25">
      <c r="A42" s="2316"/>
      <c r="B42" s="2317"/>
      <c r="C42" s="2317"/>
      <c r="D42" s="2317"/>
      <c r="E42" s="2317"/>
      <c r="F42" s="2318"/>
      <c r="H42" s="1902"/>
      <c r="I42" s="1902"/>
      <c r="J42" s="1902"/>
      <c r="K42" s="1902"/>
    </row>
    <row r="43" spans="1:11" s="1893" customFormat="1" ht="15" x14ac:dyDescent="0.25">
      <c r="A43" s="2305"/>
      <c r="B43" s="2306"/>
      <c r="C43" s="2306"/>
      <c r="D43" s="2306"/>
      <c r="E43" s="2306"/>
      <c r="F43" s="2307"/>
      <c r="H43" s="1902"/>
      <c r="I43" s="1902"/>
      <c r="J43" s="1902"/>
      <c r="K43" s="1902"/>
    </row>
    <row r="44" spans="1:11" s="1893" customFormat="1" ht="12" hidden="1" customHeight="1" x14ac:dyDescent="0.25">
      <c r="A44" s="2305"/>
      <c r="B44" s="2306"/>
      <c r="C44" s="2306"/>
      <c r="D44" s="2306"/>
      <c r="E44" s="2306"/>
      <c r="F44" s="230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2" t="str">
        <f>COVER!A17</f>
        <v>Annawan Community Unit School District No. 226</v>
      </c>
      <c r="J6" s="2333"/>
      <c r="Q6" s="1684"/>
    </row>
    <row r="7" spans="1:17" x14ac:dyDescent="0.2">
      <c r="A7" s="2334" t="s">
        <v>924</v>
      </c>
      <c r="B7" s="2335"/>
      <c r="C7" s="2335"/>
      <c r="D7" s="2335"/>
      <c r="E7" s="2336"/>
      <c r="F7" s="1016"/>
      <c r="G7" s="1008"/>
      <c r="H7" s="1015" t="s">
        <v>390</v>
      </c>
      <c r="I7" s="2337">
        <f>COVER!A13</f>
        <v>28037226026</v>
      </c>
      <c r="J7" s="233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8" t="s">
        <v>502</v>
      </c>
      <c r="B11" s="2339"/>
      <c r="C11" s="234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131544</v>
      </c>
      <c r="F12" s="1038"/>
      <c r="G12" s="1832">
        <f t="shared" ref="G12:G18" si="0">SUM(E12:F12)</f>
        <v>131544</v>
      </c>
      <c r="H12" s="1039">
        <v>137365</v>
      </c>
      <c r="I12" s="1038"/>
      <c r="J12" s="1832">
        <f t="shared" ref="J12:J18" si="1">SUM(H12:I12)</f>
        <v>137365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1" t="s">
        <v>7</v>
      </c>
      <c r="C18" s="2342"/>
      <c r="D18" s="2343"/>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131544</v>
      </c>
      <c r="F19" s="1834">
        <f t="shared" si="2"/>
        <v>0</v>
      </c>
      <c r="G19" s="1834">
        <f t="shared" si="2"/>
        <v>131544</v>
      </c>
      <c r="H19" s="1834">
        <f t="shared" si="2"/>
        <v>137365</v>
      </c>
      <c r="I19" s="1834">
        <f t="shared" si="2"/>
        <v>0</v>
      </c>
      <c r="J19" s="1834">
        <f t="shared" si="2"/>
        <v>137365</v>
      </c>
    </row>
    <row r="20" spans="1:10" ht="13.5" thickTop="1" x14ac:dyDescent="0.2">
      <c r="A20" s="1034">
        <v>9</v>
      </c>
      <c r="B20" s="2344" t="s">
        <v>1703</v>
      </c>
      <c r="C20" s="2344"/>
      <c r="D20" s="2345"/>
      <c r="E20" s="1045"/>
      <c r="F20" s="1045"/>
      <c r="G20" s="1045"/>
      <c r="H20" s="1045"/>
      <c r="I20" s="1045"/>
      <c r="J20" s="1835">
        <f>IF(AND(G19&gt;0,J19&gt;0),(((J19-G19)/G19)),"Enter Budget Data")</f>
        <v>4.4251353159399133E-2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0"/>
      <c r="D26" s="2350"/>
      <c r="E26" s="1049"/>
      <c r="F26" s="2349"/>
      <c r="G26" s="2349"/>
    </row>
    <row r="27" spans="1:10" x14ac:dyDescent="0.2">
      <c r="B27" s="1046"/>
      <c r="C27" s="1050" t="s">
        <v>1093</v>
      </c>
      <c r="D27" s="1051"/>
      <c r="E27" s="1052"/>
      <c r="F27" s="2346" t="s">
        <v>1589</v>
      </c>
      <c r="G27" s="2346"/>
    </row>
    <row r="28" spans="1:10" ht="28.5" customHeight="1" x14ac:dyDescent="0.2">
      <c r="B28" s="1046"/>
      <c r="C28" s="2348"/>
      <c r="D28" s="2348"/>
      <c r="E28" s="1053"/>
      <c r="F28" s="2348"/>
      <c r="G28" s="2348"/>
    </row>
    <row r="29" spans="1:10" x14ac:dyDescent="0.2">
      <c r="B29" s="1046"/>
      <c r="C29" s="1054" t="s">
        <v>1642</v>
      </c>
      <c r="E29" s="1055"/>
      <c r="F29" s="2347" t="s">
        <v>1590</v>
      </c>
      <c r="G29" s="234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1"/>
    </row>
    <row r="36" spans="1:10" ht="13.5" customHeight="1" x14ac:dyDescent="0.2">
      <c r="B36" s="1060"/>
      <c r="C36" s="2331" t="s">
        <v>1944</v>
      </c>
      <c r="D36" s="2330"/>
      <c r="E36" s="2330"/>
      <c r="F36" s="2330"/>
      <c r="G36" s="2330"/>
      <c r="H36" s="2330"/>
      <c r="I36" s="2330"/>
      <c r="J36" s="1062"/>
    </row>
    <row r="37" spans="1:10" ht="22.5" customHeight="1" x14ac:dyDescent="0.2">
      <c r="C37" s="2330"/>
      <c r="D37" s="2330"/>
      <c r="E37" s="2330"/>
      <c r="F37" s="2330"/>
      <c r="G37" s="2330"/>
      <c r="H37" s="2330"/>
      <c r="I37" s="2330"/>
      <c r="J37" s="1062"/>
    </row>
    <row r="38" spans="1:10" ht="7.5" customHeight="1" x14ac:dyDescent="0.2">
      <c r="C38" s="1061"/>
      <c r="D38" s="1063"/>
      <c r="E38" s="1064"/>
      <c r="F38" s="1065"/>
      <c r="G38" s="1064"/>
    </row>
    <row r="39" spans="1:10" ht="13.5" customHeight="1" x14ac:dyDescent="0.2">
      <c r="B39" s="1060"/>
      <c r="C39" s="2327" t="s">
        <v>937</v>
      </c>
      <c r="D39" s="2328"/>
      <c r="E39" s="2328"/>
      <c r="F39" s="2328"/>
      <c r="G39" s="2328"/>
      <c r="H39" s="2328"/>
      <c r="I39" s="232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6"/>
  <sheetViews>
    <sheetView showGridLines="0" zoomScale="110" zoomScaleNormal="110" zoomScaleSheetLayoutView="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2116</v>
      </c>
    </row>
    <row r="6" spans="1:2" x14ac:dyDescent="0.2">
      <c r="A6" s="1067">
        <v>2</v>
      </c>
      <c r="B6" s="329" t="s">
        <v>2117</v>
      </c>
    </row>
    <row r="7" spans="1:2" x14ac:dyDescent="0.2">
      <c r="A7" s="1067">
        <v>3</v>
      </c>
      <c r="B7" s="329" t="s">
        <v>2118</v>
      </c>
    </row>
    <row r="8" spans="1:2" x14ac:dyDescent="0.2">
      <c r="A8" s="1067">
        <v>4</v>
      </c>
      <c r="B8" s="329" t="s">
        <v>2119</v>
      </c>
    </row>
    <row r="9" spans="1:2" x14ac:dyDescent="0.2">
      <c r="A9" s="1067">
        <v>5</v>
      </c>
      <c r="B9" s="329" t="s">
        <v>2121</v>
      </c>
    </row>
    <row r="10" spans="1:2" x14ac:dyDescent="0.2">
      <c r="A10" s="1067">
        <v>6</v>
      </c>
      <c r="B10" s="329" t="s">
        <v>2120</v>
      </c>
    </row>
    <row r="11" spans="1:2" x14ac:dyDescent="0.2">
      <c r="A11" s="1067">
        <v>7</v>
      </c>
      <c r="B11" s="329" t="s">
        <v>2125</v>
      </c>
    </row>
    <row r="12" spans="1:2" x14ac:dyDescent="0.2">
      <c r="A12" s="1068"/>
      <c r="B12" s="329" t="s">
        <v>2122</v>
      </c>
    </row>
    <row r="13" spans="1:2" x14ac:dyDescent="0.2">
      <c r="A13" s="1068"/>
      <c r="B13" s="1068" t="s">
        <v>2123</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8" t="str">
        <f>COVER!A17</f>
        <v>Annawan Community Unit School District No. 226</v>
      </c>
    </row>
    <row r="66" spans="1:2" x14ac:dyDescent="0.2">
      <c r="B66" s="1069">
        <f>COVER!A13</f>
        <v>28037226026</v>
      </c>
    </row>
  </sheetData>
  <phoneticPr fontId="14"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2" sqref="C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1" t="s">
        <v>1784</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3"/>
      <c r="H2" s="1073"/>
    </row>
    <row r="3" spans="1:8" ht="57" customHeight="1" x14ac:dyDescent="0.2">
      <c r="A3" s="2365" t="s">
        <v>1786</v>
      </c>
      <c r="B3" s="2366"/>
      <c r="C3" s="2366"/>
      <c r="D3" s="2366"/>
      <c r="E3" s="2366"/>
      <c r="F3" s="2367"/>
      <c r="G3" s="1073"/>
      <c r="H3" s="1073"/>
    </row>
    <row r="4" spans="1:8" ht="14.25" customHeight="1" x14ac:dyDescent="0.2">
      <c r="A4" s="2371" t="s">
        <v>2056</v>
      </c>
      <c r="B4" s="2372"/>
      <c r="C4" s="2372"/>
      <c r="D4" s="2372"/>
      <c r="E4" s="2372"/>
      <c r="F4" s="2373"/>
      <c r="G4" s="1073"/>
      <c r="H4" s="1073"/>
    </row>
    <row r="5" spans="1:8" ht="14.25" customHeight="1" x14ac:dyDescent="0.2">
      <c r="A5" s="2374" t="s">
        <v>2057</v>
      </c>
      <c r="B5" s="2375"/>
      <c r="C5" s="2375"/>
      <c r="D5" s="2375"/>
      <c r="E5" s="2375"/>
      <c r="F5" s="2376"/>
      <c r="G5" s="1073"/>
      <c r="H5" s="1073"/>
    </row>
    <row r="6" spans="1:8" s="1074" customFormat="1" ht="41.25" customHeight="1" x14ac:dyDescent="0.2">
      <c r="A6" s="2368" t="s">
        <v>1792</v>
      </c>
      <c r="B6" s="2369"/>
      <c r="C6" s="2369"/>
      <c r="D6" s="2369"/>
      <c r="E6" s="2369"/>
      <c r="F6" s="237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2967974</v>
      </c>
      <c r="C8" s="1836">
        <f>'Acct Summary 7-8'!D8</f>
        <v>335706</v>
      </c>
      <c r="D8" s="1836">
        <f>'Acct Summary 7-8'!F8</f>
        <v>234888</v>
      </c>
      <c r="E8" s="1836">
        <f>'Acct Summary 7-8'!I8</f>
        <v>28846</v>
      </c>
      <c r="F8" s="1836">
        <f>SUM(B8:E8)</f>
        <v>3567414</v>
      </c>
    </row>
    <row r="9" spans="1:8" s="1078" customFormat="1" ht="14.25" customHeight="1" thickBot="1" x14ac:dyDescent="0.25">
      <c r="A9" s="1077" t="s">
        <v>1436</v>
      </c>
      <c r="B9" s="1837">
        <f>'Acct Summary 7-8'!C17</f>
        <v>3034481</v>
      </c>
      <c r="C9" s="1837">
        <f>'Acct Summary 7-8'!D17</f>
        <v>335904</v>
      </c>
      <c r="D9" s="1837">
        <f>'Acct Summary 7-8'!F17</f>
        <v>237895</v>
      </c>
      <c r="E9" s="1836"/>
      <c r="F9" s="1836">
        <f>SUM(B9:E9)</f>
        <v>3608280</v>
      </c>
    </row>
    <row r="10" spans="1:8" s="1078" customFormat="1" ht="14.25" thickTop="1" thickBot="1" x14ac:dyDescent="0.25">
      <c r="A10" s="1079" t="s">
        <v>1437</v>
      </c>
      <c r="B10" s="1838">
        <f>(B8-B9)</f>
        <v>-66507</v>
      </c>
      <c r="C10" s="1838">
        <f>(C8-C9)</f>
        <v>-198</v>
      </c>
      <c r="D10" s="1838">
        <f>(D8-D9)</f>
        <v>-3007</v>
      </c>
      <c r="E10" s="1837">
        <f>(E8-E9)</f>
        <v>28846</v>
      </c>
      <c r="F10" s="1839">
        <f>SUM(F8-F9)</f>
        <v>-40866</v>
      </c>
    </row>
    <row r="11" spans="1:8" s="1078" customFormat="1" ht="14.25" thickTop="1" thickBot="1" x14ac:dyDescent="0.25">
      <c r="A11" s="1080" t="s">
        <v>1785</v>
      </c>
      <c r="B11" s="1840">
        <f>'Acct Summary 7-8'!C81</f>
        <v>1960413</v>
      </c>
      <c r="C11" s="1840">
        <f>'Acct Summary 7-8'!D81</f>
        <v>183183</v>
      </c>
      <c r="D11" s="1840">
        <f>'Acct Summary 7-8'!F81</f>
        <v>226358</v>
      </c>
      <c r="E11" s="1840">
        <f>'Acct Summary 7-8'!I81</f>
        <v>1805079</v>
      </c>
      <c r="F11" s="1841">
        <f>SUM(B11:E11)</f>
        <v>4175033</v>
      </c>
    </row>
    <row r="12" spans="1:8" ht="16.5" customHeight="1" thickTop="1" x14ac:dyDescent="0.2">
      <c r="A12" s="1081"/>
      <c r="B12" s="1082"/>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3"/>
      <c r="B13" s="1084"/>
      <c r="C13" s="2356"/>
      <c r="D13" s="2357"/>
      <c r="E13" s="2357"/>
      <c r="F13" s="2358"/>
      <c r="H13" s="1073"/>
    </row>
    <row r="14" spans="1:8" ht="19.5" customHeight="1" x14ac:dyDescent="0.2">
      <c r="A14" s="1083"/>
      <c r="B14" s="1084"/>
      <c r="C14" s="2356"/>
      <c r="D14" s="2357"/>
      <c r="E14" s="2357"/>
      <c r="F14" s="2358"/>
      <c r="H14" s="1073"/>
    </row>
    <row r="15" spans="1:8" ht="17.25" customHeight="1" x14ac:dyDescent="0.2">
      <c r="A15" s="1083"/>
      <c r="B15" s="1084"/>
      <c r="C15" s="2359"/>
      <c r="D15" s="2360"/>
      <c r="E15" s="2360"/>
      <c r="F15" s="2361"/>
      <c r="H15" s="1073"/>
    </row>
    <row r="16" spans="1:8" s="310" customFormat="1" ht="51.75" hidden="1" customHeight="1" x14ac:dyDescent="0.2">
      <c r="A16" s="2355" t="s">
        <v>1787</v>
      </c>
      <c r="B16" s="2355"/>
      <c r="C16" s="2355"/>
      <c r="D16" s="2355"/>
      <c r="E16" s="235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7" t="s">
        <v>686</v>
      </c>
      <c r="B3" s="2378"/>
      <c r="C3" s="2378"/>
      <c r="D3" s="2379"/>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8" t="s">
        <v>1584</v>
      </c>
      <c r="D7" s="2389"/>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0" t="s">
        <v>1065</v>
      </c>
      <c r="B15" s="2381"/>
      <c r="C15" s="2381"/>
      <c r="D15" s="2382"/>
    </row>
    <row r="16" spans="1:4" s="667" customFormat="1" ht="24" customHeight="1" x14ac:dyDescent="0.2">
      <c r="A16" s="2383" t="s">
        <v>684</v>
      </c>
      <c r="B16" s="2384"/>
      <c r="C16" s="2384"/>
      <c r="D16" s="238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2" t="s">
        <v>332</v>
      </c>
      <c r="D21" s="2393"/>
    </row>
    <row r="22" spans="1:10" ht="12.75" x14ac:dyDescent="0.2">
      <c r="A22" s="1138"/>
      <c r="B22" s="1139">
        <v>2</v>
      </c>
      <c r="C22" s="2390" t="s">
        <v>1605</v>
      </c>
      <c r="D22" s="239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4" t="s">
        <v>557</v>
      </c>
      <c r="D43" s="239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6" t="s">
        <v>817</v>
      </c>
      <c r="D56" s="238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6" t="s">
        <v>1797</v>
      </c>
      <c r="D70" s="238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28037226026</v>
      </c>
    </row>
    <row r="3" spans="1:2" x14ac:dyDescent="0.2">
      <c r="A3" t="s">
        <v>1013</v>
      </c>
      <c r="B3" s="138" t="str">
        <f>COVER!A15</f>
        <v>Henry</v>
      </c>
    </row>
    <row r="4" spans="1:2" x14ac:dyDescent="0.2">
      <c r="A4" t="s">
        <v>1064</v>
      </c>
      <c r="B4" s="138" t="str">
        <f>COVER!A17</f>
        <v>Annawan Community Unit School District No. 226</v>
      </c>
    </row>
    <row r="5" spans="1:2" x14ac:dyDescent="0.2">
      <c r="A5" t="s">
        <v>728</v>
      </c>
      <c r="B5" s="138" t="str">
        <f>COVER!A38</f>
        <v xml:space="preserve">Matt Nordstrom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60080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1960413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1947210</v>
      </c>
      <c r="D92" s="2" t="str">
        <f t="shared" si="0"/>
        <v>Error?</v>
      </c>
    </row>
    <row r="93" spans="1:4" x14ac:dyDescent="0.2">
      <c r="A93" s="5">
        <v>32</v>
      </c>
      <c r="B93" s="138">
        <f>'Assets-Liab 5-6'!C41</f>
        <v>1960413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183183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183183</v>
      </c>
      <c r="D123" s="2" t="str">
        <f t="shared" si="0"/>
        <v>Error?</v>
      </c>
    </row>
    <row r="124" spans="1:4" x14ac:dyDescent="0.2">
      <c r="A124" s="5">
        <v>63</v>
      </c>
      <c r="B124" s="138">
        <f>'Assets-Liab 5-6'!D41</f>
        <v>183183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266651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266651</v>
      </c>
      <c r="D140" s="2" t="str">
        <f t="shared" si="1"/>
        <v>Error?</v>
      </c>
    </row>
    <row r="141" spans="1:4" x14ac:dyDescent="0.2">
      <c r="A141" s="5">
        <v>80</v>
      </c>
      <c r="B141" s="138">
        <f>'Assets-Liab 5-6'!E41</f>
        <v>266651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226358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226358</v>
      </c>
      <c r="D170" s="2" t="str">
        <f t="shared" si="1"/>
        <v>Error?</v>
      </c>
    </row>
    <row r="171" spans="1:4" x14ac:dyDescent="0.2">
      <c r="A171" s="5">
        <v>110</v>
      </c>
      <c r="B171" s="138">
        <f>'Assets-Liab 5-6'!F41</f>
        <v>226358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236067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119038</v>
      </c>
      <c r="D189" s="2" t="str">
        <f t="shared" si="1"/>
        <v>Error?</v>
      </c>
    </row>
    <row r="190" spans="1:4" x14ac:dyDescent="0.2">
      <c r="A190" s="5">
        <v>129</v>
      </c>
      <c r="B190" s="138">
        <f>'Assets-Liab 5-6'!G41</f>
        <v>236067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279444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279444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5215</v>
      </c>
      <c r="D273" s="2" t="str">
        <f t="shared" si="3"/>
        <v>Error?</v>
      </c>
    </row>
    <row r="274" spans="1:4" x14ac:dyDescent="0.2">
      <c r="A274" s="5">
        <v>213</v>
      </c>
      <c r="B274" s="138">
        <f>'Assets-Liab 5-6'!M17</f>
        <v>3609292</v>
      </c>
      <c r="D274" s="2" t="str">
        <f t="shared" si="3"/>
        <v>Error?</v>
      </c>
    </row>
    <row r="275" spans="1:4" x14ac:dyDescent="0.2">
      <c r="A275" s="5">
        <v>214</v>
      </c>
      <c r="B275" s="138">
        <f>'Assets-Liab 5-6'!M18</f>
        <v>423177</v>
      </c>
      <c r="D275" s="2" t="str">
        <f t="shared" si="3"/>
        <v>Error?</v>
      </c>
    </row>
    <row r="276" spans="1:4" x14ac:dyDescent="0.2">
      <c r="A276" s="5">
        <v>215</v>
      </c>
      <c r="B276" s="138">
        <f>'Assets-Liab 5-6'!M19</f>
        <v>1252689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5290373</v>
      </c>
      <c r="C279" s="2" t="s">
        <v>594</v>
      </c>
      <c r="D279" s="2" t="str">
        <f t="shared" si="3"/>
        <v>Error?</v>
      </c>
    </row>
    <row r="280" spans="1:4" x14ac:dyDescent="0.2">
      <c r="A280" s="5">
        <v>219</v>
      </c>
      <c r="B280" s="138">
        <f>'Assets-Liab 5-6'!M40</f>
        <v>5290373</v>
      </c>
      <c r="D280" s="2" t="str">
        <f t="shared" si="3"/>
        <v>Error?</v>
      </c>
    </row>
    <row r="281" spans="1:4" x14ac:dyDescent="0.2">
      <c r="A281" s="5">
        <v>220</v>
      </c>
      <c r="B281" s="138">
        <f>'Assets-Liab 5-6'!M41</f>
        <v>5290373</v>
      </c>
      <c r="C281" s="2" t="s">
        <v>594</v>
      </c>
      <c r="D281" s="2" t="str">
        <f t="shared" si="3"/>
        <v>Error?</v>
      </c>
    </row>
    <row r="282" spans="1:4" x14ac:dyDescent="0.2">
      <c r="A282" s="5">
        <v>221</v>
      </c>
      <c r="B282" s="138">
        <f>'Assets-Liab 5-6'!N21</f>
        <v>266651</v>
      </c>
      <c r="D282" s="2" t="str">
        <f t="shared" si="3"/>
        <v>Error?</v>
      </c>
    </row>
    <row r="283" spans="1:4" x14ac:dyDescent="0.2">
      <c r="A283" s="5">
        <v>222</v>
      </c>
      <c r="B283" s="138">
        <f>'Assets-Liab 5-6'!N22</f>
        <v>1459497</v>
      </c>
      <c r="D283" s="2" t="str">
        <f t="shared" si="3"/>
        <v>Error?</v>
      </c>
    </row>
    <row r="284" spans="1:4" x14ac:dyDescent="0.2">
      <c r="A284" s="5">
        <v>223</v>
      </c>
      <c r="B284" s="138">
        <f>'Assets-Liab 5-6'!N23</f>
        <v>1726148</v>
      </c>
      <c r="C284" s="2" t="s">
        <v>594</v>
      </c>
      <c r="D284" s="2" t="str">
        <f t="shared" si="3"/>
        <v>Error?</v>
      </c>
    </row>
    <row r="285" spans="1:4" x14ac:dyDescent="0.2">
      <c r="A285" s="5">
        <v>224</v>
      </c>
      <c r="B285" s="138">
        <f>'Assets-Liab 5-6'!N36</f>
        <v>1726148</v>
      </c>
      <c r="D285" s="2" t="str">
        <f t="shared" si="3"/>
        <v>Error?</v>
      </c>
    </row>
    <row r="286" spans="1:4" x14ac:dyDescent="0.2">
      <c r="A286" s="10">
        <v>225</v>
      </c>
      <c r="D286" s="2" t="str">
        <f t="shared" si="3"/>
        <v>OK</v>
      </c>
    </row>
    <row r="287" spans="1:4" x14ac:dyDescent="0.2">
      <c r="A287" s="5">
        <v>226</v>
      </c>
      <c r="B287" s="138">
        <f>'Assets-Liab 5-6'!N37</f>
        <v>1726148</v>
      </c>
      <c r="C287" s="2" t="s">
        <v>594</v>
      </c>
      <c r="D287" s="2" t="str">
        <f t="shared" si="3"/>
        <v>Error?</v>
      </c>
    </row>
    <row r="288" spans="1:4" x14ac:dyDescent="0.2">
      <c r="A288" s="5">
        <v>227</v>
      </c>
      <c r="B288" s="138">
        <f>'Assets-Liab 5-6'!N41</f>
        <v>1726148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1700000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1098882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99089</v>
      </c>
      <c r="D717" s="2" t="str">
        <f t="shared" si="10"/>
        <v>Error?</v>
      </c>
    </row>
    <row r="718" spans="1:4" x14ac:dyDescent="0.2">
      <c r="A718" s="5">
        <v>657</v>
      </c>
      <c r="B718" s="138">
        <f>'Expenditures 15-22'!C14</f>
        <v>85606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1583932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56311</v>
      </c>
      <c r="D722" s="2" t="str">
        <f t="shared" si="10"/>
        <v>Error?</v>
      </c>
    </row>
    <row r="723" spans="1:4" x14ac:dyDescent="0.2">
      <c r="A723" s="5">
        <v>662</v>
      </c>
      <c r="B723" s="138">
        <f>'Expenditures 15-22'!C38</f>
        <v>19411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75722</v>
      </c>
      <c r="C727" s="2" t="s">
        <v>594</v>
      </c>
      <c r="D727" s="2" t="str">
        <f t="shared" si="10"/>
        <v>Error?</v>
      </c>
    </row>
    <row r="728" spans="1:4" x14ac:dyDescent="0.2">
      <c r="A728" s="5">
        <v>667</v>
      </c>
      <c r="B728" s="138">
        <f>'Expenditures 15-22'!C44</f>
        <v>1000</v>
      </c>
      <c r="D728" s="2" t="str">
        <f t="shared" si="10"/>
        <v>Error?</v>
      </c>
    </row>
    <row r="729" spans="1:4" x14ac:dyDescent="0.2">
      <c r="A729" s="5">
        <v>668</v>
      </c>
      <c r="B729" s="138">
        <f>'Expenditures 15-22'!C45</f>
        <v>6622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7622</v>
      </c>
      <c r="C731" s="2" t="s">
        <v>594</v>
      </c>
      <c r="D731" s="2" t="str">
        <f t="shared" si="10"/>
        <v>Error?</v>
      </c>
    </row>
    <row r="732" spans="1:4" x14ac:dyDescent="0.2">
      <c r="A732" s="5">
        <v>671</v>
      </c>
      <c r="B732" s="138">
        <f>'Expenditures 15-22'!C49</f>
        <v>2268</v>
      </c>
      <c r="D732" s="2" t="str">
        <f t="shared" si="10"/>
        <v>Error?</v>
      </c>
    </row>
    <row r="733" spans="1:4" x14ac:dyDescent="0.2">
      <c r="A733" s="5">
        <v>672</v>
      </c>
      <c r="B733" s="138">
        <f>'Expenditures 15-22'!C50</f>
        <v>105000</v>
      </c>
      <c r="D733" s="2" t="str">
        <f t="shared" si="10"/>
        <v>Error?</v>
      </c>
    </row>
    <row r="734" spans="1:4" x14ac:dyDescent="0.2">
      <c r="A734" s="5">
        <v>673</v>
      </c>
      <c r="B734" s="138">
        <f>'Expenditures 15-22'!C53</f>
        <v>107268</v>
      </c>
      <c r="C734" s="2" t="s">
        <v>594</v>
      </c>
      <c r="D734" s="2" t="str">
        <f t="shared" si="10"/>
        <v>Error?</v>
      </c>
    </row>
    <row r="735" spans="1:4" x14ac:dyDescent="0.2">
      <c r="A735" s="5">
        <v>674</v>
      </c>
      <c r="B735" s="138">
        <f>'Expenditures 15-22'!C55</f>
        <v>197529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197529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13642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72229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85871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474012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2057944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215955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17192</v>
      </c>
      <c r="D775" s="2" t="str">
        <f t="shared" si="11"/>
        <v>Error?</v>
      </c>
    </row>
    <row r="776" spans="1:4" x14ac:dyDescent="0.2">
      <c r="A776" s="5">
        <v>715</v>
      </c>
      <c r="B776" s="138">
        <f>'Expenditures 15-22'!D14</f>
        <v>3192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300832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10382</v>
      </c>
      <c r="D780" s="2" t="str">
        <f t="shared" si="11"/>
        <v>Error?</v>
      </c>
    </row>
    <row r="781" spans="1:4" x14ac:dyDescent="0.2">
      <c r="A781" s="5">
        <v>720</v>
      </c>
      <c r="B781" s="138">
        <f>'Expenditures 15-22'!D38</f>
        <v>5015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15397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21100</v>
      </c>
      <c r="D791" s="2" t="str">
        <f t="shared" si="11"/>
        <v>Error?</v>
      </c>
    </row>
    <row r="792" spans="1:4" x14ac:dyDescent="0.2">
      <c r="A792" s="5">
        <v>731</v>
      </c>
      <c r="B792" s="138">
        <f>'Expenditures 15-22'!D53</f>
        <v>21100</v>
      </c>
      <c r="C792" s="2" t="s">
        <v>594</v>
      </c>
      <c r="D792" s="2" t="str">
        <f t="shared" si="11"/>
        <v>Error?</v>
      </c>
    </row>
    <row r="793" spans="1:4" x14ac:dyDescent="0.2">
      <c r="A793" s="5">
        <v>732</v>
      </c>
      <c r="B793" s="138">
        <f>'Expenditures 15-22'!D55</f>
        <v>53325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53325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17306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17306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107128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407960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47176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1974</v>
      </c>
      <c r="D833" s="2" t="str">
        <f t="shared" si="12"/>
        <v>Error?</v>
      </c>
    </row>
    <row r="834" spans="1:4" x14ac:dyDescent="0.2">
      <c r="A834" s="5">
        <v>773</v>
      </c>
      <c r="B834" s="138">
        <f>'Expenditures 15-22'!E14</f>
        <v>16452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68972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526</v>
      </c>
      <c r="C843" s="2" t="s">
        <v>594</v>
      </c>
      <c r="D843" s="2" t="str">
        <f t="shared" si="12"/>
        <v>Error?</v>
      </c>
    </row>
    <row r="844" spans="1:4" x14ac:dyDescent="0.2">
      <c r="A844" s="5">
        <v>783</v>
      </c>
      <c r="B844" s="138">
        <f>'Expenditures 15-22'!E44</f>
        <v>3831</v>
      </c>
      <c r="D844" s="2" t="str">
        <f t="shared" si="12"/>
        <v>Error?</v>
      </c>
    </row>
    <row r="845" spans="1:4" x14ac:dyDescent="0.2">
      <c r="A845" s="5">
        <v>784</v>
      </c>
      <c r="B845" s="138">
        <f>'Expenditures 15-22'!E45</f>
        <v>839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4670</v>
      </c>
      <c r="C847" s="2" t="s">
        <v>594</v>
      </c>
      <c r="D847" s="2" t="str">
        <f t="shared" si="12"/>
        <v>Error?</v>
      </c>
    </row>
    <row r="848" spans="1:4" x14ac:dyDescent="0.2">
      <c r="A848" s="5">
        <v>787</v>
      </c>
      <c r="B848" s="138">
        <f>'Expenditures 15-22'!E49</f>
        <v>4496</v>
      </c>
      <c r="D848" s="2" t="str">
        <f t="shared" si="12"/>
        <v>Error?</v>
      </c>
    </row>
    <row r="849" spans="1:4" x14ac:dyDescent="0.2">
      <c r="A849" s="5">
        <v>788</v>
      </c>
      <c r="B849" s="138">
        <f>'Expenditures 15-22'!E50</f>
        <v>4430</v>
      </c>
      <c r="D849" s="2" t="str">
        <f t="shared" si="12"/>
        <v>Error?</v>
      </c>
    </row>
    <row r="850" spans="1:4" x14ac:dyDescent="0.2">
      <c r="A850" s="5">
        <v>789</v>
      </c>
      <c r="B850" s="138">
        <f>'Expenditures 15-22'!E53</f>
        <v>8926</v>
      </c>
      <c r="C850" s="2" t="s">
        <v>594</v>
      </c>
      <c r="D850" s="2" t="str">
        <f t="shared" si="12"/>
        <v>Error?</v>
      </c>
    </row>
    <row r="851" spans="1:4" x14ac:dyDescent="0.2">
      <c r="A851" s="5">
        <v>790</v>
      </c>
      <c r="B851" s="138">
        <f>'Expenditures 15-22'!E55</f>
        <v>662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662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15791</v>
      </c>
      <c r="D855" s="2" t="str">
        <f t="shared" si="12"/>
        <v>Error?</v>
      </c>
    </row>
    <row r="856" spans="1:4" x14ac:dyDescent="0.2">
      <c r="A856" s="5">
        <v>795</v>
      </c>
      <c r="B856" s="138">
        <f>'Expenditures 15-22'!E61</f>
        <v>20927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37843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52627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162749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56225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3139</v>
      </c>
      <c r="D891" s="2" t="str">
        <f t="shared" si="12"/>
        <v>Error?</v>
      </c>
    </row>
    <row r="892" spans="1:4" x14ac:dyDescent="0.2">
      <c r="A892" s="5">
        <v>831</v>
      </c>
      <c r="B892" s="138">
        <f>'Expenditures 15-22'!F14</f>
        <v>7014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95898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689</v>
      </c>
      <c r="D896" s="2" t="str">
        <f t="shared" si="13"/>
        <v>Error?</v>
      </c>
    </row>
    <row r="897" spans="1:4" x14ac:dyDescent="0.2">
      <c r="A897" s="5">
        <v>836</v>
      </c>
      <c r="B897" s="138">
        <f>'Expenditures 15-22'!F38</f>
        <v>1138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1822</v>
      </c>
      <c r="D900" s="2" t="str">
        <f t="shared" si="13"/>
        <v>Error?</v>
      </c>
    </row>
    <row r="901" spans="1:4" x14ac:dyDescent="0.2">
      <c r="A901" s="5">
        <v>840</v>
      </c>
      <c r="B901" s="138">
        <f>'Expenditures 15-22'!F42</f>
        <v>3649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2352</v>
      </c>
      <c r="D903" s="2" t="str">
        <f t="shared" si="13"/>
        <v>Error?</v>
      </c>
    </row>
    <row r="904" spans="1:4" x14ac:dyDescent="0.2">
      <c r="A904" s="5">
        <v>843</v>
      </c>
      <c r="B904" s="138">
        <f>'Expenditures 15-22'!F46</f>
        <v>363</v>
      </c>
      <c r="D904" s="2" t="str">
        <f t="shared" si="13"/>
        <v>Error?</v>
      </c>
    </row>
    <row r="905" spans="1:4" x14ac:dyDescent="0.2">
      <c r="A905" s="5">
        <v>844</v>
      </c>
      <c r="B905" s="138">
        <f>'Expenditures 15-22'!F47</f>
        <v>2715</v>
      </c>
      <c r="C905" s="2" t="s">
        <v>594</v>
      </c>
      <c r="D905" s="2" t="str">
        <f t="shared" si="13"/>
        <v>Error?</v>
      </c>
    </row>
    <row r="906" spans="1:4" x14ac:dyDescent="0.2">
      <c r="A906" s="5">
        <v>845</v>
      </c>
      <c r="B906" s="138">
        <f>'Expenditures 15-22'!F49</f>
        <v>2642</v>
      </c>
      <c r="D906" s="2" t="str">
        <f t="shared" si="13"/>
        <v>Error?</v>
      </c>
    </row>
    <row r="907" spans="1:4" x14ac:dyDescent="0.2">
      <c r="A907" s="5">
        <v>846</v>
      </c>
      <c r="B907" s="138">
        <f>'Expenditures 15-22'!F50</f>
        <v>1014</v>
      </c>
      <c r="D907" s="2" t="str">
        <f t="shared" si="13"/>
        <v>Error?</v>
      </c>
    </row>
    <row r="908" spans="1:4" x14ac:dyDescent="0.2">
      <c r="A908" s="5">
        <v>847</v>
      </c>
      <c r="B908" s="138">
        <f>'Expenditures 15-22'!F53</f>
        <v>3656</v>
      </c>
      <c r="C908" s="2" t="s">
        <v>594</v>
      </c>
      <c r="D908" s="2" t="str">
        <f t="shared" si="13"/>
        <v>Error?</v>
      </c>
    </row>
    <row r="909" spans="1:4" x14ac:dyDescent="0.2">
      <c r="A909" s="5">
        <v>848</v>
      </c>
      <c r="B909" s="138">
        <f>'Expenditures 15-22'!F55</f>
        <v>1926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1926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54759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60445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72391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168289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66554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11087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88084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88084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4212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4212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145243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149455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1484792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132481</v>
      </c>
      <c r="C1105" s="2" t="s">
        <v>594</v>
      </c>
      <c r="D1105" s="2" t="str">
        <f t="shared" si="16"/>
        <v>Error?</v>
      </c>
    </row>
    <row r="1106" spans="1:4" x14ac:dyDescent="0.2">
      <c r="A1106" s="5">
        <v>1045</v>
      </c>
      <c r="B1106" s="138">
        <f>'Expenditures 15-22'!K14</f>
        <v>116476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2141930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67382</v>
      </c>
      <c r="C1110" s="2" t="s">
        <v>594</v>
      </c>
      <c r="D1110" s="2" t="str">
        <f t="shared" si="16"/>
        <v>Error?</v>
      </c>
    </row>
    <row r="1111" spans="1:4" x14ac:dyDescent="0.2">
      <c r="A1111" s="5">
        <v>1050</v>
      </c>
      <c r="B1111" s="138">
        <f>'Expenditures 15-22'!K38</f>
        <v>26090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1822</v>
      </c>
      <c r="C1114" s="2" t="s">
        <v>594</v>
      </c>
      <c r="D1114" s="2" t="str">
        <f t="shared" si="16"/>
        <v>Error?</v>
      </c>
    </row>
    <row r="1115" spans="1:4" x14ac:dyDescent="0.2">
      <c r="A1115" s="5">
        <v>1054</v>
      </c>
      <c r="B1115" s="138">
        <f>'Expenditures 15-22'!K42</f>
        <v>95294</v>
      </c>
      <c r="C1115" s="2" t="s">
        <v>594</v>
      </c>
      <c r="D1115" s="2" t="str">
        <f t="shared" si="16"/>
        <v>Error?</v>
      </c>
    </row>
    <row r="1116" spans="1:4" x14ac:dyDescent="0.2">
      <c r="A1116" s="5">
        <v>1055</v>
      </c>
      <c r="B1116" s="138">
        <f>'Expenditures 15-22'!K44</f>
        <v>4831</v>
      </c>
      <c r="C1116" s="2" t="s">
        <v>594</v>
      </c>
      <c r="D1116" s="2" t="str">
        <f t="shared" si="16"/>
        <v>Error?</v>
      </c>
    </row>
    <row r="1117" spans="1:4" x14ac:dyDescent="0.2">
      <c r="A1117" s="5">
        <v>1056</v>
      </c>
      <c r="B1117" s="138">
        <f>'Expenditures 15-22'!K45</f>
        <v>9813</v>
      </c>
      <c r="C1117" s="2" t="s">
        <v>594</v>
      </c>
      <c r="D1117" s="2" t="str">
        <f t="shared" si="16"/>
        <v>Error?</v>
      </c>
    </row>
    <row r="1118" spans="1:4" x14ac:dyDescent="0.2">
      <c r="A1118" s="5">
        <v>1057</v>
      </c>
      <c r="B1118" s="138">
        <f>'Expenditures 15-22'!K46</f>
        <v>363</v>
      </c>
      <c r="C1118" s="2" t="s">
        <v>594</v>
      </c>
      <c r="D1118" s="2" t="str">
        <f t="shared" si="16"/>
        <v>Error?</v>
      </c>
    </row>
    <row r="1119" spans="1:4" x14ac:dyDescent="0.2">
      <c r="A1119" s="5">
        <v>1058</v>
      </c>
      <c r="B1119" s="138">
        <f>'Expenditures 15-22'!K47</f>
        <v>15007</v>
      </c>
      <c r="C1119" s="2" t="s">
        <v>594</v>
      </c>
      <c r="D1119" s="2" t="str">
        <f t="shared" si="16"/>
        <v>Error?</v>
      </c>
    </row>
    <row r="1120" spans="1:4" x14ac:dyDescent="0.2">
      <c r="A1120" s="5">
        <v>1059</v>
      </c>
      <c r="B1120" s="138">
        <f>'Expenditures 15-22'!K49</f>
        <v>9406</v>
      </c>
      <c r="C1120" s="2" t="s">
        <v>594</v>
      </c>
      <c r="D1120" s="2" t="str">
        <f t="shared" si="16"/>
        <v>Error?</v>
      </c>
    </row>
    <row r="1121" spans="1:4" x14ac:dyDescent="0.2">
      <c r="A1121" s="5">
        <v>1060</v>
      </c>
      <c r="B1121" s="138">
        <f>'Expenditures 15-22'!K50</f>
        <v>131544</v>
      </c>
      <c r="C1121" s="2" t="s">
        <v>594</v>
      </c>
      <c r="D1121" s="2" t="str">
        <f t="shared" si="16"/>
        <v>Error?</v>
      </c>
    </row>
    <row r="1122" spans="1:4" x14ac:dyDescent="0.2">
      <c r="A1122" s="5">
        <v>1061</v>
      </c>
      <c r="B1122" s="138">
        <f>'Expenditures 15-22'!K53</f>
        <v>140950</v>
      </c>
      <c r="C1122" s="2" t="s">
        <v>594</v>
      </c>
      <c r="D1122" s="2" t="str">
        <f t="shared" si="16"/>
        <v>Error?</v>
      </c>
    </row>
    <row r="1123" spans="1:4" x14ac:dyDescent="0.2">
      <c r="A1123" s="5">
        <v>1062</v>
      </c>
      <c r="B1123" s="138">
        <f>'Expenditures 15-22'!K55</f>
        <v>253442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253442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35119</v>
      </c>
      <c r="C1127" s="2" t="s">
        <v>594</v>
      </c>
      <c r="D1127" s="2" t="str">
        <f t="shared" si="16"/>
        <v>Error?</v>
      </c>
    </row>
    <row r="1128" spans="1:4" x14ac:dyDescent="0.2">
      <c r="A1128" s="5">
        <v>1067</v>
      </c>
      <c r="B1128" s="138">
        <f>'Expenditures 15-22'!K61</f>
        <v>20927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145419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201465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706158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186393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3034481</v>
      </c>
      <c r="C1152" s="2" t="s">
        <v>594</v>
      </c>
      <c r="D1152" s="2" t="str">
        <f t="shared" si="17"/>
        <v>Error?</v>
      </c>
    </row>
    <row r="1153" spans="1:4" x14ac:dyDescent="0.2">
      <c r="A1153" s="5">
        <v>1092</v>
      </c>
      <c r="B1153" s="138">
        <f>'Expenditures 15-22'!K115</f>
        <v>-66507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141834</v>
      </c>
      <c r="D1221" s="2" t="str">
        <f t="shared" si="18"/>
        <v>Error?</v>
      </c>
    </row>
    <row r="1222" spans="1:4" x14ac:dyDescent="0.2">
      <c r="A1222" s="10">
        <v>1161</v>
      </c>
      <c r="D1222" s="2" t="str">
        <f t="shared" si="18"/>
        <v>OK</v>
      </c>
    </row>
    <row r="1223" spans="1:4" x14ac:dyDescent="0.2">
      <c r="A1223" s="5">
        <v>1162</v>
      </c>
      <c r="B1223" s="138">
        <f>'Expenditures 15-22'!C127</f>
        <v>141834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141834</v>
      </c>
      <c r="C1225" s="2" t="s">
        <v>594</v>
      </c>
      <c r="D1225" s="2" t="str">
        <f t="shared" si="18"/>
        <v>Error?</v>
      </c>
    </row>
    <row r="1226" spans="1:4" x14ac:dyDescent="0.2">
      <c r="A1226" s="5">
        <v>1165</v>
      </c>
      <c r="B1226" s="138">
        <f>'Expenditures 15-22'!C151</f>
        <v>141834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21539</v>
      </c>
      <c r="D1229" s="2" t="str">
        <f t="shared" si="18"/>
        <v>Error?</v>
      </c>
    </row>
    <row r="1230" spans="1:4" x14ac:dyDescent="0.2">
      <c r="A1230" s="10">
        <v>1169</v>
      </c>
      <c r="D1230" s="2" t="str">
        <f t="shared" si="18"/>
        <v>OK</v>
      </c>
    </row>
    <row r="1231" spans="1:4" x14ac:dyDescent="0.2">
      <c r="A1231" s="5">
        <v>1170</v>
      </c>
      <c r="B1231" s="138">
        <f>'Expenditures 15-22'!D127</f>
        <v>21539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21539</v>
      </c>
      <c r="C1233" s="2" t="s">
        <v>594</v>
      </c>
      <c r="D1233" s="2" t="str">
        <f t="shared" si="18"/>
        <v>Error?</v>
      </c>
    </row>
    <row r="1234" spans="1:4" x14ac:dyDescent="0.2">
      <c r="A1234" s="5">
        <v>1173</v>
      </c>
      <c r="B1234" s="138">
        <f>'Expenditures 15-22'!D151</f>
        <v>21539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114640</v>
      </c>
      <c r="D1237" s="2" t="str">
        <f t="shared" si="18"/>
        <v>Error?</v>
      </c>
    </row>
    <row r="1238" spans="1:4" x14ac:dyDescent="0.2">
      <c r="A1238" s="10">
        <v>1177</v>
      </c>
      <c r="D1238" s="2" t="str">
        <f t="shared" si="18"/>
        <v>OK</v>
      </c>
    </row>
    <row r="1239" spans="1:4" x14ac:dyDescent="0.2">
      <c r="A1239" s="5">
        <v>1178</v>
      </c>
      <c r="B1239" s="138">
        <f>'Expenditures 15-22'!E127</f>
        <v>114640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114640</v>
      </c>
      <c r="C1241" s="2" t="s">
        <v>594</v>
      </c>
      <c r="D1241" s="2" t="str">
        <f t="shared" si="18"/>
        <v>Error?</v>
      </c>
    </row>
    <row r="1242" spans="1:4" x14ac:dyDescent="0.2">
      <c r="A1242" s="5">
        <v>1181</v>
      </c>
      <c r="B1242" s="138">
        <f>'Expenditures 15-22'!E151</f>
        <v>114640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42299</v>
      </c>
      <c r="D1245" s="2" t="str">
        <f t="shared" si="18"/>
        <v>Error?</v>
      </c>
    </row>
    <row r="1246" spans="1:4" x14ac:dyDescent="0.2">
      <c r="A1246" s="10">
        <v>1185</v>
      </c>
      <c r="D1246" s="2" t="str">
        <f t="shared" si="18"/>
        <v>OK</v>
      </c>
    </row>
    <row r="1247" spans="1:4" x14ac:dyDescent="0.2">
      <c r="A1247" s="5">
        <v>1186</v>
      </c>
      <c r="B1247" s="138">
        <f>'Expenditures 15-22'!F127</f>
        <v>42299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42299</v>
      </c>
      <c r="C1249" s="2" t="s">
        <v>594</v>
      </c>
      <c r="D1249" s="2" t="str">
        <f t="shared" si="18"/>
        <v>Error?</v>
      </c>
    </row>
    <row r="1250" spans="1:4" x14ac:dyDescent="0.2">
      <c r="A1250" s="5">
        <v>1189</v>
      </c>
      <c r="B1250" s="138">
        <f>'Expenditures 15-22'!F151</f>
        <v>42299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15592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15592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15592</v>
      </c>
      <c r="C1258" s="2" t="s">
        <v>594</v>
      </c>
      <c r="D1258" s="2" t="str">
        <f t="shared" si="18"/>
        <v>Error?</v>
      </c>
    </row>
    <row r="1259" spans="1:4" x14ac:dyDescent="0.2">
      <c r="A1259" s="5">
        <v>1198</v>
      </c>
      <c r="B1259" s="138">
        <f>'Expenditures 15-22'!G151</f>
        <v>15592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335904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335904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335904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335904</v>
      </c>
      <c r="C1288" s="2" t="s">
        <v>594</v>
      </c>
      <c r="D1288" s="2" t="str">
        <f t="shared" si="19"/>
        <v>Error?</v>
      </c>
    </row>
    <row r="1289" spans="1:4" x14ac:dyDescent="0.2">
      <c r="A1289" s="5">
        <v>1228</v>
      </c>
      <c r="B1289" s="138">
        <f>'Expenditures 15-22'!K152</f>
        <v>-198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474127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484477</v>
      </c>
      <c r="C1317" s="2" t="s">
        <v>594</v>
      </c>
      <c r="D1317" s="2" t="str">
        <f t="shared" si="19"/>
        <v>Error?</v>
      </c>
    </row>
    <row r="1318" spans="1:4" x14ac:dyDescent="0.2">
      <c r="A1318" s="5">
        <v>1257</v>
      </c>
      <c r="B1318" s="138">
        <f>'Expenditures 15-22'!H174</f>
        <v>484477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10350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474127</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484477</v>
      </c>
      <c r="C1331" s="2" t="s">
        <v>594</v>
      </c>
      <c r="D1331" s="2" t="str">
        <f t="shared" si="19"/>
        <v>Error?</v>
      </c>
    </row>
    <row r="1332" spans="1:4" x14ac:dyDescent="0.2">
      <c r="A1332" s="5">
        <v>1271</v>
      </c>
      <c r="B1332" s="138">
        <f>'Expenditures 15-22'!K174</f>
        <v>484477</v>
      </c>
      <c r="C1332" s="2" t="s">
        <v>594</v>
      </c>
      <c r="D1332" s="2" t="str">
        <f t="shared" si="19"/>
        <v>Error?</v>
      </c>
    </row>
    <row r="1333" spans="1:4" x14ac:dyDescent="0.2">
      <c r="A1333" s="5">
        <v>1272</v>
      </c>
      <c r="B1333" s="138">
        <f>'Expenditures 15-22'!K175</f>
        <v>-1102</v>
      </c>
      <c r="C1333" s="2" t="s">
        <v>594</v>
      </c>
      <c r="D1333" s="2" t="str">
        <f t="shared" si="19"/>
        <v>Error?</v>
      </c>
    </row>
    <row r="1334" spans="1:4" x14ac:dyDescent="0.2">
      <c r="A1334" s="10">
        <v>1273</v>
      </c>
      <c r="D1334" s="2" t="str">
        <f t="shared" si="19"/>
        <v>OK</v>
      </c>
    </row>
    <row r="1335" spans="1:4" x14ac:dyDescent="0.2">
      <c r="A1335" s="5">
        <v>1274</v>
      </c>
      <c r="B1335" s="138">
        <f>'Expenditures 15-22'!C182</f>
        <v>128955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128955</v>
      </c>
      <c r="C1339" s="2" t="s">
        <v>594</v>
      </c>
      <c r="D1339" s="2" t="str">
        <f t="shared" si="19"/>
        <v>Error?</v>
      </c>
    </row>
    <row r="1340" spans="1:4" x14ac:dyDescent="0.2">
      <c r="A1340" s="5">
        <v>1279</v>
      </c>
      <c r="B1340" s="138">
        <f>'Expenditures 15-22'!C210</f>
        <v>128955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70598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70598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70598</v>
      </c>
      <c r="C1353" s="2" t="s">
        <v>594</v>
      </c>
      <c r="D1353" s="2" t="str">
        <f t="shared" si="20"/>
        <v>Error?</v>
      </c>
    </row>
    <row r="1354" spans="1:4" x14ac:dyDescent="0.2">
      <c r="A1354" s="5">
        <v>1293</v>
      </c>
      <c r="B1354" s="138">
        <f>'Expenditures 15-22'!F182</f>
        <v>37283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37283</v>
      </c>
      <c r="C1358" s="2" t="s">
        <v>594</v>
      </c>
      <c r="D1358" s="2" t="str">
        <f t="shared" si="20"/>
        <v>Error?</v>
      </c>
    </row>
    <row r="1359" spans="1:4" x14ac:dyDescent="0.2">
      <c r="A1359" s="5">
        <v>1298</v>
      </c>
      <c r="B1359" s="138">
        <f>'Expenditures 15-22'!F210</f>
        <v>37283</v>
      </c>
      <c r="C1359" s="2" t="s">
        <v>594</v>
      </c>
      <c r="D1359" s="2" t="str">
        <f t="shared" si="20"/>
        <v>Error?</v>
      </c>
    </row>
    <row r="1360" spans="1:4" x14ac:dyDescent="0.2">
      <c r="A1360" s="5">
        <v>1299</v>
      </c>
      <c r="B1360" s="138">
        <f>'Expenditures 15-22'!G182</f>
        <v>1059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1059</v>
      </c>
      <c r="C1364" s="2" t="s">
        <v>594</v>
      </c>
      <c r="D1364" s="2" t="str">
        <f t="shared" si="20"/>
        <v>Error?</v>
      </c>
    </row>
    <row r="1365" spans="1:4" x14ac:dyDescent="0.2">
      <c r="A1365" s="5">
        <v>1304</v>
      </c>
      <c r="B1365" s="138">
        <f>'Expenditures 15-22'!G210</f>
        <v>1059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237895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237895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237895</v>
      </c>
      <c r="C1388" s="2" t="s">
        <v>594</v>
      </c>
      <c r="D1388" s="2" t="str">
        <f t="shared" si="20"/>
        <v>Error?</v>
      </c>
    </row>
    <row r="1389" spans="1:4" x14ac:dyDescent="0.2">
      <c r="A1389" s="5">
        <v>1328</v>
      </c>
      <c r="B1389" s="138">
        <f>'Expenditures 15-22'!K211</f>
        <v>-3007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1431</v>
      </c>
      <c r="D1407" s="2" t="str">
        <f t="shared" ref="D1407:D1470" si="21">IF(ISBLANK(B1407),"OK",IF(A1407-B1407=0,"OK","Error?"))</f>
        <v>Error?</v>
      </c>
    </row>
    <row r="1408" spans="1:4" x14ac:dyDescent="0.2">
      <c r="A1408" s="5">
        <v>1347</v>
      </c>
      <c r="B1408" s="138">
        <f>'Expenditures 15-22'!D223</f>
        <v>2276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39317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786</v>
      </c>
      <c r="D1412" s="2" t="str">
        <f t="shared" si="21"/>
        <v>Error?</v>
      </c>
    </row>
    <row r="1413" spans="1:4" x14ac:dyDescent="0.2">
      <c r="A1413" s="5">
        <v>1352</v>
      </c>
      <c r="B1413" s="138">
        <f>'Expenditures 15-22'!D234</f>
        <v>4095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4881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v>
      </c>
      <c r="C1421" s="2" t="s">
        <v>594</v>
      </c>
      <c r="D1421" s="2" t="str">
        <f t="shared" si="21"/>
        <v>Error?</v>
      </c>
    </row>
    <row r="1422" spans="1:4" x14ac:dyDescent="0.2">
      <c r="A1422" s="5">
        <v>1361</v>
      </c>
      <c r="B1422" s="138">
        <f>'Expenditures 15-22'!D245</f>
        <v>173</v>
      </c>
      <c r="D1422" s="2" t="str">
        <f t="shared" si="21"/>
        <v>Error?</v>
      </c>
    </row>
    <row r="1423" spans="1:4" x14ac:dyDescent="0.2">
      <c r="A1423" s="5">
        <v>1362</v>
      </c>
      <c r="B1423" s="138">
        <f>'Expenditures 15-22'!D246</f>
        <v>8284</v>
      </c>
      <c r="D1423" s="2" t="str">
        <f t="shared" si="21"/>
        <v>Error?</v>
      </c>
    </row>
    <row r="1424" spans="1:4" x14ac:dyDescent="0.2">
      <c r="A1424" s="5">
        <v>1363</v>
      </c>
      <c r="B1424" s="138">
        <f>'Expenditures 15-22'!D257</f>
        <v>8457</v>
      </c>
      <c r="C1424" s="2" t="s">
        <v>594</v>
      </c>
      <c r="D1424" s="2" t="str">
        <f t="shared" si="21"/>
        <v>Error?</v>
      </c>
    </row>
    <row r="1425" spans="1:4" x14ac:dyDescent="0.2">
      <c r="A1425" s="5">
        <v>1364</v>
      </c>
      <c r="B1425" s="138">
        <f>'Expenditures 15-22'!D259</f>
        <v>14589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14589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28440</v>
      </c>
      <c r="D1431" s="2" t="str">
        <f t="shared" si="21"/>
        <v>Error?</v>
      </c>
    </row>
    <row r="1432" spans="1:4" x14ac:dyDescent="0.2">
      <c r="A1432" s="5">
        <v>1371</v>
      </c>
      <c r="B1432" s="138">
        <f>'Expenditures 15-22'!D267</f>
        <v>23137</v>
      </c>
      <c r="D1432" s="2" t="str">
        <f t="shared" si="21"/>
        <v>Error?</v>
      </c>
    </row>
    <row r="1433" spans="1:4" x14ac:dyDescent="0.2">
      <c r="A1433" s="5">
        <v>1372</v>
      </c>
      <c r="B1433" s="138">
        <f>'Expenditures 15-22'!D268</f>
        <v>15480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69051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97074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140051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1431</v>
      </c>
      <c r="C1471" s="2" t="s">
        <v>594</v>
      </c>
      <c r="D1471" s="2" t="str">
        <f t="shared" ref="D1471:D1534" si="22">IF(ISBLANK(B1471),"OK",IF(A1471-B1471=0,"OK","Error?"))</f>
        <v>Error?</v>
      </c>
    </row>
    <row r="1472" spans="1:4" x14ac:dyDescent="0.2">
      <c r="A1472" s="5">
        <v>1411</v>
      </c>
      <c r="B1472" s="138">
        <f>'Expenditures 15-22'!K223</f>
        <v>2276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39317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786</v>
      </c>
      <c r="C1476" s="2" t="s">
        <v>594</v>
      </c>
      <c r="D1476" s="2" t="str">
        <f t="shared" si="22"/>
        <v>Error?</v>
      </c>
    </row>
    <row r="1477" spans="1:4" x14ac:dyDescent="0.2">
      <c r="A1477" s="5">
        <v>1416</v>
      </c>
      <c r="B1477" s="138">
        <f>'Expenditures 15-22'!K234</f>
        <v>4095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4881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96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96</v>
      </c>
      <c r="C1485" s="2" t="s">
        <v>594</v>
      </c>
      <c r="D1485" s="2" t="str">
        <f t="shared" si="22"/>
        <v>Error?</v>
      </c>
    </row>
    <row r="1486" spans="1:4" x14ac:dyDescent="0.2">
      <c r="A1486" s="5">
        <v>1425</v>
      </c>
      <c r="B1486" s="138">
        <f>'Expenditures 15-22'!K245</f>
        <v>173</v>
      </c>
      <c r="C1486" s="2" t="s">
        <v>594</v>
      </c>
      <c r="D1486" s="2" t="str">
        <f t="shared" si="22"/>
        <v>Error?</v>
      </c>
    </row>
    <row r="1487" spans="1:4" x14ac:dyDescent="0.2">
      <c r="A1487" s="5">
        <v>1426</v>
      </c>
      <c r="B1487" s="138">
        <f>'Expenditures 15-22'!K246</f>
        <v>8284</v>
      </c>
      <c r="C1487" s="2" t="s">
        <v>594</v>
      </c>
      <c r="D1487" s="2" t="str">
        <f t="shared" si="22"/>
        <v>Error?</v>
      </c>
    </row>
    <row r="1488" spans="1:4" x14ac:dyDescent="0.2">
      <c r="A1488" s="5">
        <v>1427</v>
      </c>
      <c r="B1488" s="138">
        <f>'Expenditures 15-22'!K257</f>
        <v>8457</v>
      </c>
      <c r="C1488" s="2" t="s">
        <v>594</v>
      </c>
      <c r="D1488" s="2" t="str">
        <f t="shared" si="22"/>
        <v>Error?</v>
      </c>
    </row>
    <row r="1489" spans="1:4" x14ac:dyDescent="0.2">
      <c r="A1489" s="5">
        <v>1428</v>
      </c>
      <c r="B1489" s="138">
        <f>'Expenditures 15-22'!K259</f>
        <v>14589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14589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1994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28440</v>
      </c>
      <c r="C1495" s="2" t="s">
        <v>594</v>
      </c>
      <c r="D1495" s="2" t="str">
        <f t="shared" si="22"/>
        <v>Error?</v>
      </c>
    </row>
    <row r="1496" spans="1:4" x14ac:dyDescent="0.2">
      <c r="A1496" s="5">
        <v>1435</v>
      </c>
      <c r="B1496" s="138">
        <f>'Expenditures 15-22'!K267</f>
        <v>23137</v>
      </c>
      <c r="C1496" s="2" t="s">
        <v>594</v>
      </c>
      <c r="D1496" s="2" t="str">
        <f t="shared" si="22"/>
        <v>Error?</v>
      </c>
    </row>
    <row r="1497" spans="1:4" x14ac:dyDescent="0.2">
      <c r="A1497" s="5">
        <v>1436</v>
      </c>
      <c r="B1497" s="138">
        <f>'Expenditures 15-22'!K268</f>
        <v>15480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69051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97074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140051</v>
      </c>
      <c r="C1517" s="2" t="s">
        <v>594</v>
      </c>
      <c r="D1517" s="2" t="str">
        <f t="shared" si="22"/>
        <v>Error?</v>
      </c>
    </row>
    <row r="1518" spans="1:4" x14ac:dyDescent="0.2">
      <c r="A1518" s="5">
        <v>1457</v>
      </c>
      <c r="B1518" s="138">
        <f>'Expenditures 15-22'!K296</f>
        <v>81565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15817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15817</v>
      </c>
      <c r="C1535" s="2" t="s">
        <v>594</v>
      </c>
      <c r="D1535" s="2" t="str">
        <f t="shared" ref="D1535:D1598" si="23">IF(ISBLANK(B1535),"OK",IF(A1535-B1535=0,"OK","Error?"))</f>
        <v>Error?</v>
      </c>
    </row>
    <row r="1536" spans="1:4" x14ac:dyDescent="0.2">
      <c r="A1536" s="5">
        <v>1475</v>
      </c>
      <c r="B1536" s="138">
        <f>'Expenditures 15-22'!E312</f>
        <v>15817</v>
      </c>
      <c r="C1536" s="2" t="s">
        <v>594</v>
      </c>
      <c r="D1536" s="2" t="str">
        <f t="shared" si="23"/>
        <v>Error?</v>
      </c>
    </row>
    <row r="1537" spans="1:4" x14ac:dyDescent="0.2">
      <c r="A1537" s="5">
        <v>1476</v>
      </c>
      <c r="B1537" s="138">
        <f>'Expenditures 15-22'!F301</f>
        <v>3898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3898</v>
      </c>
      <c r="C1541" s="2" t="s">
        <v>594</v>
      </c>
      <c r="D1541" s="2" t="str">
        <f t="shared" si="23"/>
        <v>Error?</v>
      </c>
    </row>
    <row r="1542" spans="1:4" x14ac:dyDescent="0.2">
      <c r="A1542" s="5">
        <v>1481</v>
      </c>
      <c r="B1542" s="138">
        <f>'Expenditures 15-22'!F312</f>
        <v>3898</v>
      </c>
      <c r="C1542" s="2" t="s">
        <v>594</v>
      </c>
      <c r="D1542" s="2" t="str">
        <f t="shared" si="23"/>
        <v>Error?</v>
      </c>
    </row>
    <row r="1543" spans="1:4" x14ac:dyDescent="0.2">
      <c r="A1543" s="5">
        <v>1482</v>
      </c>
      <c r="B1543" s="138">
        <f>'Expenditures 15-22'!G301</f>
        <v>41097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41097</v>
      </c>
      <c r="C1547" s="2" t="s">
        <v>594</v>
      </c>
      <c r="D1547" s="2" t="str">
        <f t="shared" si="23"/>
        <v>Error?</v>
      </c>
    </row>
    <row r="1548" spans="1:4" x14ac:dyDescent="0.2">
      <c r="A1548" s="5">
        <v>1487</v>
      </c>
      <c r="B1548" s="138">
        <f>'Expenditures 15-22'!G312</f>
        <v>41097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60812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60812</v>
      </c>
      <c r="C1559" s="2" t="s">
        <v>594</v>
      </c>
      <c r="D1559" s="2" t="str">
        <f t="shared" si="23"/>
        <v>Error?</v>
      </c>
    </row>
    <row r="1560" spans="1:4" x14ac:dyDescent="0.2">
      <c r="A1560" s="5">
        <v>1499</v>
      </c>
      <c r="B1560" s="138">
        <f>'Expenditures 15-22'!K312</f>
        <v>60812</v>
      </c>
      <c r="C1560" s="2" t="s">
        <v>594</v>
      </c>
      <c r="D1560" s="2" t="str">
        <f t="shared" si="23"/>
        <v>Error?</v>
      </c>
    </row>
    <row r="1561" spans="1:4" x14ac:dyDescent="0.2">
      <c r="A1561" s="5">
        <v>1500</v>
      </c>
      <c r="B1561" s="138">
        <f>'Expenditures 15-22'!K313</f>
        <v>43551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1200772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1960413</v>
      </c>
      <c r="C1630" s="2" t="s">
        <v>594</v>
      </c>
      <c r="D1630" s="2" t="str">
        <f t="shared" si="24"/>
        <v>Error?</v>
      </c>
    </row>
    <row r="1631" spans="1:4" x14ac:dyDescent="0.2">
      <c r="A1631" s="5">
        <v>1570</v>
      </c>
      <c r="B1631" s="138">
        <f>'Acct Summary 7-8'!D79</f>
        <v>183381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183183</v>
      </c>
      <c r="C1644" s="2" t="s">
        <v>594</v>
      </c>
      <c r="D1644" s="2" t="str">
        <f t="shared" si="24"/>
        <v>Error?</v>
      </c>
    </row>
    <row r="1645" spans="1:4" x14ac:dyDescent="0.2">
      <c r="A1645" s="5">
        <v>1584</v>
      </c>
      <c r="B1645" s="138">
        <f>'Acct Summary 7-8'!E79</f>
        <v>253626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266651</v>
      </c>
      <c r="C1658" s="2" t="s">
        <v>594</v>
      </c>
      <c r="D1658" s="2" t="str">
        <f t="shared" si="24"/>
        <v>Error?</v>
      </c>
    </row>
    <row r="1659" spans="1:4" x14ac:dyDescent="0.2">
      <c r="A1659" s="5">
        <v>1598</v>
      </c>
      <c r="B1659" s="138">
        <f>'Acct Summary 7-8'!F79</f>
        <v>223765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226358</v>
      </c>
      <c r="C1672" s="2" t="s">
        <v>594</v>
      </c>
      <c r="D1672" s="2" t="str">
        <f t="shared" si="25"/>
        <v>Error?</v>
      </c>
    </row>
    <row r="1673" spans="1:4" x14ac:dyDescent="0.2">
      <c r="A1673" s="5">
        <v>1612</v>
      </c>
      <c r="B1673" s="138">
        <f>'Acct Summary 7-8'!G79</f>
        <v>154502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236067</v>
      </c>
      <c r="C1686" s="2" t="s">
        <v>594</v>
      </c>
      <c r="D1686" s="2" t="str">
        <f t="shared" si="25"/>
        <v>Error?</v>
      </c>
    </row>
    <row r="1687" spans="1:4" x14ac:dyDescent="0.2">
      <c r="A1687" s="5">
        <v>1626</v>
      </c>
      <c r="B1687" s="138">
        <f>'Acct Summary 7-8'!H79</f>
        <v>235893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279444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1547832</v>
      </c>
      <c r="C1744" s="2" t="s">
        <v>594</v>
      </c>
      <c r="D1744" s="2" t="str">
        <f t="shared" si="26"/>
        <v>Error?</v>
      </c>
    </row>
    <row r="1745" spans="1:5" x14ac:dyDescent="0.2">
      <c r="A1745" s="5">
        <v>1684</v>
      </c>
      <c r="B1745" s="138">
        <f>'Tax Sched 23'!B5</f>
        <v>265138</v>
      </c>
      <c r="C1745" s="2" t="s">
        <v>594</v>
      </c>
      <c r="D1745" s="2" t="str">
        <f t="shared" si="26"/>
        <v>Error?</v>
      </c>
    </row>
    <row r="1746" spans="1:5" x14ac:dyDescent="0.2">
      <c r="A1746" s="5">
        <v>1685</v>
      </c>
      <c r="B1746" s="138">
        <f>'Tax Sched 23'!B6</f>
        <v>482970</v>
      </c>
      <c r="C1746" s="2" t="s">
        <v>594</v>
      </c>
      <c r="D1746" s="2" t="str">
        <f t="shared" si="26"/>
        <v>Error?</v>
      </c>
    </row>
    <row r="1747" spans="1:5" x14ac:dyDescent="0.2">
      <c r="A1747" s="5">
        <v>1686</v>
      </c>
      <c r="B1747" s="138">
        <f>'Tax Sched 23'!B7</f>
        <v>106077</v>
      </c>
      <c r="C1747" s="2" t="s">
        <v>594</v>
      </c>
      <c r="D1747" s="2" t="str">
        <f t="shared" si="26"/>
        <v>Error?</v>
      </c>
    </row>
    <row r="1748" spans="1:5" x14ac:dyDescent="0.2">
      <c r="A1748" s="5">
        <v>1687</v>
      </c>
      <c r="B1748" s="138">
        <f>'Tax Sched 23'!B8</f>
        <v>104642</v>
      </c>
      <c r="C1748" s="2" t="s">
        <v>594</v>
      </c>
      <c r="D1748" s="2" t="str">
        <f t="shared" si="26"/>
        <v>Error?</v>
      </c>
    </row>
    <row r="1749" spans="1:5" x14ac:dyDescent="0.2">
      <c r="A1749" s="5">
        <v>1688</v>
      </c>
      <c r="B1749" s="138">
        <f>'Tax Sched 23'!B10</f>
        <v>26546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233923</v>
      </c>
      <c r="C1752" s="2" t="s">
        <v>594</v>
      </c>
      <c r="D1752" s="2" t="str">
        <f t="shared" si="26"/>
        <v>Error?</v>
      </c>
    </row>
    <row r="1753" spans="1:5" x14ac:dyDescent="0.2">
      <c r="A1753" s="5">
        <v>1692</v>
      </c>
      <c r="B1753" s="138">
        <f>'Tax Sched 23'!B12</f>
        <v>26546</v>
      </c>
      <c r="C1753" s="2" t="s">
        <v>594</v>
      </c>
      <c r="D1753" s="2" t="str">
        <f t="shared" si="26"/>
        <v>Error?</v>
      </c>
    </row>
    <row r="1754" spans="1:5" x14ac:dyDescent="0.2">
      <c r="A1754" s="5">
        <v>1693</v>
      </c>
      <c r="B1754" s="138">
        <f>'Tax Sched 23'!B14</f>
        <v>21215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2946077</v>
      </c>
      <c r="C1759" s="2" t="s">
        <v>594</v>
      </c>
      <c r="D1759" s="2" t="str">
        <f t="shared" si="26"/>
        <v>Error?</v>
      </c>
    </row>
    <row r="1760" spans="1:5" x14ac:dyDescent="0.2">
      <c r="A1760" s="5">
        <v>1699</v>
      </c>
      <c r="B1760" s="138">
        <f>'Tax Sched 23'!D4</f>
        <v>762840</v>
      </c>
      <c r="C1760" s="2" t="s">
        <v>594</v>
      </c>
      <c r="D1760" s="2" t="str">
        <f t="shared" si="26"/>
        <v>Error?</v>
      </c>
    </row>
    <row r="1761" spans="1:5" x14ac:dyDescent="0.2">
      <c r="A1761" s="5">
        <v>1700</v>
      </c>
      <c r="B1761" s="138">
        <f>'Tax Sched 23'!D5</f>
        <v>131527</v>
      </c>
      <c r="C1761" s="2" t="s">
        <v>594</v>
      </c>
      <c r="D1761" s="2" t="str">
        <f t="shared" si="26"/>
        <v>Error?</v>
      </c>
    </row>
    <row r="1762" spans="1:5" s="8" customFormat="1" x14ac:dyDescent="0.2">
      <c r="A1762" s="5">
        <v>1701</v>
      </c>
      <c r="B1762" s="138">
        <f>'Tax Sched 23'!D6</f>
        <v>242167</v>
      </c>
      <c r="C1762" s="2" t="s">
        <v>594</v>
      </c>
      <c r="D1762" s="2" t="str">
        <f t="shared" si="26"/>
        <v>Error?</v>
      </c>
      <c r="E1762" s="9"/>
    </row>
    <row r="1763" spans="1:5" x14ac:dyDescent="0.2">
      <c r="A1763" s="5">
        <v>1702</v>
      </c>
      <c r="B1763" s="138">
        <f>'Tax Sched 23'!D7</f>
        <v>52616</v>
      </c>
      <c r="C1763" s="2" t="s">
        <v>594</v>
      </c>
      <c r="D1763" s="2" t="str">
        <f t="shared" si="26"/>
        <v>Error?</v>
      </c>
    </row>
    <row r="1764" spans="1:5" x14ac:dyDescent="0.2">
      <c r="A1764" s="5">
        <v>1703</v>
      </c>
      <c r="B1764" s="138">
        <f>'Tax Sched 23'!D8</f>
        <v>52616</v>
      </c>
      <c r="C1764" s="2" t="s">
        <v>594</v>
      </c>
      <c r="D1764" s="2" t="str">
        <f t="shared" si="26"/>
        <v>Error?</v>
      </c>
    </row>
    <row r="1765" spans="1:5" x14ac:dyDescent="0.2">
      <c r="A1765" s="5">
        <v>1704</v>
      </c>
      <c r="B1765" s="138">
        <f>'Tax Sched 23'!D10</f>
        <v>13174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117636</v>
      </c>
      <c r="C1768" s="2" t="s">
        <v>594</v>
      </c>
      <c r="D1768" s="2" t="str">
        <f t="shared" si="26"/>
        <v>Error?</v>
      </c>
    </row>
    <row r="1769" spans="1:5" x14ac:dyDescent="0.2">
      <c r="A1769" s="5">
        <v>1708</v>
      </c>
      <c r="B1769" s="138">
        <f>'Tax Sched 23'!D12</f>
        <v>13174</v>
      </c>
      <c r="C1769" s="2" t="s">
        <v>594</v>
      </c>
      <c r="D1769" s="2" t="str">
        <f t="shared" si="26"/>
        <v>Error?</v>
      </c>
    </row>
    <row r="1770" spans="1:5" x14ac:dyDescent="0.2">
      <c r="A1770" s="5">
        <v>1709</v>
      </c>
      <c r="B1770" s="138">
        <f>'Tax Sched 23'!D14</f>
        <v>10523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1462063</v>
      </c>
      <c r="C1775" s="2" t="s">
        <v>594</v>
      </c>
      <c r="D1775" s="2" t="str">
        <f t="shared" si="26"/>
        <v>Error?</v>
      </c>
    </row>
    <row r="1776" spans="1:5" x14ac:dyDescent="0.2">
      <c r="A1776" s="5">
        <v>1715</v>
      </c>
      <c r="B1776" s="138">
        <f>'Tax Sched 23'!C4</f>
        <v>784992</v>
      </c>
      <c r="D1776" s="2" t="str">
        <f t="shared" si="26"/>
        <v>Error?</v>
      </c>
    </row>
    <row r="1777" spans="1:4" x14ac:dyDescent="0.2">
      <c r="A1777" s="5">
        <v>1716</v>
      </c>
      <c r="B1777" s="138">
        <f>'Tax Sched 23'!C5</f>
        <v>133611</v>
      </c>
      <c r="D1777" s="2" t="str">
        <f t="shared" si="26"/>
        <v>Error?</v>
      </c>
    </row>
    <row r="1778" spans="1:4" x14ac:dyDescent="0.2">
      <c r="A1778" s="5">
        <v>1717</v>
      </c>
      <c r="B1778" s="138">
        <f>'Tax Sched 23'!C6</f>
        <v>240803</v>
      </c>
      <c r="D1778" s="2" t="str">
        <f t="shared" si="26"/>
        <v>Error?</v>
      </c>
    </row>
    <row r="1779" spans="1:4" x14ac:dyDescent="0.2">
      <c r="A1779" s="5">
        <v>1718</v>
      </c>
      <c r="B1779" s="138">
        <f>'Tax Sched 23'!C7</f>
        <v>53461</v>
      </c>
      <c r="D1779" s="2" t="str">
        <f t="shared" si="26"/>
        <v>Error?</v>
      </c>
    </row>
    <row r="1780" spans="1:4" x14ac:dyDescent="0.2">
      <c r="A1780" s="5">
        <v>1719</v>
      </c>
      <c r="B1780" s="138">
        <f>'Tax Sched 23'!C8</f>
        <v>52026</v>
      </c>
      <c r="D1780" s="2" t="str">
        <f t="shared" si="26"/>
        <v>Error?</v>
      </c>
    </row>
    <row r="1781" spans="1:4" x14ac:dyDescent="0.2">
      <c r="A1781" s="5">
        <v>1720</v>
      </c>
      <c r="B1781" s="138">
        <f>'Tax Sched 23'!C10</f>
        <v>13372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116287</v>
      </c>
      <c r="D1784" s="2" t="str">
        <f t="shared" si="26"/>
        <v>Error?</v>
      </c>
    </row>
    <row r="1785" spans="1:4" x14ac:dyDescent="0.2">
      <c r="A1785" s="5">
        <v>1724</v>
      </c>
      <c r="B1785" s="138">
        <f>'Tax Sched 23'!C12</f>
        <v>13372</v>
      </c>
      <c r="D1785" s="2" t="str">
        <f t="shared" si="26"/>
        <v>Error?</v>
      </c>
    </row>
    <row r="1786" spans="1:4" x14ac:dyDescent="0.2">
      <c r="A1786" s="5">
        <v>1725</v>
      </c>
      <c r="B1786" s="138">
        <f>'Tax Sched 23'!C14</f>
        <v>10692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1484014</v>
      </c>
      <c r="C1791" s="2" t="s">
        <v>594</v>
      </c>
      <c r="D1791" s="2" t="str">
        <f t="shared" ref="D1791:D1854" si="27">IF(ISBLANK(B1791),"OK",IF(A1791-B1791=0,"OK","Error?"))</f>
        <v>Error?</v>
      </c>
    </row>
    <row r="1792" spans="1:4" x14ac:dyDescent="0.2">
      <c r="A1792" s="5">
        <v>1731</v>
      </c>
      <c r="B1792" s="138">
        <f>'Tax Sched 23'!F4</f>
        <v>780886</v>
      </c>
      <c r="C1792" s="2" t="s">
        <v>594</v>
      </c>
      <c r="D1792" s="2" t="str">
        <f t="shared" si="27"/>
        <v>Error?</v>
      </c>
    </row>
    <row r="1793" spans="1:4" x14ac:dyDescent="0.2">
      <c r="A1793" s="5">
        <v>1732</v>
      </c>
      <c r="B1793" s="138">
        <f>'Tax Sched 23'!F5</f>
        <v>132912</v>
      </c>
      <c r="C1793" s="2" t="s">
        <v>594</v>
      </c>
      <c r="D1793" s="2" t="str">
        <f t="shared" si="27"/>
        <v>Error?</v>
      </c>
    </row>
    <row r="1794" spans="1:4" x14ac:dyDescent="0.2">
      <c r="A1794" s="5">
        <v>1733</v>
      </c>
      <c r="B1794" s="138">
        <f>'Tax Sched 23'!F6</f>
        <v>239544</v>
      </c>
      <c r="C1794" s="2" t="s">
        <v>594</v>
      </c>
      <c r="D1794" s="2" t="str">
        <f t="shared" si="27"/>
        <v>Error?</v>
      </c>
    </row>
    <row r="1795" spans="1:4" x14ac:dyDescent="0.2">
      <c r="A1795" s="5">
        <v>1734</v>
      </c>
      <c r="B1795" s="138">
        <f>'Tax Sched 23'!F7</f>
        <v>53181</v>
      </c>
      <c r="C1795" s="2" t="s">
        <v>594</v>
      </c>
      <c r="D1795" s="2" t="str">
        <f t="shared" si="27"/>
        <v>Error?</v>
      </c>
    </row>
    <row r="1796" spans="1:4" x14ac:dyDescent="0.2">
      <c r="A1796" s="5">
        <v>1735</v>
      </c>
      <c r="B1796" s="138">
        <f>'Tax Sched 23'!F8</f>
        <v>51754</v>
      </c>
      <c r="C1796" s="2" t="s">
        <v>594</v>
      </c>
      <c r="D1796" s="2" t="str">
        <f t="shared" si="27"/>
        <v>Error?</v>
      </c>
    </row>
    <row r="1797" spans="1:4" x14ac:dyDescent="0.2">
      <c r="A1797" s="5">
        <v>1736</v>
      </c>
      <c r="B1797" s="138">
        <f>'Tax Sched 23'!F10</f>
        <v>13302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115679</v>
      </c>
      <c r="C1800" s="2" t="s">
        <v>594</v>
      </c>
      <c r="D1800" s="2" t="str">
        <f t="shared" si="27"/>
        <v>Error?</v>
      </c>
    </row>
    <row r="1801" spans="1:4" x14ac:dyDescent="0.2">
      <c r="A1801" s="5">
        <v>1740</v>
      </c>
      <c r="B1801" s="138">
        <f>'Tax Sched 23'!F12</f>
        <v>13302</v>
      </c>
      <c r="C1801" s="2" t="s">
        <v>594</v>
      </c>
      <c r="D1801" s="2" t="str">
        <f t="shared" si="27"/>
        <v>Error?</v>
      </c>
    </row>
    <row r="1802" spans="1:4" x14ac:dyDescent="0.2">
      <c r="A1802" s="5">
        <v>1741</v>
      </c>
      <c r="B1802" s="138">
        <f>'Tax Sched 23'!F14</f>
        <v>10636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1476252</v>
      </c>
      <c r="C1807" s="2" t="s">
        <v>594</v>
      </c>
      <c r="D1807" s="2" t="str">
        <f t="shared" si="27"/>
        <v>Error?</v>
      </c>
    </row>
    <row r="1808" spans="1:4" x14ac:dyDescent="0.2">
      <c r="A1808" s="5">
        <v>1747</v>
      </c>
      <c r="B1808" s="138">
        <f>'Tax Sched 23'!E4</f>
        <v>1565878</v>
      </c>
      <c r="D1808" s="2" t="str">
        <f t="shared" si="27"/>
        <v>Error?</v>
      </c>
    </row>
    <row r="1809" spans="1:4" x14ac:dyDescent="0.2">
      <c r="A1809" s="5">
        <v>1748</v>
      </c>
      <c r="B1809" s="138">
        <f>'Tax Sched 23'!E5</f>
        <v>266523</v>
      </c>
      <c r="D1809" s="2" t="str">
        <f t="shared" si="27"/>
        <v>Error?</v>
      </c>
    </row>
    <row r="1810" spans="1:4" x14ac:dyDescent="0.2">
      <c r="A1810" s="5">
        <v>1749</v>
      </c>
      <c r="B1810" s="138">
        <f>'Tax Sched 23'!E6</f>
        <v>480347</v>
      </c>
      <c r="D1810" s="2" t="str">
        <f t="shared" si="27"/>
        <v>Error?</v>
      </c>
    </row>
    <row r="1811" spans="1:4" x14ac:dyDescent="0.2">
      <c r="A1811" s="5">
        <v>1750</v>
      </c>
      <c r="B1811" s="138">
        <f>'Tax Sched 23'!E7</f>
        <v>106642</v>
      </c>
      <c r="D1811" s="2" t="str">
        <f t="shared" si="27"/>
        <v>Error?</v>
      </c>
    </row>
    <row r="1812" spans="1:4" x14ac:dyDescent="0.2">
      <c r="A1812" s="5">
        <v>1751</v>
      </c>
      <c r="B1812" s="138">
        <f>'Tax Sched 23'!E8</f>
        <v>103780</v>
      </c>
      <c r="D1812" s="2" t="str">
        <f t="shared" si="27"/>
        <v>Error?</v>
      </c>
    </row>
    <row r="1813" spans="1:4" x14ac:dyDescent="0.2">
      <c r="A1813" s="5">
        <v>1752</v>
      </c>
      <c r="B1813" s="138">
        <f>'Tax Sched 23'!E10</f>
        <v>26674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231966</v>
      </c>
      <c r="D1816" s="2" t="str">
        <f t="shared" si="27"/>
        <v>Error?</v>
      </c>
    </row>
    <row r="1817" spans="1:4" x14ac:dyDescent="0.2">
      <c r="A1817" s="5">
        <v>1756</v>
      </c>
      <c r="B1817" s="138">
        <f>'Tax Sched 23'!E12</f>
        <v>26674</v>
      </c>
      <c r="D1817" s="2" t="str">
        <f t="shared" si="27"/>
        <v>Error?</v>
      </c>
    </row>
    <row r="1818" spans="1:4" x14ac:dyDescent="0.2">
      <c r="A1818" s="5">
        <v>1757</v>
      </c>
      <c r="B1818" s="138">
        <f>'Tax Sched 23'!E14</f>
        <v>21328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2960266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460000</v>
      </c>
      <c r="C1939" s="2" t="s">
        <v>594</v>
      </c>
      <c r="D1939" s="2" t="str">
        <f t="shared" si="29"/>
        <v>Error?</v>
      </c>
    </row>
    <row r="1940" spans="1:5" x14ac:dyDescent="0.2">
      <c r="A1940" s="5">
        <v>1879</v>
      </c>
      <c r="B1940" s="138">
        <f>'Short-Term Long-Term Debt 24'!F49</f>
        <v>1700000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21218</v>
      </c>
      <c r="D1972" s="2" t="str">
        <f t="shared" si="29"/>
        <v>Error?</v>
      </c>
    </row>
    <row r="1973" spans="1:5" x14ac:dyDescent="0.2">
      <c r="A1973" s="5">
        <v>1912</v>
      </c>
      <c r="B1973" s="138">
        <f>'Rest Tax Levies-Tort Im 25'!H6</f>
        <v>10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21228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21228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5215</v>
      </c>
      <c r="D2008" s="2" t="str">
        <f t="shared" si="30"/>
        <v>Error?</v>
      </c>
    </row>
    <row r="2009" spans="1:4" x14ac:dyDescent="0.2">
      <c r="A2009" s="5">
        <v>1948</v>
      </c>
      <c r="B2009" s="138">
        <f>'Cap Outlay Deprec 26'!C8</f>
        <v>3547564</v>
      </c>
      <c r="D2009" s="2" t="str">
        <f t="shared" si="30"/>
        <v>Error?</v>
      </c>
    </row>
    <row r="2010" spans="1:4" x14ac:dyDescent="0.2">
      <c r="A2010" s="5">
        <v>1949</v>
      </c>
      <c r="B2010" s="138">
        <f>'Cap Outlay Deprec 26'!C10</f>
        <v>415336</v>
      </c>
      <c r="D2010" s="2" t="str">
        <f t="shared" si="30"/>
        <v>Error?</v>
      </c>
    </row>
    <row r="2011" spans="1:4" x14ac:dyDescent="0.2">
      <c r="A2011" s="5">
        <v>1950</v>
      </c>
      <c r="B2011" s="138">
        <f>'Cap Outlay Deprec 26'!C12</f>
        <v>551424</v>
      </c>
      <c r="D2011" s="2" t="str">
        <f t="shared" si="30"/>
        <v>Error?</v>
      </c>
    </row>
    <row r="2012" spans="1:4" x14ac:dyDescent="0.2">
      <c r="A2012" s="5">
        <v>1951</v>
      </c>
      <c r="B2012" s="138">
        <f>'Cap Outlay Deprec 26'!C13</f>
        <v>672817</v>
      </c>
      <c r="D2012" s="2" t="str">
        <f t="shared" si="30"/>
        <v>Error?</v>
      </c>
    </row>
    <row r="2013" spans="1:4" x14ac:dyDescent="0.2">
      <c r="A2013" s="5">
        <v>1952</v>
      </c>
      <c r="B2013" s="138">
        <f>'Cap Outlay Deprec 26'!C16</f>
        <v>5276449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61728</v>
      </c>
      <c r="D2015" s="2" t="str">
        <f t="shared" si="30"/>
        <v>Error?</v>
      </c>
    </row>
    <row r="2016" spans="1:4" x14ac:dyDescent="0.2">
      <c r="A2016" s="5">
        <v>1955</v>
      </c>
      <c r="B2016" s="138">
        <f>'Cap Outlay Deprec 26'!D10</f>
        <v>7841</v>
      </c>
      <c r="D2016" s="2" t="str">
        <f t="shared" si="30"/>
        <v>Error?</v>
      </c>
    </row>
    <row r="2017" spans="1:4" x14ac:dyDescent="0.2">
      <c r="A2017" s="5">
        <v>1956</v>
      </c>
      <c r="B2017" s="138">
        <f>'Cap Outlay Deprec 26'!D12</f>
        <v>81883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152511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138587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138587</v>
      </c>
      <c r="C2025" s="2" t="s">
        <v>594</v>
      </c>
      <c r="D2025" s="2" t="str">
        <f t="shared" si="30"/>
        <v>Error?</v>
      </c>
    </row>
    <row r="2026" spans="1:4" x14ac:dyDescent="0.2">
      <c r="A2026" s="5">
        <v>1965</v>
      </c>
      <c r="B2026" s="138">
        <f>'Cap Outlay Deprec 26'!F5</f>
        <v>5215</v>
      </c>
      <c r="C2026" s="2" t="s">
        <v>594</v>
      </c>
      <c r="D2026" s="2" t="str">
        <f t="shared" si="30"/>
        <v>Error?</v>
      </c>
    </row>
    <row r="2027" spans="1:4" x14ac:dyDescent="0.2">
      <c r="A2027" s="5">
        <v>1966</v>
      </c>
      <c r="B2027" s="138">
        <f>'Cap Outlay Deprec 26'!F8</f>
        <v>3609292</v>
      </c>
      <c r="C2027" s="2" t="s">
        <v>594</v>
      </c>
      <c r="D2027" s="2" t="str">
        <f t="shared" si="30"/>
        <v>Error?</v>
      </c>
    </row>
    <row r="2028" spans="1:4" x14ac:dyDescent="0.2">
      <c r="A2028" s="5">
        <v>1967</v>
      </c>
      <c r="B2028" s="138">
        <f>'Cap Outlay Deprec 26'!F10</f>
        <v>423177</v>
      </c>
      <c r="C2028" s="2" t="s">
        <v>594</v>
      </c>
      <c r="D2028" s="2" t="str">
        <f t="shared" si="30"/>
        <v>Error?</v>
      </c>
    </row>
    <row r="2029" spans="1:4" x14ac:dyDescent="0.2">
      <c r="A2029" s="5">
        <v>1968</v>
      </c>
      <c r="B2029" s="138">
        <f>'Cap Outlay Deprec 26'!F12</f>
        <v>494720</v>
      </c>
      <c r="C2029" s="2" t="s">
        <v>594</v>
      </c>
      <c r="D2029" s="2" t="str">
        <f t="shared" si="30"/>
        <v>Error?</v>
      </c>
    </row>
    <row r="2030" spans="1:4" x14ac:dyDescent="0.2">
      <c r="A2030" s="5">
        <v>1969</v>
      </c>
      <c r="B2030" s="138">
        <f>'Cap Outlay Deprec 26'!F13</f>
        <v>672817</v>
      </c>
      <c r="C2030" s="2" t="s">
        <v>594</v>
      </c>
      <c r="D2030" s="2" t="str">
        <f t="shared" si="30"/>
        <v>Error?</v>
      </c>
    </row>
    <row r="2031" spans="1:4" x14ac:dyDescent="0.2">
      <c r="A2031" s="5">
        <v>1970</v>
      </c>
      <c r="B2031" s="138">
        <f>'Cap Outlay Deprec 26'!F16</f>
        <v>5290373</v>
      </c>
      <c r="C2031" s="2" t="s">
        <v>594</v>
      </c>
      <c r="D2031" s="2" t="str">
        <f t="shared" si="30"/>
        <v>Error?</v>
      </c>
    </row>
    <row r="2032" spans="1:4" x14ac:dyDescent="0.2">
      <c r="A2032" s="10">
        <v>1971</v>
      </c>
      <c r="D2032" s="2" t="str">
        <f t="shared" si="30"/>
        <v>OK</v>
      </c>
    </row>
    <row r="2033" spans="1:4" x14ac:dyDescent="0.2">
      <c r="A2033" s="5">
        <v>1972</v>
      </c>
      <c r="B2033" s="138">
        <f>'Cap Outlay Deprec 26'!H8</f>
        <v>2573850</v>
      </c>
      <c r="D2033" s="2" t="str">
        <f t="shared" si="30"/>
        <v>Error?</v>
      </c>
    </row>
    <row r="2034" spans="1:4" x14ac:dyDescent="0.2">
      <c r="A2034" s="5">
        <v>1973</v>
      </c>
      <c r="B2034" s="138">
        <f>'Cap Outlay Deprec 26'!H10</f>
        <v>182469</v>
      </c>
      <c r="D2034" s="2" t="str">
        <f t="shared" si="30"/>
        <v>Error?</v>
      </c>
    </row>
    <row r="2035" spans="1:4" x14ac:dyDescent="0.2">
      <c r="A2035" s="5">
        <v>1974</v>
      </c>
      <c r="B2035" s="138">
        <f>'Cap Outlay Deprec 26'!H12</f>
        <v>370073</v>
      </c>
      <c r="D2035" s="2" t="str">
        <f t="shared" si="30"/>
        <v>Error?</v>
      </c>
    </row>
    <row r="2036" spans="1:4" x14ac:dyDescent="0.2">
      <c r="A2036" s="5">
        <v>1975</v>
      </c>
      <c r="B2036" s="138">
        <f>'Cap Outlay Deprec 26'!H13</f>
        <v>672817</v>
      </c>
      <c r="D2036" s="2" t="str">
        <f t="shared" si="30"/>
        <v>Error?</v>
      </c>
    </row>
    <row r="2037" spans="1:4" x14ac:dyDescent="0.2">
      <c r="A2037" s="5">
        <v>1976</v>
      </c>
      <c r="B2037" s="138">
        <f>'Cap Outlay Deprec 26'!H16</f>
        <v>3883302</v>
      </c>
      <c r="C2037" s="2" t="s">
        <v>594</v>
      </c>
      <c r="D2037" s="2" t="str">
        <f t="shared" si="30"/>
        <v>Error?</v>
      </c>
    </row>
    <row r="2038" spans="1:4" x14ac:dyDescent="0.2">
      <c r="A2038" s="10">
        <v>1977</v>
      </c>
      <c r="D2038" s="2" t="str">
        <f t="shared" si="30"/>
        <v>OK</v>
      </c>
    </row>
    <row r="2039" spans="1:4" x14ac:dyDescent="0.2">
      <c r="A2039" s="5">
        <v>1978</v>
      </c>
      <c r="B2039" s="138">
        <f>'Cap Outlay Deprec 26'!I8</f>
        <v>33119</v>
      </c>
      <c r="D2039" s="2" t="str">
        <f t="shared" si="30"/>
        <v>Error?</v>
      </c>
    </row>
    <row r="2040" spans="1:4" x14ac:dyDescent="0.2">
      <c r="A2040" s="5">
        <v>1979</v>
      </c>
      <c r="B2040" s="138">
        <f>'Cap Outlay Deprec 26'!I10</f>
        <v>19603</v>
      </c>
      <c r="D2040" s="2" t="str">
        <f t="shared" si="30"/>
        <v>Error?</v>
      </c>
    </row>
    <row r="2041" spans="1:4" x14ac:dyDescent="0.2">
      <c r="A2041" s="5">
        <v>1980</v>
      </c>
      <c r="B2041" s="138">
        <f>'Cap Outlay Deprec 26'!I12</f>
        <v>49471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102546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138587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138587</v>
      </c>
      <c r="C2049" s="2" t="s">
        <v>594</v>
      </c>
      <c r="D2049" s="2" t="str">
        <f t="shared" si="31"/>
        <v>Error?</v>
      </c>
    </row>
    <row r="2050" spans="1:4" x14ac:dyDescent="0.2">
      <c r="A2050" s="10">
        <v>1989</v>
      </c>
      <c r="D2050" s="2" t="str">
        <f t="shared" si="31"/>
        <v>OK</v>
      </c>
    </row>
    <row r="2051" spans="1:4" x14ac:dyDescent="0.2">
      <c r="A2051" s="5">
        <v>1990</v>
      </c>
      <c r="B2051" s="138">
        <f>'Cap Outlay Deprec 26'!K8</f>
        <v>2606969</v>
      </c>
      <c r="C2051" s="2" t="s">
        <v>594</v>
      </c>
      <c r="D2051" s="2" t="str">
        <f t="shared" si="31"/>
        <v>Error?</v>
      </c>
    </row>
    <row r="2052" spans="1:4" x14ac:dyDescent="0.2">
      <c r="A2052" s="5">
        <v>1991</v>
      </c>
      <c r="B2052" s="138">
        <f>'Cap Outlay Deprec 26'!K10</f>
        <v>202072</v>
      </c>
      <c r="C2052" s="2" t="s">
        <v>594</v>
      </c>
      <c r="D2052" s="2" t="str">
        <f t="shared" si="31"/>
        <v>Error?</v>
      </c>
    </row>
    <row r="2053" spans="1:4" x14ac:dyDescent="0.2">
      <c r="A2053" s="5">
        <v>1992</v>
      </c>
      <c r="B2053" s="138">
        <f>'Cap Outlay Deprec 26'!K12</f>
        <v>280957</v>
      </c>
      <c r="C2053" s="2" t="s">
        <v>594</v>
      </c>
      <c r="D2053" s="2" t="str">
        <f t="shared" si="31"/>
        <v>Error?</v>
      </c>
    </row>
    <row r="2054" spans="1:4" x14ac:dyDescent="0.2">
      <c r="A2054" s="5">
        <v>1993</v>
      </c>
      <c r="B2054" s="138">
        <f>'Cap Outlay Deprec 26'!K13</f>
        <v>672817</v>
      </c>
      <c r="C2054" s="2" t="s">
        <v>594</v>
      </c>
      <c r="D2054" s="2" t="str">
        <f t="shared" si="31"/>
        <v>Error?</v>
      </c>
    </row>
    <row r="2055" spans="1:4" x14ac:dyDescent="0.2">
      <c r="A2055" s="5">
        <v>1994</v>
      </c>
      <c r="B2055" s="138">
        <f>'Cap Outlay Deprec 26'!K16</f>
        <v>3847261</v>
      </c>
      <c r="C2055" s="2" t="s">
        <v>594</v>
      </c>
      <c r="D2055" s="2" t="str">
        <f t="shared" si="31"/>
        <v>Error?</v>
      </c>
    </row>
    <row r="2056" spans="1:4" x14ac:dyDescent="0.2">
      <c r="A2056" s="5">
        <v>1995</v>
      </c>
      <c r="B2056" s="138">
        <f>'Cap Outlay Deprec 26'!L5</f>
        <v>5215</v>
      </c>
      <c r="C2056" s="2" t="s">
        <v>594</v>
      </c>
      <c r="D2056" s="2" t="str">
        <f t="shared" si="31"/>
        <v>Error?</v>
      </c>
    </row>
    <row r="2057" spans="1:4" x14ac:dyDescent="0.2">
      <c r="A2057" s="5">
        <v>1996</v>
      </c>
      <c r="B2057" s="138">
        <f>'Cap Outlay Deprec 26'!L8</f>
        <v>1002323</v>
      </c>
      <c r="C2057" s="2" t="s">
        <v>594</v>
      </c>
      <c r="D2057" s="2" t="str">
        <f t="shared" si="31"/>
        <v>Error?</v>
      </c>
    </row>
    <row r="2058" spans="1:4" x14ac:dyDescent="0.2">
      <c r="A2058" s="5">
        <v>1997</v>
      </c>
      <c r="B2058" s="138">
        <f>'Cap Outlay Deprec 26'!L10</f>
        <v>221105</v>
      </c>
      <c r="C2058" s="2" t="s">
        <v>594</v>
      </c>
      <c r="D2058" s="2" t="str">
        <f t="shared" si="31"/>
        <v>Error?</v>
      </c>
    </row>
    <row r="2059" spans="1:4" x14ac:dyDescent="0.2">
      <c r="A2059" s="5">
        <v>1998</v>
      </c>
      <c r="B2059" s="138">
        <f>'Cap Outlay Deprec 26'!L12</f>
        <v>213763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1443112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41150</v>
      </c>
      <c r="C2088" s="2" t="s">
        <v>594</v>
      </c>
      <c r="D2088" s="2" t="str">
        <f t="shared" si="31"/>
        <v>Error?</v>
      </c>
    </row>
    <row r="2089" spans="1:4" x14ac:dyDescent="0.2">
      <c r="A2089" s="5">
        <v>2028</v>
      </c>
      <c r="B2089" s="138">
        <f>'Expenditures 15-22'!K92</f>
        <v>145243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13203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117029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279444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1849714</v>
      </c>
      <c r="C2551" s="2" t="s">
        <v>594</v>
      </c>
      <c r="D2551" s="2" t="str">
        <f t="shared" si="38"/>
        <v>Error?</v>
      </c>
    </row>
    <row r="2552" spans="1:4" x14ac:dyDescent="0.2">
      <c r="A2552" s="10">
        <v>2491</v>
      </c>
      <c r="D2552" s="2" t="str">
        <f t="shared" si="38"/>
        <v>OK</v>
      </c>
    </row>
    <row r="2553" spans="1:4" x14ac:dyDescent="0.2">
      <c r="A2553" s="5">
        <v>2492</v>
      </c>
      <c r="B2553" s="138">
        <f>'Acct Summary 7-8'!C6</f>
        <v>942343</v>
      </c>
      <c r="C2553" s="2" t="s">
        <v>594</v>
      </c>
      <c r="D2553" s="2" t="str">
        <f t="shared" si="38"/>
        <v>Error?</v>
      </c>
    </row>
    <row r="2554" spans="1:4" x14ac:dyDescent="0.2">
      <c r="A2554" s="5">
        <v>2493</v>
      </c>
      <c r="B2554" s="138">
        <f>'Acct Summary 7-8'!C7</f>
        <v>175917</v>
      </c>
      <c r="C2554" s="2" t="s">
        <v>594</v>
      </c>
      <c r="D2554" s="2" t="str">
        <f t="shared" si="38"/>
        <v>Error?</v>
      </c>
    </row>
    <row r="2555" spans="1:4" x14ac:dyDescent="0.2">
      <c r="A2555" s="5">
        <v>2494</v>
      </c>
      <c r="B2555" s="138">
        <f>'Acct Summary 7-8'!C8</f>
        <v>2967974</v>
      </c>
      <c r="C2555" s="2" t="s">
        <v>594</v>
      </c>
      <c r="D2555" s="2" t="str">
        <f t="shared" si="38"/>
        <v>Error?</v>
      </c>
    </row>
    <row r="2556" spans="1:4" x14ac:dyDescent="0.2">
      <c r="A2556" s="5">
        <v>2495</v>
      </c>
      <c r="B2556" s="138">
        <f>'Acct Summary 7-8'!C12</f>
        <v>2141930</v>
      </c>
      <c r="C2556" s="2" t="s">
        <v>594</v>
      </c>
      <c r="D2556" s="2" t="str">
        <f t="shared" si="38"/>
        <v>Error?</v>
      </c>
    </row>
    <row r="2557" spans="1:4" x14ac:dyDescent="0.2">
      <c r="A2557" s="5">
        <v>2496</v>
      </c>
      <c r="B2557" s="138">
        <f>'Acct Summary 7-8'!C13</f>
        <v>706158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186393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3034481</v>
      </c>
      <c r="C2561" s="2" t="s">
        <v>594</v>
      </c>
      <c r="D2561" s="2" t="str">
        <f t="shared" si="39"/>
        <v>Error?</v>
      </c>
    </row>
    <row r="2562" spans="1:4" x14ac:dyDescent="0.2">
      <c r="A2562" s="5">
        <v>2501</v>
      </c>
      <c r="B2562" s="138">
        <f>'Acct Summary 7-8'!C20</f>
        <v>-66507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295706</v>
      </c>
      <c r="C2564" s="2" t="s">
        <v>594</v>
      </c>
      <c r="D2564" s="2" t="str">
        <f t="shared" si="39"/>
        <v>Error?</v>
      </c>
    </row>
    <row r="2565" spans="1:4" x14ac:dyDescent="0.2">
      <c r="A2565" s="10">
        <v>2504</v>
      </c>
      <c r="D2565" s="2" t="str">
        <f t="shared" si="39"/>
        <v>OK</v>
      </c>
    </row>
    <row r="2566" spans="1:4" x14ac:dyDescent="0.2">
      <c r="A2566" s="5">
        <v>2505</v>
      </c>
      <c r="B2566" s="138">
        <f>'Acct Summary 7-8'!D6</f>
        <v>40000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335706</v>
      </c>
      <c r="C2568" s="2" t="s">
        <v>594</v>
      </c>
      <c r="D2568" s="2" t="str">
        <f t="shared" si="39"/>
        <v>Error?</v>
      </c>
    </row>
    <row r="2569" spans="1:4" x14ac:dyDescent="0.2">
      <c r="A2569" s="5">
        <v>2508</v>
      </c>
      <c r="B2569" s="138">
        <f>'Acct Summary 7-8'!D13</f>
        <v>335904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335904</v>
      </c>
      <c r="C2573" s="2" t="s">
        <v>594</v>
      </c>
      <c r="D2573" s="2" t="str">
        <f t="shared" si="39"/>
        <v>Error?</v>
      </c>
    </row>
    <row r="2574" spans="1:4" x14ac:dyDescent="0.2">
      <c r="A2574" s="5">
        <v>2513</v>
      </c>
      <c r="B2574" s="138">
        <f>'Acct Summary 7-8'!D20</f>
        <v>-198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106867</v>
      </c>
      <c r="C2591" s="2" t="s">
        <v>594</v>
      </c>
      <c r="D2591" s="2" t="str">
        <f t="shared" si="39"/>
        <v>Error?</v>
      </c>
    </row>
    <row r="2592" spans="1:4" x14ac:dyDescent="0.2">
      <c r="A2592" s="10">
        <v>2531</v>
      </c>
      <c r="D2592" s="2" t="str">
        <f t="shared" si="39"/>
        <v>OK</v>
      </c>
    </row>
    <row r="2593" spans="1:4" x14ac:dyDescent="0.2">
      <c r="A2593" s="5">
        <v>2532</v>
      </c>
      <c r="B2593" s="138">
        <f>'Acct Summary 7-8'!F6</f>
        <v>128021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234888</v>
      </c>
      <c r="C2595" s="2" t="s">
        <v>594</v>
      </c>
      <c r="D2595" s="2" t="str">
        <f t="shared" si="39"/>
        <v>Error?</v>
      </c>
    </row>
    <row r="2596" spans="1:4" x14ac:dyDescent="0.2">
      <c r="A2596" s="5">
        <v>2535</v>
      </c>
      <c r="B2596" s="138">
        <f>'Acct Summary 7-8'!F13</f>
        <v>237895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237895</v>
      </c>
      <c r="C2600" s="2" t="s">
        <v>594</v>
      </c>
      <c r="D2600" s="2" t="str">
        <f t="shared" si="39"/>
        <v>Error?</v>
      </c>
    </row>
    <row r="2601" spans="1:4" x14ac:dyDescent="0.2">
      <c r="A2601" s="5">
        <v>2540</v>
      </c>
      <c r="B2601" s="138">
        <f>'Acct Summary 7-8'!F20</f>
        <v>-3007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221616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221616</v>
      </c>
      <c r="C2606" s="2" t="s">
        <v>594</v>
      </c>
      <c r="D2606" s="2" t="str">
        <f t="shared" si="39"/>
        <v>Error?</v>
      </c>
    </row>
    <row r="2607" spans="1:4" x14ac:dyDescent="0.2">
      <c r="A2607" s="5">
        <v>2546</v>
      </c>
      <c r="B2607" s="138">
        <f>'Acct Summary 7-8'!G12</f>
        <v>39317</v>
      </c>
      <c r="C2607" s="2" t="s">
        <v>594</v>
      </c>
      <c r="D2607" s="2" t="str">
        <f t="shared" si="39"/>
        <v>Error?</v>
      </c>
    </row>
    <row r="2608" spans="1:4" x14ac:dyDescent="0.2">
      <c r="A2608" s="5">
        <v>2547</v>
      </c>
      <c r="B2608" s="138">
        <f>'Acct Summary 7-8'!G13</f>
        <v>97074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140051</v>
      </c>
      <c r="C2612" s="2" t="s">
        <v>594</v>
      </c>
      <c r="D2612" s="2" t="str">
        <f t="shared" si="39"/>
        <v>Error?</v>
      </c>
    </row>
    <row r="2613" spans="1:4" x14ac:dyDescent="0.2">
      <c r="A2613" s="5">
        <v>2552</v>
      </c>
      <c r="B2613" s="138">
        <f>'Acct Summary 7-8'!G20</f>
        <v>81565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483375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483375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484477</v>
      </c>
      <c r="C2634" s="2" t="s">
        <v>594</v>
      </c>
      <c r="D2634" s="2" t="str">
        <f t="shared" si="40"/>
        <v>Error?</v>
      </c>
    </row>
    <row r="2635" spans="1:4" x14ac:dyDescent="0.2">
      <c r="A2635" s="5">
        <v>2574</v>
      </c>
      <c r="B2635" s="138">
        <f>'Acct Summary 7-8'!E17</f>
        <v>484477</v>
      </c>
      <c r="C2635" s="2" t="s">
        <v>594</v>
      </c>
      <c r="D2635" s="2" t="str">
        <f t="shared" si="40"/>
        <v>Error?</v>
      </c>
    </row>
    <row r="2636" spans="1:4" x14ac:dyDescent="0.2">
      <c r="A2636" s="5">
        <v>2575</v>
      </c>
      <c r="B2636" s="138">
        <f>'Acct Summary 7-8'!E20</f>
        <v>-1102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104363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104363</v>
      </c>
      <c r="C2658" s="2" t="s">
        <v>594</v>
      </c>
      <c r="D2658" s="2" t="str">
        <f t="shared" si="40"/>
        <v>Error?</v>
      </c>
    </row>
    <row r="2659" spans="1:4" x14ac:dyDescent="0.2">
      <c r="A2659" s="5">
        <v>2598</v>
      </c>
      <c r="B2659" s="138">
        <f>'Acct Summary 7-8'!H13</f>
        <v>60812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60812</v>
      </c>
      <c r="C2661" s="2" t="s">
        <v>594</v>
      </c>
      <c r="D2661" s="2" t="str">
        <f t="shared" si="40"/>
        <v>Error?</v>
      </c>
    </row>
    <row r="2662" spans="1:4" x14ac:dyDescent="0.2">
      <c r="A2662" s="5">
        <v>2601</v>
      </c>
      <c r="B2662" s="138">
        <f>'Acct Summary 7-8'!H20</f>
        <v>43551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41150</v>
      </c>
      <c r="C2789" s="2" t="s">
        <v>594</v>
      </c>
      <c r="D2789" s="2" t="str">
        <f t="shared" si="42"/>
        <v>Error?</v>
      </c>
    </row>
    <row r="2790" spans="1:4" x14ac:dyDescent="0.2">
      <c r="A2790" s="5">
        <v>2729</v>
      </c>
      <c r="B2790" s="138">
        <f>'Expenditures 15-22'!E102</f>
        <v>41150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1805079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214363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316771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1805079</v>
      </c>
      <c r="D2912" s="2" t="str">
        <f t="shared" si="44"/>
        <v>Error?</v>
      </c>
    </row>
    <row r="2913" spans="1:4" x14ac:dyDescent="0.2">
      <c r="A2913" s="5">
        <v>2852</v>
      </c>
      <c r="B2913" s="138">
        <f>'Assets-Liab 5-6'!I41</f>
        <v>1805079</v>
      </c>
      <c r="C2913" s="2" t="s">
        <v>594</v>
      </c>
      <c r="D2913" s="2" t="str">
        <f t="shared" si="44"/>
        <v>Error?</v>
      </c>
    </row>
    <row r="2914" spans="1:4" x14ac:dyDescent="0.2">
      <c r="A2914" s="5">
        <v>2853</v>
      </c>
      <c r="B2914" s="138">
        <f>'Assets-Liab 5-6'!L33</f>
        <v>108807</v>
      </c>
      <c r="D2914" s="2" t="str">
        <f t="shared" si="44"/>
        <v>Error?</v>
      </c>
    </row>
    <row r="2915" spans="1:4" x14ac:dyDescent="0.2">
      <c r="A2915" s="10">
        <v>2854</v>
      </c>
      <c r="D2915" s="2" t="str">
        <f t="shared" si="44"/>
        <v>OK</v>
      </c>
    </row>
    <row r="2916" spans="1:4" x14ac:dyDescent="0.2">
      <c r="A2916" s="5">
        <v>2855</v>
      </c>
      <c r="B2916" s="138">
        <f>'Assets-Liab 5-6'!L34</f>
        <v>108807</v>
      </c>
      <c r="C2916" s="2" t="s">
        <v>594</v>
      </c>
      <c r="D2916" s="2" t="str">
        <f t="shared" si="44"/>
        <v>Error?</v>
      </c>
    </row>
    <row r="2917" spans="1:4" x14ac:dyDescent="0.2">
      <c r="A2917" s="5">
        <v>2856</v>
      </c>
      <c r="B2917" s="138">
        <f>'Assets-Liab 5-6'!L41</f>
        <v>316771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37394</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3756</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37394</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3756</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57994</v>
      </c>
      <c r="D3055" s="2" t="str">
        <f t="shared" si="46"/>
        <v>Error?</v>
      </c>
    </row>
    <row r="3056" spans="1:4" x14ac:dyDescent="0.2">
      <c r="A3056" s="5">
        <v>2995</v>
      </c>
      <c r="B3056" s="138">
        <f>'Expenditures 15-22'!D10</f>
        <v>14498</v>
      </c>
      <c r="D3056" s="2" t="str">
        <f t="shared" si="46"/>
        <v>Error?</v>
      </c>
    </row>
    <row r="3057" spans="1:4" x14ac:dyDescent="0.2">
      <c r="A3057" s="5">
        <v>2996</v>
      </c>
      <c r="B3057" s="138">
        <f>'Expenditures 15-22'!E10</f>
        <v>200</v>
      </c>
      <c r="D3057" s="2" t="str">
        <f t="shared" si="46"/>
        <v>Error?</v>
      </c>
    </row>
    <row r="3058" spans="1:4" x14ac:dyDescent="0.2">
      <c r="A3058" s="5">
        <v>2997</v>
      </c>
      <c r="B3058" s="138">
        <f>'Expenditures 15-22'!F10</f>
        <v>27713</v>
      </c>
      <c r="D3058" s="2" t="str">
        <f t="shared" si="46"/>
        <v>Error?</v>
      </c>
    </row>
    <row r="3059" spans="1:4" x14ac:dyDescent="0.2">
      <c r="A3059" s="5">
        <v>2998</v>
      </c>
      <c r="B3059" s="138">
        <f>'Expenditures 15-22'!G10</f>
        <v>1653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102058</v>
      </c>
      <c r="C3062" s="2" t="s">
        <v>594</v>
      </c>
      <c r="D3062" s="2" t="str">
        <f t="shared" si="46"/>
        <v>Error?</v>
      </c>
    </row>
    <row r="3063" spans="1:4" x14ac:dyDescent="0.2">
      <c r="A3063" s="10">
        <v>3002</v>
      </c>
      <c r="D3063" s="2" t="str">
        <f t="shared" si="46"/>
        <v>OK</v>
      </c>
    </row>
    <row r="3064" spans="1:4" x14ac:dyDescent="0.2">
      <c r="A3064" s="5">
        <v>3003</v>
      </c>
      <c r="B3064" s="138">
        <f>'Expenditures 15-22'!D219</f>
        <v>815</v>
      </c>
      <c r="D3064" s="2" t="str">
        <f t="shared" si="46"/>
        <v>Error?</v>
      </c>
    </row>
    <row r="3065" spans="1:4" x14ac:dyDescent="0.2">
      <c r="A3065" s="5">
        <v>3004</v>
      </c>
      <c r="B3065" s="138">
        <f>'Expenditures 15-22'!K219</f>
        <v>815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207964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28846</v>
      </c>
      <c r="C3225" s="2" t="s">
        <v>594</v>
      </c>
      <c r="D3225" s="2" t="str">
        <f t="shared" si="49"/>
        <v>Error?</v>
      </c>
    </row>
    <row r="3226" spans="1:4" x14ac:dyDescent="0.2">
      <c r="A3226" s="5">
        <v>3165</v>
      </c>
      <c r="B3226" s="138">
        <f>'Acct Summary 7-8'!I8</f>
        <v>28846</v>
      </c>
      <c r="C3226" s="2" t="s">
        <v>594</v>
      </c>
      <c r="D3226" s="2" t="str">
        <f t="shared" si="49"/>
        <v>Error?</v>
      </c>
    </row>
    <row r="3227" spans="1:4" x14ac:dyDescent="0.2">
      <c r="A3227" s="5">
        <v>3166</v>
      </c>
      <c r="B3227" s="138">
        <f>'Acct Summary 7-8'!I20</f>
        <v>28846</v>
      </c>
      <c r="C3227" s="2" t="s">
        <v>594</v>
      </c>
      <c r="D3227" s="2" t="str">
        <f t="shared" si="49"/>
        <v>Error?</v>
      </c>
    </row>
    <row r="3228" spans="1:4" x14ac:dyDescent="0.2">
      <c r="A3228" s="5">
        <v>3167</v>
      </c>
      <c r="B3228" s="138">
        <f>'Acct Summary 7-8'!C43</f>
        <v>40275</v>
      </c>
      <c r="D3228" s="2" t="str">
        <f t="shared" si="49"/>
        <v>Error?</v>
      </c>
    </row>
    <row r="3229" spans="1:4" x14ac:dyDescent="0.2">
      <c r="A3229" s="5">
        <v>3168</v>
      </c>
      <c r="B3229" s="138">
        <f>'Acct Summary 7-8'!C44</f>
        <v>840275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14127</v>
      </c>
      <c r="C3231" s="2" t="s">
        <v>594</v>
      </c>
      <c r="D3231" s="2" t="str">
        <f t="shared" si="49"/>
        <v>Error?</v>
      </c>
    </row>
    <row r="3232" spans="1:4" x14ac:dyDescent="0.2">
      <c r="A3232" s="5">
        <v>3171</v>
      </c>
      <c r="B3232" s="138">
        <f>'Acct Summary 7-8'!C77</f>
        <v>826148</v>
      </c>
      <c r="C3232" s="2" t="s">
        <v>594</v>
      </c>
      <c r="D3232" s="2" t="str">
        <f t="shared" si="49"/>
        <v>Error?</v>
      </c>
    </row>
    <row r="3233" spans="1:4" x14ac:dyDescent="0.2">
      <c r="A3233" s="5">
        <v>3172</v>
      </c>
      <c r="B3233" s="138">
        <f>'Acct Summary 7-8'!C78</f>
        <v>759641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5600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5600</v>
      </c>
      <c r="C3255" s="2" t="s">
        <v>594</v>
      </c>
      <c r="D3255" s="2" t="str">
        <f t="shared" si="49"/>
        <v>Error?</v>
      </c>
    </row>
    <row r="3256" spans="1:4" x14ac:dyDescent="0.2">
      <c r="A3256" s="5">
        <v>3195</v>
      </c>
      <c r="B3256" s="138">
        <f>'Acct Summary 7-8'!F78</f>
        <v>2593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81565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14127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14127</v>
      </c>
      <c r="C3277" s="2" t="s">
        <v>594</v>
      </c>
      <c r="D3277" s="2" t="str">
        <f t="shared" si="50"/>
        <v>Error?</v>
      </c>
    </row>
    <row r="3278" spans="1:4" x14ac:dyDescent="0.2">
      <c r="A3278" s="5">
        <v>3217</v>
      </c>
      <c r="B3278" s="138">
        <f>'Acct Summary 7-8'!E78</f>
        <v>13025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43551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1700000</v>
      </c>
      <c r="C3317" s="2" t="s">
        <v>594</v>
      </c>
      <c r="D3317" s="2" t="str">
        <f t="shared" si="50"/>
        <v>Error?</v>
      </c>
    </row>
    <row r="3318" spans="1:4" x14ac:dyDescent="0.2">
      <c r="A3318" s="5">
        <v>3257</v>
      </c>
      <c r="B3318" s="138">
        <f>'Acct Summary 7-8'!I76</f>
        <v>800000</v>
      </c>
      <c r="C3318" s="2" t="s">
        <v>594</v>
      </c>
      <c r="D3318" s="2" t="str">
        <f t="shared" si="50"/>
        <v>Error?</v>
      </c>
    </row>
    <row r="3319" spans="1:4" x14ac:dyDescent="0.2">
      <c r="A3319" s="5">
        <v>3258</v>
      </c>
      <c r="B3319" s="138">
        <f>'Acct Summary 7-8'!I77</f>
        <v>900000</v>
      </c>
      <c r="C3319" s="2" t="s">
        <v>594</v>
      </c>
      <c r="D3319" s="2" t="str">
        <f t="shared" si="50"/>
        <v>Error?</v>
      </c>
    </row>
    <row r="3320" spans="1:4" x14ac:dyDescent="0.2">
      <c r="A3320" s="5">
        <v>3259</v>
      </c>
      <c r="B3320" s="138">
        <f>'Acct Summary 7-8'!I78</f>
        <v>928846</v>
      </c>
      <c r="C3320" s="2" t="s">
        <v>594</v>
      </c>
      <c r="D3320" s="2" t="str">
        <f t="shared" si="50"/>
        <v>Error?</v>
      </c>
    </row>
    <row r="3321" spans="1:4" x14ac:dyDescent="0.2">
      <c r="A3321" s="5">
        <v>3260</v>
      </c>
      <c r="B3321" s="138">
        <f>'Acct Summary 7-8'!I79</f>
        <v>876233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1805079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164304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36614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200960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15463</v>
      </c>
      <c r="D3387" s="2" t="str">
        <f t="shared" si="51"/>
        <v>Error?</v>
      </c>
    </row>
    <row r="3388" spans="1:4" x14ac:dyDescent="0.2">
      <c r="A3388" s="5">
        <v>3327</v>
      </c>
      <c r="B3388" s="138">
        <f>'Expenditures 15-22'!D217</f>
        <v>14851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15463</v>
      </c>
      <c r="C3390" s="2" t="s">
        <v>594</v>
      </c>
      <c r="D3390" s="2" t="str">
        <f t="shared" si="51"/>
        <v>Error?</v>
      </c>
    </row>
    <row r="3391" spans="1:4" x14ac:dyDescent="0.2">
      <c r="A3391" s="5">
        <v>3330</v>
      </c>
      <c r="B3391" s="138">
        <f>'Expenditures 15-22'!K217</f>
        <v>14851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1900333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183183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266651</v>
      </c>
      <c r="D3417" s="2" t="str">
        <f t="shared" si="52"/>
        <v>Error?</v>
      </c>
    </row>
    <row r="3418" spans="1:4" x14ac:dyDescent="0.2">
      <c r="A3418" s="10">
        <v>3357</v>
      </c>
      <c r="D3418" s="2" t="str">
        <f t="shared" si="52"/>
        <v>OK</v>
      </c>
    </row>
    <row r="3419" spans="1:4" x14ac:dyDescent="0.2">
      <c r="A3419" s="5">
        <v>3358</v>
      </c>
      <c r="B3419" s="138">
        <f>'Assets-Liab 5-6'!F4</f>
        <v>226358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236067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279444</v>
      </c>
      <c r="D3425" s="2" t="str">
        <f t="shared" si="52"/>
        <v>Error?</v>
      </c>
    </row>
    <row r="3426" spans="1:4" x14ac:dyDescent="0.2">
      <c r="A3426" s="10">
        <v>3365</v>
      </c>
      <c r="D3426" s="2" t="str">
        <f t="shared" si="52"/>
        <v>OK</v>
      </c>
    </row>
    <row r="3427" spans="1:4" x14ac:dyDescent="0.2">
      <c r="A3427" s="5">
        <v>3366</v>
      </c>
      <c r="B3427" s="138">
        <f>'Assets-Liab 5-6'!I4</f>
        <v>1805079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102408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104642</v>
      </c>
      <c r="C3446" s="2" t="s">
        <v>594</v>
      </c>
      <c r="D3446" s="2" t="str">
        <f t="shared" si="52"/>
        <v>Error?</v>
      </c>
    </row>
    <row r="3447" spans="1:4" x14ac:dyDescent="0.2">
      <c r="A3447" s="5">
        <v>3386</v>
      </c>
      <c r="B3447" s="138">
        <f>'Tax Sched 23'!D16</f>
        <v>52616</v>
      </c>
      <c r="C3447" s="2" t="s">
        <v>594</v>
      </c>
      <c r="D3447" s="2" t="str">
        <f t="shared" si="52"/>
        <v>Error?</v>
      </c>
    </row>
    <row r="3448" spans="1:4" x14ac:dyDescent="0.2">
      <c r="A3448" s="5">
        <v>3387</v>
      </c>
      <c r="B3448" s="138">
        <f>'Tax Sched 23'!C16</f>
        <v>52026</v>
      </c>
      <c r="D3448" s="2" t="str">
        <f t="shared" si="52"/>
        <v>Error?</v>
      </c>
    </row>
    <row r="3449" spans="1:4" x14ac:dyDescent="0.2">
      <c r="A3449" s="5">
        <v>3388</v>
      </c>
      <c r="B3449" s="138">
        <f>'Tax Sched 23'!F16</f>
        <v>51754</v>
      </c>
      <c r="C3449" s="2" t="s">
        <v>594</v>
      </c>
      <c r="D3449" s="2" t="str">
        <f t="shared" si="52"/>
        <v>Error?</v>
      </c>
    </row>
    <row r="3450" spans="1:4" x14ac:dyDescent="0.2">
      <c r="A3450" s="5">
        <v>3389</v>
      </c>
      <c r="B3450" s="138">
        <f>'Tax Sched 23'!E16</f>
        <v>103780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5600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216898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216898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216898</v>
      </c>
      <c r="D3567" s="2" t="str">
        <f t="shared" si="54"/>
        <v>Error?</v>
      </c>
    </row>
    <row r="3568" spans="1:4" x14ac:dyDescent="0.2">
      <c r="A3568" s="5">
        <v>3507</v>
      </c>
      <c r="B3568" s="138">
        <f>'Assets-Liab 5-6'!K41</f>
        <v>216898</v>
      </c>
      <c r="C3568" s="2" t="s">
        <v>594</v>
      </c>
      <c r="D3568" s="2" t="str">
        <f t="shared" si="54"/>
        <v>Error?</v>
      </c>
    </row>
    <row r="3569" spans="1:4" x14ac:dyDescent="0.2">
      <c r="A3569" s="5">
        <v>3508</v>
      </c>
      <c r="B3569" s="138">
        <f>'Acct Summary 7-8'!K4</f>
        <v>27063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27063</v>
      </c>
      <c r="C3571" s="2" t="s">
        <v>594</v>
      </c>
      <c r="D3571" s="2" t="str">
        <f t="shared" si="54"/>
        <v>Error?</v>
      </c>
    </row>
    <row r="3572" spans="1:4" x14ac:dyDescent="0.2">
      <c r="A3572" s="5">
        <v>3511</v>
      </c>
      <c r="B3572" s="138">
        <f>'Acct Summary 7-8'!K13</f>
        <v>6679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6679</v>
      </c>
      <c r="C3575" s="2" t="s">
        <v>594</v>
      </c>
      <c r="D3575" s="2" t="str">
        <f t="shared" si="54"/>
        <v>Error?</v>
      </c>
    </row>
    <row r="3576" spans="1:4" x14ac:dyDescent="0.2">
      <c r="A3576" s="5">
        <v>3515</v>
      </c>
      <c r="B3576" s="138">
        <f>'Acct Summary 7-8'!K20</f>
        <v>20384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20384</v>
      </c>
      <c r="C3588" s="2" t="s">
        <v>594</v>
      </c>
      <c r="D3588" s="2" t="str">
        <f t="shared" si="55"/>
        <v>Error?</v>
      </c>
    </row>
    <row r="3589" spans="1:4" x14ac:dyDescent="0.2">
      <c r="A3589" s="5">
        <v>3528</v>
      </c>
      <c r="B3589" s="138">
        <f>'Acct Summary 7-8'!K79</f>
        <v>196514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216898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6679</v>
      </c>
      <c r="D3646" s="2" t="str">
        <f t="shared" si="55"/>
        <v>Error?</v>
      </c>
    </row>
    <row r="3647" spans="1:4" x14ac:dyDescent="0.2">
      <c r="A3647" s="5">
        <v>3586</v>
      </c>
      <c r="B3647" s="138">
        <f>'Expenditures 15-22'!G350</f>
        <v>6679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6679</v>
      </c>
      <c r="C3649" s="2" t="s">
        <v>594</v>
      </c>
      <c r="D3649" s="2" t="str">
        <f t="shared" si="56"/>
        <v>Error?</v>
      </c>
    </row>
    <row r="3650" spans="1:4" x14ac:dyDescent="0.2">
      <c r="A3650" s="5">
        <v>3589</v>
      </c>
      <c r="B3650" s="138">
        <f>'Expenditures 15-22'!G367</f>
        <v>6679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6679</v>
      </c>
      <c r="C3669" s="2" t="s">
        <v>594</v>
      </c>
      <c r="D3669" s="2" t="str">
        <f t="shared" si="56"/>
        <v>Error?</v>
      </c>
    </row>
    <row r="3670" spans="1:4" x14ac:dyDescent="0.2">
      <c r="A3670" s="5">
        <v>3609</v>
      </c>
      <c r="B3670" s="138">
        <f>'Expenditures 15-22'!K350</f>
        <v>6679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6679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6679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20384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3660</v>
      </c>
      <c r="D3721" s="2" t="str">
        <f t="shared" si="57"/>
        <v>OK</v>
      </c>
    </row>
    <row r="3722" spans="1:4" x14ac:dyDescent="0.2">
      <c r="A3722" s="5">
        <v>3661</v>
      </c>
      <c r="B3722" s="138">
        <f>'Expenditures 15-22'!D285</f>
        <v>3660</v>
      </c>
      <c r="C3722" s="2" t="s">
        <v>594</v>
      </c>
      <c r="D3722" s="2" t="str">
        <f t="shared" si="57"/>
        <v>Error?</v>
      </c>
    </row>
    <row r="3723" spans="1:4" x14ac:dyDescent="0.2">
      <c r="A3723" s="5">
        <v>3662</v>
      </c>
      <c r="B3723" s="138">
        <f>'Expenditures 15-22'!K283</f>
        <v>3660</v>
      </c>
      <c r="C3723" s="2" t="s">
        <v>594</v>
      </c>
      <c r="D3723" s="2" t="str">
        <f t="shared" si="57"/>
        <v>Error?</v>
      </c>
    </row>
    <row r="3724" spans="1:4" x14ac:dyDescent="0.2">
      <c r="A3724" s="5">
        <v>3663</v>
      </c>
      <c r="B3724" s="138">
        <f>'Expenditures 15-22'!K285</f>
        <v>3660</v>
      </c>
      <c r="C3724" s="2" t="s">
        <v>594</v>
      </c>
      <c r="D3724" s="2" t="str">
        <f t="shared" si="57"/>
        <v>Error?</v>
      </c>
    </row>
    <row r="3725" spans="1:4" x14ac:dyDescent="0.2">
      <c r="A3725" s="5">
        <v>3664</v>
      </c>
      <c r="B3725" s="138">
        <f>'Tax Sched 23'!B13</f>
        <v>26546</v>
      </c>
      <c r="C3725" s="2" t="s">
        <v>594</v>
      </c>
      <c r="D3725" s="2" t="str">
        <f t="shared" si="57"/>
        <v>Error?</v>
      </c>
    </row>
    <row r="3726" spans="1:4" x14ac:dyDescent="0.2">
      <c r="A3726" s="5">
        <v>3665</v>
      </c>
      <c r="B3726" s="138">
        <f>'Tax Sched 23'!D13</f>
        <v>13174</v>
      </c>
      <c r="C3726" s="2" t="s">
        <v>594</v>
      </c>
      <c r="D3726" s="2" t="str">
        <f t="shared" si="57"/>
        <v>Error?</v>
      </c>
    </row>
    <row r="3727" spans="1:4" x14ac:dyDescent="0.2">
      <c r="A3727" s="5">
        <v>3666</v>
      </c>
      <c r="B3727" s="138">
        <f>'Tax Sched 23'!C13</f>
        <v>13372</v>
      </c>
      <c r="D3727" s="2" t="str">
        <f t="shared" si="57"/>
        <v>Error?</v>
      </c>
    </row>
    <row r="3728" spans="1:4" x14ac:dyDescent="0.2">
      <c r="A3728" s="5">
        <v>3667</v>
      </c>
      <c r="B3728" s="138">
        <f>'Tax Sched 23'!F13</f>
        <v>13302</v>
      </c>
      <c r="C3728" s="2" t="s">
        <v>594</v>
      </c>
      <c r="D3728" s="2" t="str">
        <f t="shared" si="57"/>
        <v>Error?</v>
      </c>
    </row>
    <row r="3729" spans="1:4" x14ac:dyDescent="0.2">
      <c r="A3729" s="5">
        <v>3668</v>
      </c>
      <c r="B3729" s="138">
        <f>'Tax Sched 23'!E13</f>
        <v>26674</v>
      </c>
      <c r="D3729" s="2" t="str">
        <f t="shared" si="57"/>
        <v>Error?</v>
      </c>
    </row>
    <row r="3730" spans="1:4" x14ac:dyDescent="0.2">
      <c r="A3730" s="5">
        <v>3669</v>
      </c>
      <c r="B3730" s="138">
        <f>'ICR Computation 30'!E10</f>
        <v>53921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1456989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4424963</v>
      </c>
      <c r="C4122" s="2" t="s">
        <v>594</v>
      </c>
      <c r="D4122" s="2" t="str">
        <f t="shared" si="63"/>
        <v>Error?</v>
      </c>
    </row>
    <row r="4123" spans="1:4" x14ac:dyDescent="0.2">
      <c r="A4123" s="5">
        <v>4062</v>
      </c>
      <c r="B4123" s="138">
        <f>'Acct Summary 7-8'!D10</f>
        <v>335706</v>
      </c>
      <c r="C4123" s="2" t="s">
        <v>594</v>
      </c>
      <c r="D4123" s="2" t="str">
        <f t="shared" si="63"/>
        <v>Error?</v>
      </c>
    </row>
    <row r="4124" spans="1:4" x14ac:dyDescent="0.2">
      <c r="A4124" s="5">
        <v>4063</v>
      </c>
      <c r="B4124" s="138">
        <f>'Acct Summary 7-8'!E10</f>
        <v>483375</v>
      </c>
      <c r="C4124" s="2" t="s">
        <v>594</v>
      </c>
      <c r="D4124" s="2" t="str">
        <f t="shared" si="63"/>
        <v>Error?</v>
      </c>
    </row>
    <row r="4125" spans="1:4" x14ac:dyDescent="0.2">
      <c r="A4125" s="5">
        <v>4064</v>
      </c>
      <c r="B4125" s="138">
        <f>'Acct Summary 7-8'!F10</f>
        <v>234888</v>
      </c>
      <c r="C4125" s="2" t="s">
        <v>594</v>
      </c>
      <c r="D4125" s="2" t="str">
        <f t="shared" si="63"/>
        <v>Error?</v>
      </c>
    </row>
    <row r="4126" spans="1:4" x14ac:dyDescent="0.2">
      <c r="A4126" s="5">
        <v>4065</v>
      </c>
      <c r="B4126" s="138">
        <f>'Acct Summary 7-8'!G10</f>
        <v>221616</v>
      </c>
      <c r="C4126" s="2" t="s">
        <v>594</v>
      </c>
      <c r="D4126" s="2" t="str">
        <f t="shared" si="63"/>
        <v>Error?</v>
      </c>
    </row>
    <row r="4127" spans="1:4" x14ac:dyDescent="0.2">
      <c r="A4127" s="5">
        <v>4066</v>
      </c>
      <c r="B4127" s="138">
        <f>'Acct Summary 7-8'!H10</f>
        <v>104363</v>
      </c>
      <c r="C4127" s="2" t="s">
        <v>594</v>
      </c>
      <c r="D4127" s="2" t="str">
        <f t="shared" si="63"/>
        <v>Error?</v>
      </c>
    </row>
    <row r="4128" spans="1:4" x14ac:dyDescent="0.2">
      <c r="A4128" s="5">
        <v>4067</v>
      </c>
      <c r="B4128" s="138">
        <f>'Acct Summary 7-8'!I10</f>
        <v>28846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27063</v>
      </c>
      <c r="C4130" s="2" t="s">
        <v>594</v>
      </c>
      <c r="D4130" s="2" t="str">
        <f t="shared" si="63"/>
        <v>Error?</v>
      </c>
    </row>
    <row r="4131" spans="1:4" x14ac:dyDescent="0.2">
      <c r="A4131" s="5">
        <v>4070</v>
      </c>
      <c r="B4131" s="138">
        <f>'Acct Summary 7-8'!C18</f>
        <v>1456989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4491470</v>
      </c>
      <c r="C4136" s="2" t="s">
        <v>594</v>
      </c>
      <c r="D4136" s="2" t="str">
        <f t="shared" si="63"/>
        <v>Error?</v>
      </c>
    </row>
    <row r="4137" spans="1:4" x14ac:dyDescent="0.2">
      <c r="A4137" s="5">
        <v>4076</v>
      </c>
      <c r="B4137" s="138">
        <f>'Acct Summary 7-8'!D19</f>
        <v>335904</v>
      </c>
      <c r="C4137" s="2" t="s">
        <v>594</v>
      </c>
      <c r="D4137" s="2" t="str">
        <f t="shared" si="63"/>
        <v>Error?</v>
      </c>
    </row>
    <row r="4138" spans="1:4" x14ac:dyDescent="0.2">
      <c r="A4138" s="5">
        <v>4077</v>
      </c>
      <c r="B4138" s="138">
        <f>'Acct Summary 7-8'!E19</f>
        <v>484477</v>
      </c>
      <c r="C4138" s="2" t="s">
        <v>594</v>
      </c>
      <c r="D4138" s="2" t="str">
        <f t="shared" si="63"/>
        <v>Error?</v>
      </c>
    </row>
    <row r="4139" spans="1:4" x14ac:dyDescent="0.2">
      <c r="A4139" s="5">
        <v>4078</v>
      </c>
      <c r="B4139" s="138">
        <f>'Acct Summary 7-8'!F19</f>
        <v>237895</v>
      </c>
      <c r="C4139" s="2" t="s">
        <v>594</v>
      </c>
      <c r="D4139" s="2" t="str">
        <f t="shared" si="63"/>
        <v>Error?</v>
      </c>
    </row>
    <row r="4140" spans="1:4" x14ac:dyDescent="0.2">
      <c r="A4140" s="5">
        <v>4079</v>
      </c>
      <c r="B4140" s="138">
        <f>'Acct Summary 7-8'!G19</f>
        <v>140051</v>
      </c>
      <c r="C4140" s="2" t="s">
        <v>594</v>
      </c>
      <c r="D4140" s="2" t="str">
        <f t="shared" si="63"/>
        <v>Error?</v>
      </c>
    </row>
    <row r="4141" spans="1:4" x14ac:dyDescent="0.2">
      <c r="A4141" s="5">
        <v>4080</v>
      </c>
      <c r="B4141" s="138">
        <f>'Acct Summary 7-8'!H19</f>
        <v>60812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6679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1726148</v>
      </c>
      <c r="C4171" s="2" t="s">
        <v>594</v>
      </c>
      <c r="D4171" s="2" t="str">
        <f t="shared" si="64"/>
        <v>Error?</v>
      </c>
    </row>
    <row r="4172" spans="1:4" x14ac:dyDescent="0.2">
      <c r="A4172" s="5">
        <v>4111</v>
      </c>
      <c r="B4172" s="138">
        <f>'Short-Term Long-Term Debt 24'!J49</f>
        <v>1459497</v>
      </c>
      <c r="C4172" s="2" t="s">
        <v>594</v>
      </c>
      <c r="D4172" s="2" t="str">
        <f t="shared" si="64"/>
        <v>Error?</v>
      </c>
    </row>
    <row r="4173" spans="1:4" x14ac:dyDescent="0.2">
      <c r="A4173" s="5">
        <v>4112</v>
      </c>
      <c r="B4173" s="138">
        <f>'Short-Term Long-Term Debt 24'!H49</f>
        <v>474127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40275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594</v>
      </c>
      <c r="D4265" s="2" t="str">
        <f t="shared" si="65"/>
        <v>Error?</v>
      </c>
      <c r="E4265" s="128"/>
    </row>
    <row r="4266" spans="1:5" x14ac:dyDescent="0.2">
      <c r="A4266" s="12">
        <v>4205</v>
      </c>
      <c r="B4266" s="138">
        <f>('FP Info 3'!F10)*100000</f>
        <v>493.6</v>
      </c>
      <c r="C4266" s="2" t="s">
        <v>594</v>
      </c>
      <c r="D4266" s="2" t="str">
        <f t="shared" si="65"/>
        <v>Error?</v>
      </c>
      <c r="E4266" s="128"/>
    </row>
    <row r="4267" spans="1:5" x14ac:dyDescent="0.2">
      <c r="A4267" s="12">
        <v>4206</v>
      </c>
      <c r="B4267" s="138">
        <f>('FP Info 3'!H10)*100000</f>
        <v>197.50000000000003</v>
      </c>
      <c r="C4267" s="2" t="s">
        <v>594</v>
      </c>
      <c r="D4267" s="2" t="str">
        <f t="shared" si="65"/>
        <v>Error?</v>
      </c>
      <c r="E4267" s="128"/>
    </row>
    <row r="4268" spans="1:5" x14ac:dyDescent="0.2">
      <c r="A4268" s="12">
        <v>4207</v>
      </c>
      <c r="B4268" s="138">
        <f>('FP Info 3'!J10)*100000</f>
        <v>3590.9999999999995</v>
      </c>
      <c r="C4268" s="2" t="s">
        <v>594</v>
      </c>
      <c r="D4268" s="2" t="str">
        <f t="shared" si="65"/>
        <v>Error?</v>
      </c>
    </row>
    <row r="4269" spans="1:5" x14ac:dyDescent="0.2">
      <c r="A4269" s="12">
        <v>4208</v>
      </c>
      <c r="B4269" s="138">
        <f>'FP Info 3'!J16</f>
        <v>4175033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3529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32727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32727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23467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53995786</v>
      </c>
      <c r="D4995" s="2" t="str">
        <f t="shared" si="77"/>
        <v>Error?</v>
      </c>
    </row>
    <row r="4996" spans="1:4" x14ac:dyDescent="0.2">
      <c r="A4996" s="12">
        <v>4935</v>
      </c>
      <c r="B4996" s="138">
        <f>'FP Info 3'!H31</f>
        <v>7451418.4680000003</v>
      </c>
      <c r="D4996" s="2" t="str">
        <f t="shared" si="77"/>
        <v>Error?</v>
      </c>
    </row>
    <row r="4997" spans="1:4" x14ac:dyDescent="0.2">
      <c r="A4997" s="12">
        <v>4936</v>
      </c>
      <c r="B4997" s="138">
        <f>'FP Info 3'!H37</f>
        <v>1726148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26546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1547832</v>
      </c>
      <c r="D5061" s="2" t="str">
        <f t="shared" si="78"/>
        <v>Error?</v>
      </c>
    </row>
    <row r="5062" spans="1:4" x14ac:dyDescent="0.2">
      <c r="A5062" s="10">
        <v>5001</v>
      </c>
      <c r="D5062" s="2" t="str">
        <f t="shared" si="78"/>
        <v>OK</v>
      </c>
    </row>
    <row r="5063" spans="1:4" x14ac:dyDescent="0.2">
      <c r="A5063" s="5">
        <v>5002</v>
      </c>
      <c r="B5063" s="138">
        <f>'Revenues 9-14'!C7</f>
        <v>21215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1595593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121382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121382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4847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4847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1935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62827</v>
      </c>
      <c r="C5096" s="2" t="s">
        <v>594</v>
      </c>
      <c r="D5096" s="2" t="str">
        <f t="shared" si="78"/>
        <v>Error?</v>
      </c>
    </row>
    <row r="5097" spans="1:4" x14ac:dyDescent="0.2">
      <c r="A5097" s="5">
        <v>5036</v>
      </c>
      <c r="B5097" s="138">
        <f>'Revenues 9-14'!C77</f>
        <v>22221</v>
      </c>
      <c r="D5097" s="2" t="str">
        <f t="shared" si="78"/>
        <v>Error?</v>
      </c>
    </row>
    <row r="5098" spans="1:4" x14ac:dyDescent="0.2">
      <c r="A5098" s="5">
        <v>5037</v>
      </c>
      <c r="B5098" s="138">
        <f>'Revenues 9-14'!C78</f>
        <v>795</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23016</v>
      </c>
      <c r="C5102" s="2" t="s">
        <v>594</v>
      </c>
      <c r="D5102" s="2" t="str">
        <f t="shared" si="78"/>
        <v>Error?</v>
      </c>
    </row>
    <row r="5103" spans="1:4" x14ac:dyDescent="0.2">
      <c r="A5103" s="5">
        <v>5042</v>
      </c>
      <c r="B5103" s="138">
        <f>'Revenues 9-14'!C84</f>
        <v>17197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17197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6400</v>
      </c>
      <c r="D5118" s="2" t="str">
        <f t="shared" si="78"/>
        <v>Error?</v>
      </c>
    </row>
    <row r="5119" spans="1:4" x14ac:dyDescent="0.2">
      <c r="A5119" s="5">
        <v>5058</v>
      </c>
      <c r="B5119" s="138">
        <f>'Revenues 9-14'!C107</f>
        <v>16027</v>
      </c>
      <c r="D5119" s="2" t="str">
        <f t="shared" ref="D5119:D5182" si="79">IF(ISBLANK(B5119),"OK",IF(A5119-B5119=0,"OK","Error?"))</f>
        <v>Error?</v>
      </c>
    </row>
    <row r="5120" spans="1:4" x14ac:dyDescent="0.2">
      <c r="A5120" s="5">
        <v>5059</v>
      </c>
      <c r="B5120" s="138">
        <f>'Revenues 9-14'!C108</f>
        <v>24852</v>
      </c>
      <c r="C5120" s="2" t="s">
        <v>594</v>
      </c>
      <c r="D5120" s="2" t="str">
        <f t="shared" si="79"/>
        <v>Error?</v>
      </c>
    </row>
    <row r="5121" spans="1:4" x14ac:dyDescent="0.2">
      <c r="A5121" s="5">
        <v>5060</v>
      </c>
      <c r="B5121" s="138">
        <f>'Revenues 9-14'!C109</f>
        <v>1849714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758276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758276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24713</v>
      </c>
      <c r="D5134" s="2" t="str">
        <f t="shared" si="79"/>
        <v>Error?</v>
      </c>
    </row>
    <row r="5135" spans="1:4" x14ac:dyDescent="0.2">
      <c r="A5135" s="5">
        <v>5074</v>
      </c>
      <c r="B5135" s="138">
        <f>'Revenues 9-14'!C126</f>
        <v>15383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40096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14220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16907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620</v>
      </c>
      <c r="D5167" s="2" t="str">
        <f t="shared" si="79"/>
        <v>Error?</v>
      </c>
    </row>
    <row r="5168" spans="1:4" x14ac:dyDescent="0.2">
      <c r="A5168" s="5">
        <v>5107</v>
      </c>
      <c r="B5168" s="138">
        <f>'Revenues 9-14'!C147</f>
        <v>4511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120433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184067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942343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56092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56092</v>
      </c>
      <c r="C5246" s="2" t="s">
        <v>594</v>
      </c>
      <c r="D5246" s="2" t="str">
        <f t="shared" si="80"/>
        <v>Error?</v>
      </c>
    </row>
    <row r="5247" spans="1:4" x14ac:dyDescent="0.2">
      <c r="A5247" s="5">
        <v>5186</v>
      </c>
      <c r="B5247" s="138">
        <f>'Revenues 9-14'!C203</f>
        <v>57991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57991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175917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175917</v>
      </c>
      <c r="C5326" s="2" t="s">
        <v>594</v>
      </c>
      <c r="D5326" s="2" t="str">
        <f t="shared" si="82"/>
        <v>Error?</v>
      </c>
    </row>
    <row r="5327" spans="1:4" x14ac:dyDescent="0.2">
      <c r="A5327" s="5">
        <v>5266</v>
      </c>
      <c r="B5327" s="138">
        <f>'Revenues 9-14'!C275</f>
        <v>2967974</v>
      </c>
      <c r="C5327" s="2" t="s">
        <v>594</v>
      </c>
      <c r="D5327" s="2" t="str">
        <f t="shared" si="82"/>
        <v>Error?</v>
      </c>
    </row>
    <row r="5328" spans="1:4" x14ac:dyDescent="0.2">
      <c r="A5328" s="5">
        <v>5267</v>
      </c>
      <c r="B5328" s="138">
        <f>'Revenues 9-14'!D5</f>
        <v>265138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265138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18400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18400</v>
      </c>
      <c r="C5339" s="2" t="s">
        <v>594</v>
      </c>
      <c r="D5339" s="2" t="str">
        <f t="shared" si="82"/>
        <v>Error?</v>
      </c>
    </row>
    <row r="5340" spans="1:4" x14ac:dyDescent="0.2">
      <c r="A5340" s="5">
        <v>5279</v>
      </c>
      <c r="B5340" s="138">
        <f>'Revenues 9-14'!D65</f>
        <v>411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1757</v>
      </c>
      <c r="D5354" s="2" t="str">
        <f t="shared" si="82"/>
        <v>Error?</v>
      </c>
    </row>
    <row r="5355" spans="1:4" x14ac:dyDescent="0.2">
      <c r="A5355" s="5">
        <v>5294</v>
      </c>
      <c r="B5355" s="138">
        <f>'Revenues 9-14'!D108</f>
        <v>11757</v>
      </c>
      <c r="C5355" s="2" t="s">
        <v>594</v>
      </c>
      <c r="D5355" s="2" t="str">
        <f t="shared" si="82"/>
        <v>Error?</v>
      </c>
    </row>
    <row r="5356" spans="1:4" x14ac:dyDescent="0.2">
      <c r="A5356" s="5">
        <v>5295</v>
      </c>
      <c r="B5356" s="138">
        <f>'Revenues 9-14'!D109</f>
        <v>295706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335706</v>
      </c>
      <c r="C5508" s="2" t="s">
        <v>594</v>
      </c>
      <c r="D5508" s="2" t="str">
        <f t="shared" si="85"/>
        <v>Error?</v>
      </c>
    </row>
    <row r="5509" spans="1:4" x14ac:dyDescent="0.2">
      <c r="A5509" s="5">
        <v>5448</v>
      </c>
      <c r="B5509" s="138">
        <f>'Revenues 9-14'!E5</f>
        <v>482970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482970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405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483375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483375</v>
      </c>
      <c r="C5552" s="2" t="s">
        <v>594</v>
      </c>
      <c r="D5552" s="2" t="str">
        <f t="shared" si="85"/>
        <v>Error?</v>
      </c>
    </row>
    <row r="5553" spans="1:4" x14ac:dyDescent="0.2">
      <c r="A5553" s="5">
        <v>5492</v>
      </c>
      <c r="B5553" s="138">
        <f>'Revenues 9-14'!F5</f>
        <v>106077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106077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294</v>
      </c>
      <c r="D5586" s="2" t="str">
        <f t="shared" si="86"/>
        <v>Error?</v>
      </c>
    </row>
    <row r="5587" spans="1:4" x14ac:dyDescent="0.2">
      <c r="A5587" s="5">
        <v>5526</v>
      </c>
      <c r="B5587" s="138">
        <f>'Revenues 9-14'!F108</f>
        <v>294</v>
      </c>
      <c r="C5587" s="2" t="s">
        <v>594</v>
      </c>
      <c r="D5587" s="2" t="str">
        <f t="shared" si="86"/>
        <v>Error?</v>
      </c>
    </row>
    <row r="5588" spans="1:4" x14ac:dyDescent="0.2">
      <c r="A5588" s="5">
        <v>5527</v>
      </c>
      <c r="B5588" s="138">
        <f>'Revenues 9-14'!F109</f>
        <v>106867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62638</v>
      </c>
      <c r="D5615" s="2" t="str">
        <f t="shared" si="86"/>
        <v>Error?</v>
      </c>
    </row>
    <row r="5616" spans="1:4" x14ac:dyDescent="0.2">
      <c r="A5616" s="10">
        <v>5555</v>
      </c>
      <c r="D5616" s="2" t="str">
        <f t="shared" si="86"/>
        <v>OK</v>
      </c>
    </row>
    <row r="5617" spans="1:4" x14ac:dyDescent="0.2">
      <c r="A5617" s="5">
        <v>5556</v>
      </c>
      <c r="B5617" s="138">
        <f>'Revenues 9-14'!F152</f>
        <v>35383</v>
      </c>
      <c r="D5617" s="2" t="str">
        <f t="shared" si="86"/>
        <v>Error?</v>
      </c>
    </row>
    <row r="5618" spans="1:4" x14ac:dyDescent="0.2">
      <c r="A5618" s="5">
        <v>5557</v>
      </c>
      <c r="B5618" s="138">
        <f>'Revenues 9-14'!F154</f>
        <v>98021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98021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128021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234888</v>
      </c>
      <c r="C5720" s="2" t="s">
        <v>594</v>
      </c>
      <c r="D5720" s="2" t="str">
        <f t="shared" si="88"/>
        <v>Error?</v>
      </c>
    </row>
    <row r="5721" spans="1:4" x14ac:dyDescent="0.2">
      <c r="A5721" s="5">
        <v>5660</v>
      </c>
      <c r="B5721" s="138">
        <f>'Revenues 9-14'!G5</f>
        <v>104642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104642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209284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11800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11800</v>
      </c>
      <c r="C5730" s="2" t="s">
        <v>594</v>
      </c>
      <c r="D5730" s="2" t="str">
        <f t="shared" si="88"/>
        <v>Error?</v>
      </c>
    </row>
    <row r="5731" spans="1:4" x14ac:dyDescent="0.2">
      <c r="A5731" s="5">
        <v>5670</v>
      </c>
      <c r="B5731" s="138">
        <f>'Revenues 9-14'!G65</f>
        <v>532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221616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630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103733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104363</v>
      </c>
      <c r="C5915" s="2" t="s">
        <v>594</v>
      </c>
      <c r="D5915" s="2" t="str">
        <f t="shared" si="91"/>
        <v>Error?</v>
      </c>
    </row>
    <row r="5916" spans="1:4" x14ac:dyDescent="0.2">
      <c r="A5916" s="5">
        <v>5855</v>
      </c>
      <c r="B5916" s="138">
        <f>'Revenues 9-14'!I5</f>
        <v>26546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26546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2300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28846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26546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26546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27063</v>
      </c>
      <c r="C6023" s="2" t="s">
        <v>594</v>
      </c>
      <c r="D6023" s="2" t="str">
        <f t="shared" si="93"/>
        <v>Error?</v>
      </c>
    </row>
    <row r="6024" spans="1:5" x14ac:dyDescent="0.2">
      <c r="A6024" s="5">
        <v>5963</v>
      </c>
      <c r="B6024" s="138">
        <f>'Revenues 9-14'!G109</f>
        <v>221616</v>
      </c>
      <c r="C6024" s="2" t="s">
        <v>594</v>
      </c>
      <c r="D6024" s="2" t="str">
        <f t="shared" si="93"/>
        <v>Error?</v>
      </c>
    </row>
    <row r="6025" spans="1:5" x14ac:dyDescent="0.2">
      <c r="A6025" s="5">
        <v>5964</v>
      </c>
      <c r="B6025" s="138">
        <f>'Revenues 9-14'!H109</f>
        <v>104363</v>
      </c>
      <c r="C6025" s="2" t="s">
        <v>594</v>
      </c>
      <c r="D6025" s="2" t="str">
        <f t="shared" si="93"/>
        <v>Error?</v>
      </c>
    </row>
    <row r="6026" spans="1:5" x14ac:dyDescent="0.2">
      <c r="A6026" s="5">
        <v>5965</v>
      </c>
      <c r="B6026" s="138">
        <f>'Revenues 9-14'!I109</f>
        <v>28846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27063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60892</v>
      </c>
      <c r="D6031" s="2" t="str">
        <f t="shared" si="93"/>
        <v>Error?</v>
      </c>
    </row>
    <row r="6032" spans="1:5" x14ac:dyDescent="0.2">
      <c r="A6032" s="5">
        <v>5971</v>
      </c>
      <c r="B6032" s="138">
        <f>'Acct Summary 7-8'!G15</f>
        <v>3660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13983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321.11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126498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126498</v>
      </c>
      <c r="D6215" s="2" t="str">
        <f t="shared" si="96"/>
        <v>Error?</v>
      </c>
      <c r="E6215" s="2" t="s">
        <v>199</v>
      </c>
    </row>
    <row r="6216" spans="1:5" x14ac:dyDescent="0.2">
      <c r="A6216">
        <v>6155</v>
      </c>
      <c r="B6216" s="138">
        <f>'Assets-Liab 5-6'!J41</f>
        <v>126498</v>
      </c>
      <c r="D6216" s="2" t="str">
        <f t="shared" si="96"/>
        <v>Error?</v>
      </c>
      <c r="E6216" s="2" t="s">
        <v>199</v>
      </c>
    </row>
    <row r="6217" spans="1:5" x14ac:dyDescent="0.2">
      <c r="A6217">
        <v>6156</v>
      </c>
      <c r="B6217" s="138">
        <f>'Assets-Liab 5-6'!J4</f>
        <v>126498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234267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234267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234267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177400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177400</v>
      </c>
      <c r="D6229" s="2" t="str">
        <f t="shared" si="96"/>
        <v>Error?</v>
      </c>
      <c r="E6229" s="2" t="s">
        <v>199</v>
      </c>
    </row>
    <row r="6230" spans="1:5" x14ac:dyDescent="0.2">
      <c r="A6230">
        <v>6169</v>
      </c>
      <c r="B6230" s="138">
        <f>'Acct Summary 7-8'!J20</f>
        <v>56867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14127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56867</v>
      </c>
      <c r="D6263" s="2" t="str">
        <f t="shared" si="96"/>
        <v>Error?</v>
      </c>
      <c r="E6263" s="2" t="s">
        <v>199</v>
      </c>
    </row>
    <row r="6264" spans="1:5" x14ac:dyDescent="0.2">
      <c r="A6264">
        <v>6203</v>
      </c>
      <c r="B6264" s="138">
        <f>'Acct Summary 7-8'!J79</f>
        <v>69631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126498</v>
      </c>
      <c r="D6266" s="2" t="str">
        <f t="shared" si="96"/>
        <v>Error?</v>
      </c>
      <c r="E6266" s="2" t="s">
        <v>199</v>
      </c>
    </row>
    <row r="6267" spans="1:5" x14ac:dyDescent="0.2">
      <c r="A6267">
        <v>6206</v>
      </c>
      <c r="B6267" s="138">
        <f>'Acct Summary 7-8'!C82</f>
        <v>759641</v>
      </c>
      <c r="D6267" s="2" t="str">
        <f t="shared" si="96"/>
        <v>Error?</v>
      </c>
      <c r="E6267" s="2" t="s">
        <v>199</v>
      </c>
    </row>
    <row r="6268" spans="1:5" x14ac:dyDescent="0.2">
      <c r="A6268">
        <v>6207</v>
      </c>
      <c r="B6268" s="138">
        <f>'Acct Summary 7-8'!D82</f>
        <v>-198</v>
      </c>
      <c r="D6268" s="2" t="str">
        <f t="shared" si="96"/>
        <v>Error?</v>
      </c>
      <c r="E6268" s="2" t="s">
        <v>199</v>
      </c>
    </row>
    <row r="6269" spans="1:5" x14ac:dyDescent="0.2">
      <c r="A6269">
        <v>6208</v>
      </c>
      <c r="B6269" s="138">
        <f>'Acct Summary 7-8'!E82</f>
        <v>13025</v>
      </c>
      <c r="D6269" s="2" t="str">
        <f t="shared" si="96"/>
        <v>Error?</v>
      </c>
      <c r="E6269" s="2" t="s">
        <v>199</v>
      </c>
    </row>
    <row r="6270" spans="1:5" x14ac:dyDescent="0.2">
      <c r="A6270">
        <v>6209</v>
      </c>
      <c r="B6270" s="138">
        <f>'Acct Summary 7-8'!F82</f>
        <v>2593</v>
      </c>
      <c r="D6270" s="2" t="str">
        <f t="shared" si="96"/>
        <v>Error?</v>
      </c>
      <c r="E6270" s="2" t="s">
        <v>199</v>
      </c>
    </row>
    <row r="6271" spans="1:5" x14ac:dyDescent="0.2">
      <c r="A6271">
        <v>6210</v>
      </c>
      <c r="B6271" s="138">
        <f>'Acct Summary 7-8'!G82</f>
        <v>81565</v>
      </c>
      <c r="D6271" s="2" t="str">
        <f t="shared" ref="D6271:D6334" si="97">IF(ISBLANK(B6271),"OK",IF(A6271-B6271=0,"OK","Error?"))</f>
        <v>Error?</v>
      </c>
      <c r="E6271" s="2" t="s">
        <v>199</v>
      </c>
    </row>
    <row r="6272" spans="1:5" x14ac:dyDescent="0.2">
      <c r="A6272">
        <v>6211</v>
      </c>
      <c r="B6272" s="138">
        <f>'Acct Summary 7-8'!H82</f>
        <v>43551</v>
      </c>
      <c r="D6272" s="2" t="str">
        <f t="shared" si="97"/>
        <v>Error?</v>
      </c>
      <c r="E6272" s="2" t="s">
        <v>199</v>
      </c>
    </row>
    <row r="6273" spans="1:5" x14ac:dyDescent="0.2">
      <c r="A6273">
        <v>6212</v>
      </c>
      <c r="B6273" s="138">
        <f>'Acct Summary 7-8'!I82</f>
        <v>928846</v>
      </c>
      <c r="D6273" s="2" t="str">
        <f t="shared" si="97"/>
        <v>Error?</v>
      </c>
      <c r="E6273" s="2" t="s">
        <v>199</v>
      </c>
    </row>
    <row r="6274" spans="1:5" x14ac:dyDescent="0.2">
      <c r="A6274">
        <v>6213</v>
      </c>
      <c r="B6274" s="138">
        <f>'Acct Summary 7-8'!J82</f>
        <v>56867</v>
      </c>
      <c r="D6274" s="2" t="str">
        <f t="shared" si="97"/>
        <v>Error?</v>
      </c>
      <c r="E6274" s="2" t="s">
        <v>199</v>
      </c>
    </row>
    <row r="6275" spans="1:5" x14ac:dyDescent="0.2">
      <c r="A6275">
        <v>6214</v>
      </c>
      <c r="B6275" s="138">
        <f>'Acct Summary 7-8'!K82</f>
        <v>20384</v>
      </c>
      <c r="D6275" s="2" t="str">
        <f t="shared" si="97"/>
        <v>Error?</v>
      </c>
      <c r="E6275" s="2" t="s">
        <v>199</v>
      </c>
    </row>
    <row r="6276" spans="1:5" x14ac:dyDescent="0.2">
      <c r="A6276">
        <v>6215</v>
      </c>
      <c r="B6276" s="138">
        <f>'Acct Summary 7-8'!C83</f>
        <v>0.38749028903603477</v>
      </c>
      <c r="D6276" s="2" t="str">
        <f t="shared" si="97"/>
        <v>Error?</v>
      </c>
      <c r="E6276" s="2" t="s">
        <v>199</v>
      </c>
    </row>
    <row r="6277" spans="1:5" x14ac:dyDescent="0.2">
      <c r="A6277">
        <v>6216</v>
      </c>
      <c r="B6277" s="138">
        <f>'Acct Summary 7-8'!D83</f>
        <v>-1.0808863267879661E-3</v>
      </c>
      <c r="D6277" s="2" t="str">
        <f t="shared" si="97"/>
        <v>Error?</v>
      </c>
      <c r="E6277" s="2" t="s">
        <v>199</v>
      </c>
    </row>
    <row r="6278" spans="1:5" x14ac:dyDescent="0.2">
      <c r="A6278">
        <v>6217</v>
      </c>
      <c r="B6278" s="138">
        <f>'Acct Summary 7-8'!E83</f>
        <v>4.8846619738909663E-2</v>
      </c>
      <c r="D6278" s="2" t="str">
        <f t="shared" si="97"/>
        <v>Error?</v>
      </c>
      <c r="E6278" s="2" t="s">
        <v>199</v>
      </c>
    </row>
    <row r="6279" spans="1:5" x14ac:dyDescent="0.2">
      <c r="A6279">
        <v>6218</v>
      </c>
      <c r="B6279" s="138">
        <f>'Acct Summary 7-8'!F83</f>
        <v>1.1455305312823049E-2</v>
      </c>
      <c r="D6279" s="2" t="str">
        <f t="shared" si="97"/>
        <v>Error?</v>
      </c>
      <c r="E6279" s="2" t="s">
        <v>199</v>
      </c>
    </row>
    <row r="6280" spans="1:5" x14ac:dyDescent="0.2">
      <c r="A6280">
        <v>6219</v>
      </c>
      <c r="B6280" s="138">
        <f>'Acct Summary 7-8'!G83</f>
        <v>0.34551631528337295</v>
      </c>
      <c r="D6280" s="2" t="str">
        <f t="shared" si="97"/>
        <v>Error?</v>
      </c>
      <c r="E6280" s="2" t="s">
        <v>199</v>
      </c>
    </row>
    <row r="6281" spans="1:5" x14ac:dyDescent="0.2">
      <c r="A6281">
        <v>6220</v>
      </c>
      <c r="B6281" s="138">
        <f>'Acct Summary 7-8'!H83</f>
        <v>0.15584875681710825</v>
      </c>
      <c r="D6281" s="2" t="str">
        <f t="shared" si="97"/>
        <v>Error?</v>
      </c>
      <c r="E6281" s="2" t="s">
        <v>199</v>
      </c>
    </row>
    <row r="6282" spans="1:5" x14ac:dyDescent="0.2">
      <c r="A6282">
        <v>6221</v>
      </c>
      <c r="B6282" s="138">
        <f>'Acct Summary 7-8'!I83</f>
        <v>0.51457360037981714</v>
      </c>
      <c r="D6282" s="2" t="str">
        <f t="shared" si="97"/>
        <v>Error?</v>
      </c>
      <c r="E6282" s="2" t="s">
        <v>199</v>
      </c>
    </row>
    <row r="6283" spans="1:5" x14ac:dyDescent="0.2">
      <c r="A6283">
        <v>6222</v>
      </c>
      <c r="B6283" s="138">
        <f>'Acct Summary 7-8'!J83</f>
        <v>0.44954860946418124</v>
      </c>
      <c r="D6283" s="2" t="str">
        <f t="shared" si="97"/>
        <v>Error?</v>
      </c>
      <c r="E6283" s="2" t="s">
        <v>199</v>
      </c>
    </row>
    <row r="6284" spans="1:5" x14ac:dyDescent="0.2">
      <c r="A6284">
        <v>6223</v>
      </c>
      <c r="B6284" s="138">
        <f>'Acct Summary 7-8'!K83</f>
        <v>9.3979658641389047E-2</v>
      </c>
      <c r="D6284" s="2" t="str">
        <f t="shared" si="97"/>
        <v>Error?</v>
      </c>
      <c r="E6284" s="2" t="s">
        <v>199</v>
      </c>
    </row>
    <row r="6285" spans="1:5" x14ac:dyDescent="0.2">
      <c r="A6285">
        <v>6224</v>
      </c>
      <c r="B6285" s="138">
        <f>'Acct Summary 7-8'!E37</f>
        <v>14127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233923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233923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10000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2425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234267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2687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66057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89888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15275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145243</v>
      </c>
      <c r="D6983" s="2" t="str">
        <f t="shared" si="108"/>
        <v>Error?</v>
      </c>
    </row>
    <row r="6984" spans="1:4" x14ac:dyDescent="0.2">
      <c r="A6984">
        <v>6923</v>
      </c>
      <c r="B6984" s="138">
        <f>'Expenditures 15-22'!K86</f>
        <v>145243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145243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177400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234267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4481</v>
      </c>
      <c r="D7073" s="2" t="str">
        <f t="shared" si="109"/>
        <v>Error?</v>
      </c>
    </row>
    <row r="7074" spans="1:4" x14ac:dyDescent="0.2">
      <c r="A7074">
        <v>7013</v>
      </c>
      <c r="B7074" s="138">
        <f>'Expenditures 15-22'!K216</f>
        <v>4481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35449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35449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56842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56842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60319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12188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72507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12602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12602</v>
      </c>
      <c r="D7198" s="2" t="str">
        <f t="shared" si="111"/>
        <v>Error?</v>
      </c>
    </row>
    <row r="7199" spans="1:4" x14ac:dyDescent="0.2">
      <c r="A7199">
        <v>7138</v>
      </c>
      <c r="B7199" s="138">
        <f>'Expenditures 15-22'!C330</f>
        <v>60319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117081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177400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60319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117081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177400</v>
      </c>
      <c r="D7224" s="2" t="str">
        <f t="shared" si="111"/>
        <v>Error?</v>
      </c>
    </row>
    <row r="7225" spans="1:4" x14ac:dyDescent="0.2">
      <c r="A7225">
        <v>7164</v>
      </c>
      <c r="B7225" s="138">
        <f>'Expenditures 15-22'!K343</f>
        <v>56867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13381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1660</v>
      </c>
      <c r="D7248" s="2" t="str">
        <f t="shared" si="112"/>
        <v>Error?</v>
      </c>
    </row>
    <row r="7249" spans="1:4" x14ac:dyDescent="0.2">
      <c r="A7249">
        <f t="shared" si="113"/>
        <v>7188</v>
      </c>
      <c r="B7249" s="138">
        <f>'Expenditures 15-22'!G7</f>
        <v>8790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12000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3170</v>
      </c>
      <c r="D7265" s="2" t="str">
        <f t="shared" si="112"/>
        <v>Error?</v>
      </c>
    </row>
    <row r="7266" spans="1:5" x14ac:dyDescent="0.2">
      <c r="A7266">
        <f t="shared" si="113"/>
        <v>7205</v>
      </c>
      <c r="B7266" s="138">
        <f>'Expenditures 15-22'!F17</f>
        <v>105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84093</v>
      </c>
      <c r="D7615" s="2" t="str">
        <f t="shared" ref="D7615:D7678" si="124">IF(ISBLANK(B7615),"OK",IF(A7615-B7615=0,"OK","Error?"))</f>
        <v>Error?</v>
      </c>
      <c r="E7615" s="2" t="s">
        <v>19</v>
      </c>
    </row>
    <row r="7616" spans="1:5" x14ac:dyDescent="0.2">
      <c r="A7616">
        <f t="shared" si="123"/>
        <v>7555</v>
      </c>
      <c r="B7616" s="138">
        <f>'Cap Outlay Deprec 26'!D14</f>
        <v>1059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85152</v>
      </c>
      <c r="D7618" s="2" t="str">
        <f t="shared" si="124"/>
        <v>Error?</v>
      </c>
      <c r="E7618" s="2" t="s">
        <v>19</v>
      </c>
    </row>
    <row r="7619" spans="1:5" x14ac:dyDescent="0.2">
      <c r="A7619">
        <f t="shared" si="123"/>
        <v>7558</v>
      </c>
      <c r="B7619" s="138">
        <f>'Cap Outlay Deprec 26'!H14</f>
        <v>84093</v>
      </c>
      <c r="D7619" s="2" t="str">
        <f t="shared" si="124"/>
        <v>Error?</v>
      </c>
      <c r="E7619" s="2" t="s">
        <v>19</v>
      </c>
    </row>
    <row r="7620" spans="1:5" x14ac:dyDescent="0.2">
      <c r="A7620">
        <f t="shared" si="123"/>
        <v>7559</v>
      </c>
      <c r="B7620" s="138">
        <f>'Cap Outlay Deprec 26'!I14</f>
        <v>353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84446</v>
      </c>
      <c r="D7622" s="2" t="str">
        <f t="shared" si="124"/>
        <v>Error?</v>
      </c>
      <c r="E7622" s="2" t="s">
        <v>19</v>
      </c>
    </row>
    <row r="7623" spans="1:5" x14ac:dyDescent="0.2">
      <c r="A7623">
        <f t="shared" si="123"/>
        <v>7562</v>
      </c>
      <c r="B7623" s="138">
        <f>'Cap Outlay Deprec 26'!L14</f>
        <v>706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102546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235893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630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2425</v>
      </c>
      <c r="D7712" s="2" t="str">
        <f t="shared" si="126"/>
        <v>Error?</v>
      </c>
      <c r="E7712" s="2" t="s">
        <v>881</v>
      </c>
    </row>
    <row r="7713" spans="1:6" x14ac:dyDescent="0.2">
      <c r="A7713">
        <v>7652</v>
      </c>
      <c r="B7713" s="138">
        <f>'Rest Tax Levies-Tort Im 25'!J8</f>
        <v>103733</v>
      </c>
      <c r="D7713" s="2" t="str">
        <f t="shared" si="126"/>
        <v>Error?</v>
      </c>
      <c r="E7713" s="2" t="s">
        <v>881</v>
      </c>
    </row>
    <row r="7714" spans="1:6" x14ac:dyDescent="0.2">
      <c r="A7714">
        <v>7653</v>
      </c>
      <c r="B7714" s="138">
        <f>'Rest Tax Levies-Tort Im 25'!K9</f>
        <v>4511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104363</v>
      </c>
      <c r="D7718" s="2" t="str">
        <f t="shared" si="126"/>
        <v>Error?</v>
      </c>
      <c r="E7718" s="2" t="s">
        <v>881</v>
      </c>
    </row>
    <row r="7719" spans="1:6" x14ac:dyDescent="0.2">
      <c r="A7719">
        <v>7658</v>
      </c>
      <c r="B7719" s="138">
        <f>'Rest Tax Levies-Tort Im 25'!K12</f>
        <v>6936</v>
      </c>
      <c r="D7719" s="2" t="str">
        <f t="shared" si="126"/>
        <v>Error?</v>
      </c>
      <c r="E7719" s="2" t="s">
        <v>881</v>
      </c>
    </row>
    <row r="7720" spans="1:6" x14ac:dyDescent="0.2">
      <c r="A7720">
        <v>7659</v>
      </c>
      <c r="B7720" s="138">
        <f>'Rest Tax Levies-Tort Im 25'!H14</f>
        <v>21228</v>
      </c>
      <c r="D7720" s="2" t="str">
        <f t="shared" si="126"/>
        <v>Error?</v>
      </c>
      <c r="E7720" s="2" t="s">
        <v>881</v>
      </c>
    </row>
    <row r="7721" spans="1:6" x14ac:dyDescent="0.2">
      <c r="A7721">
        <v>7660</v>
      </c>
      <c r="B7721" s="138">
        <f>'Rest Tax Levies-Tort Im 25'!K14</f>
        <v>6936</v>
      </c>
      <c r="D7721" s="2" t="str">
        <f t="shared" si="126"/>
        <v>Error?</v>
      </c>
      <c r="E7721" s="2" t="s">
        <v>881</v>
      </c>
    </row>
    <row r="7722" spans="1:6" x14ac:dyDescent="0.2">
      <c r="A7722">
        <v>7661</v>
      </c>
      <c r="B7722" s="138">
        <f>'Rest Tax Levies-Tort Im 25'!J15</f>
        <v>60813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60813</v>
      </c>
      <c r="D7730" s="2" t="str">
        <f t="shared" si="126"/>
        <v>Error?</v>
      </c>
      <c r="E7730" s="2" t="s">
        <v>881</v>
      </c>
    </row>
    <row r="7731" spans="1:6" x14ac:dyDescent="0.2">
      <c r="A7731">
        <v>7670</v>
      </c>
      <c r="B7731" s="138">
        <f>'Revenues 9-14'!H103</f>
        <v>103733</v>
      </c>
      <c r="D7731" s="2" t="str">
        <f t="shared" si="126"/>
        <v>Error?</v>
      </c>
      <c r="E7731" s="2" t="s">
        <v>881</v>
      </c>
    </row>
    <row r="7732" spans="1:6" x14ac:dyDescent="0.2">
      <c r="A7732">
        <v>7671</v>
      </c>
      <c r="B7732" s="138">
        <f>'Rest Tax Levies-Tort Im 25'!J24</f>
        <v>279443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279443</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800000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399" t="str">
        <f>COVER!A17</f>
        <v>Annawan Community Unit School District No. 226</v>
      </c>
      <c r="B7" s="2400"/>
      <c r="C7" s="2400"/>
      <c r="D7" s="2437"/>
      <c r="E7" s="2438">
        <f>COVER!A13</f>
        <v>28037226026</v>
      </c>
      <c r="F7" s="2439"/>
      <c r="G7" s="2406" t="str">
        <f>COVER!T23</f>
        <v>066-005027</v>
      </c>
      <c r="H7" s="2407"/>
      <c r="I7" s="2407"/>
      <c r="J7" s="2407"/>
      <c r="K7" s="2407"/>
      <c r="L7" s="240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09"/>
      <c r="B9" s="2410"/>
      <c r="C9" s="2410"/>
      <c r="D9" s="2410"/>
      <c r="E9" s="2410"/>
      <c r="F9" s="2411"/>
      <c r="G9" s="2412" t="str">
        <f>COVER!T13</f>
        <v>Gorenz and Associates, Ltd.</v>
      </c>
      <c r="H9" s="2413"/>
      <c r="I9" s="2413"/>
      <c r="J9" s="2413"/>
      <c r="K9" s="2413"/>
      <c r="L9" s="2414"/>
    </row>
    <row r="10" spans="1:29" ht="13.5" customHeight="1" x14ac:dyDescent="0.2">
      <c r="A10" s="2396" t="str">
        <f>COVER!A38</f>
        <v xml:space="preserve">Matt Nordstrom </v>
      </c>
      <c r="B10" s="2397"/>
      <c r="C10" s="2397"/>
      <c r="D10" s="2397"/>
      <c r="E10" s="2397"/>
      <c r="F10" s="2398"/>
      <c r="G10" s="2412" t="str">
        <f>COVER!T17</f>
        <v>4200 N Knoxville Ave</v>
      </c>
      <c r="H10" s="2425"/>
      <c r="I10" s="2425"/>
      <c r="J10" s="2425"/>
      <c r="K10" s="2425"/>
      <c r="L10" s="2426"/>
    </row>
    <row r="11" spans="1:29" ht="13.5" customHeight="1" x14ac:dyDescent="0.2">
      <c r="A11" s="1183" t="s">
        <v>1599</v>
      </c>
      <c r="B11" s="1184"/>
      <c r="C11" s="1185"/>
      <c r="D11" s="1190"/>
      <c r="E11" s="1185"/>
      <c r="F11" s="1189"/>
      <c r="G11" s="2412" t="str">
        <f>COVER!T19</f>
        <v>Peoria</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tcustis@gorenzcpa.com</v>
      </c>
      <c r="J13" s="2434"/>
      <c r="K13" s="2434"/>
      <c r="L13" s="2435"/>
    </row>
    <row r="14" spans="1:29" ht="13.5" customHeight="1" x14ac:dyDescent="0.2">
      <c r="A14" s="2412" t="str">
        <f>COVER!A19</f>
        <v>501 W South Street</v>
      </c>
      <c r="B14" s="2425"/>
      <c r="C14" s="2425"/>
      <c r="D14" s="2425"/>
      <c r="E14" s="2425"/>
      <c r="F14" s="2426"/>
      <c r="G14" s="1194" t="s">
        <v>1247</v>
      </c>
      <c r="H14" s="1192"/>
      <c r="I14" s="1192"/>
      <c r="J14" s="1192"/>
      <c r="K14" s="1192"/>
      <c r="L14" s="1193"/>
    </row>
    <row r="15" spans="1:29" ht="13.5" customHeight="1" x14ac:dyDescent="0.2">
      <c r="A15" s="2412" t="str">
        <f>COVER!A21</f>
        <v>Annawan</v>
      </c>
      <c r="B15" s="2425"/>
      <c r="C15" s="2425"/>
      <c r="D15" s="2425"/>
      <c r="E15" s="2425"/>
      <c r="F15" s="2426"/>
      <c r="G15" s="2422" t="str">
        <f>COVER!T15</f>
        <v>Tim C. Custis, CPA</v>
      </c>
      <c r="H15" s="2423"/>
      <c r="I15" s="2423"/>
      <c r="J15" s="2423"/>
      <c r="K15" s="2423"/>
      <c r="L15" s="2424"/>
    </row>
    <row r="16" spans="1:29" ht="12.2" customHeight="1" x14ac:dyDescent="0.2">
      <c r="A16" s="2402">
        <f>COVER!A25</f>
        <v>61234</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4" t="s">
        <v>1246</v>
      </c>
      <c r="H17" s="1192"/>
      <c r="I17" s="1192"/>
      <c r="J17" s="1192"/>
      <c r="K17" s="1196" t="s">
        <v>1245</v>
      </c>
      <c r="L17" s="1189"/>
      <c r="M17" s="1182"/>
    </row>
    <row r="18" spans="1:13" ht="12.2" customHeight="1" x14ac:dyDescent="0.2">
      <c r="A18" s="2396"/>
      <c r="B18" s="2397"/>
      <c r="C18" s="2397"/>
      <c r="D18" s="2397"/>
      <c r="E18" s="2397"/>
      <c r="F18" s="2398"/>
      <c r="G18" s="2399" t="str">
        <f>COVER!T21</f>
        <v>309-685-7621</v>
      </c>
      <c r="H18" s="2400"/>
      <c r="I18" s="2400"/>
      <c r="J18" s="2400"/>
      <c r="K18" s="2399" t="str">
        <f>COVER!X21</f>
        <v>309-685-4758</v>
      </c>
      <c r="L18" s="240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L54" sqref="L54"/>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0" t="str">
        <f>'Single Audit Cover - NA'!A7</f>
        <v>Annawan Community Unit School District No. 226</v>
      </c>
      <c r="B1" s="2436"/>
      <c r="C1" s="2436"/>
      <c r="D1" s="2436"/>
    </row>
    <row r="2" spans="1:11" s="1213" customFormat="1" ht="12.75" x14ac:dyDescent="0.2">
      <c r="A2" s="2441">
        <f>'Single Audit Cover - NA'!E7</f>
        <v>28037226026</v>
      </c>
      <c r="B2" s="2442"/>
      <c r="C2" s="2442"/>
      <c r="D2" s="2442"/>
    </row>
    <row r="3" spans="1:11" s="1213" customFormat="1" ht="12.75" x14ac:dyDescent="0.2">
      <c r="A3" s="2440" t="s">
        <v>1593</v>
      </c>
      <c r="B3" s="2436"/>
      <c r="C3" s="2436"/>
      <c r="D3" s="243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4" t="str">
        <f>'Single Audit Cover - NA'!A7</f>
        <v>Annawan Community Unit School District No. 226</v>
      </c>
      <c r="B1" s="2444"/>
      <c r="C1" s="2444"/>
      <c r="D1" s="2444"/>
      <c r="E1" s="2444"/>
    </row>
    <row r="2" spans="1:5" x14ac:dyDescent="0.2">
      <c r="A2" s="2445">
        <f>'Single Audit Cover - NA'!E7</f>
        <v>28037226026</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 - NA'!A4</f>
        <v>Year Ending June 30, 2018</v>
      </c>
      <c r="B5" s="2447"/>
      <c r="C5" s="2447"/>
      <c r="D5" s="2447"/>
      <c r="E5" s="2447"/>
    </row>
    <row r="6" spans="1:5" x14ac:dyDescent="0.2">
      <c r="A6" s="2444" t="s">
        <v>1306</v>
      </c>
      <c r="B6" s="2444"/>
      <c r="C6" s="2444"/>
      <c r="D6" s="2444"/>
      <c r="E6" s="2444"/>
    </row>
    <row r="8" spans="1:5" x14ac:dyDescent="0.2">
      <c r="A8" s="1258" t="s">
        <v>1305</v>
      </c>
    </row>
    <row r="10" spans="1:5" x14ac:dyDescent="0.2">
      <c r="A10" s="1259" t="s">
        <v>1304</v>
      </c>
      <c r="B10" s="1260" t="s">
        <v>1303</v>
      </c>
      <c r="C10" s="1260"/>
      <c r="D10" s="1261">
        <f>SUM('Acct Summary 7-8'!C7:K7)</f>
        <v>175917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13983</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-3529</v>
      </c>
    </row>
    <row r="19" spans="1:4" ht="13.5" thickBot="1" x14ac:dyDescent="0.25">
      <c r="A19" s="1263" t="s">
        <v>1297</v>
      </c>
      <c r="D19" s="1264">
        <f>SUM(D10:D17)</f>
        <v>186371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6"/>
      <c r="B24" s="2446"/>
      <c r="D24" s="1266"/>
    </row>
    <row r="25" spans="1:4" x14ac:dyDescent="0.2">
      <c r="A25" s="2443"/>
      <c r="B25" s="2443"/>
      <c r="D25" s="1266"/>
    </row>
    <row r="26" spans="1:4" x14ac:dyDescent="0.2">
      <c r="A26" s="2443"/>
      <c r="B26" s="2443"/>
      <c r="D26" s="1266"/>
    </row>
    <row r="27" spans="1:4" x14ac:dyDescent="0.2">
      <c r="A27" s="2443"/>
      <c r="B27" s="2443"/>
      <c r="D27" s="1266"/>
    </row>
    <row r="28" spans="1:4" x14ac:dyDescent="0.2">
      <c r="A28" s="2443"/>
      <c r="B28" s="2443"/>
      <c r="D28" s="1266"/>
    </row>
    <row r="29" spans="1:4" x14ac:dyDescent="0.2">
      <c r="A29" s="2443"/>
      <c r="B29" s="2443"/>
      <c r="D29" s="1266"/>
    </row>
    <row r="30" spans="1:4" x14ac:dyDescent="0.2">
      <c r="A30" s="2443"/>
      <c r="B30" s="2443"/>
      <c r="D30" s="1266"/>
    </row>
    <row r="32" spans="1:4" x14ac:dyDescent="0.2">
      <c r="A32" s="1258" t="s">
        <v>1295</v>
      </c>
      <c r="D32" s="1261">
        <f>SUM(D19:D30)</f>
        <v>186371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3"/>
      <c r="B40" s="2443"/>
      <c r="D40" s="1266"/>
    </row>
    <row r="41" spans="1:4" x14ac:dyDescent="0.2">
      <c r="A41" s="2443"/>
      <c r="B41" s="2443"/>
      <c r="D41" s="1269"/>
    </row>
    <row r="42" spans="1:4" x14ac:dyDescent="0.2">
      <c r="A42" s="2443"/>
      <c r="B42" s="2443"/>
      <c r="D42" s="1269"/>
    </row>
    <row r="43" spans="1:4" x14ac:dyDescent="0.2">
      <c r="A43" s="2443"/>
      <c r="B43" s="2443"/>
      <c r="D43" s="1269"/>
    </row>
    <row r="44" spans="1:4" x14ac:dyDescent="0.2">
      <c r="A44" s="2443"/>
      <c r="B44" s="2443"/>
      <c r="D44" s="1269"/>
    </row>
    <row r="45" spans="1:4" x14ac:dyDescent="0.2">
      <c r="A45" s="2443"/>
      <c r="B45" s="2443"/>
      <c r="D45" s="1269"/>
    </row>
    <row r="47" spans="1:4" x14ac:dyDescent="0.2">
      <c r="B47" s="1270" t="s">
        <v>1289</v>
      </c>
      <c r="C47" s="1270"/>
      <c r="D47" s="1271">
        <f>SUM(D35:D45)</f>
        <v>0</v>
      </c>
    </row>
    <row r="49" spans="2:4" x14ac:dyDescent="0.2">
      <c r="B49" s="1270" t="s">
        <v>1288</v>
      </c>
      <c r="C49" s="1270"/>
      <c r="D49" s="1271">
        <f>D32-D47</f>
        <v>186371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 - NA'!A7</f>
        <v>Annawan Community Unit School District No. 226</v>
      </c>
      <c r="B1" s="2449"/>
      <c r="C1" s="2449"/>
      <c r="D1" s="2449"/>
      <c r="E1" s="2449"/>
      <c r="F1" s="2449"/>
    </row>
    <row r="2" spans="1:7" ht="13.5" customHeight="1" x14ac:dyDescent="0.2">
      <c r="A2" s="2450">
        <f>'Single Audit Cover - NA'!E7</f>
        <v>28037226026</v>
      </c>
      <c r="B2" s="2450"/>
      <c r="C2" s="2450"/>
      <c r="D2" s="2450"/>
      <c r="E2" s="2450"/>
      <c r="F2" s="2450"/>
      <c r="G2" s="1273"/>
    </row>
    <row r="3" spans="1:7" ht="15.75" customHeight="1" x14ac:dyDescent="0.2">
      <c r="A3" s="2451" t="s">
        <v>1333</v>
      </c>
      <c r="B3" s="2451"/>
      <c r="C3" s="2451"/>
      <c r="D3" s="2451"/>
      <c r="E3" s="2451"/>
      <c r="F3" s="2451"/>
    </row>
    <row r="4" spans="1:7" ht="13.5" customHeight="1" x14ac:dyDescent="0.2">
      <c r="A4" s="2452" t="str">
        <f>'Single Audit Cover - NA'!A4</f>
        <v>Year Ending June 30, 2018</v>
      </c>
      <c r="B4" s="2452"/>
      <c r="C4" s="2452"/>
      <c r="D4" s="2452"/>
      <c r="E4" s="2452"/>
      <c r="F4" s="2452"/>
    </row>
    <row r="5" spans="1:7" ht="8.25" customHeight="1" x14ac:dyDescent="0.2">
      <c r="C5" s="317"/>
      <c r="D5" s="317"/>
    </row>
    <row r="6" spans="1:7" ht="13.5" customHeight="1" x14ac:dyDescent="0.2">
      <c r="A6" s="1274" t="s">
        <v>1831</v>
      </c>
      <c r="C6" s="317"/>
      <c r="D6" s="317"/>
    </row>
    <row r="7" spans="1:7" ht="60.95" customHeight="1" x14ac:dyDescent="0.2">
      <c r="A7" s="2448" t="s">
        <v>1832</v>
      </c>
      <c r="B7" s="2448"/>
      <c r="C7" s="2448"/>
      <c r="D7" s="2448"/>
      <c r="E7" s="2448"/>
      <c r="F7" s="2448"/>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8" t="s">
        <v>1834</v>
      </c>
      <c r="B13" s="2448"/>
      <c r="C13" s="2448"/>
      <c r="D13" s="2448"/>
      <c r="E13" s="2448"/>
      <c r="F13" s="2448"/>
    </row>
    <row r="14" spans="1:7" ht="9.75" customHeight="1" x14ac:dyDescent="0.2">
      <c r="C14" s="1258"/>
      <c r="D14" s="1258"/>
    </row>
    <row r="15" spans="1:7" ht="13.5" customHeight="1" x14ac:dyDescent="0.2">
      <c r="C15" s="1869" t="s">
        <v>1332</v>
      </c>
      <c r="D15" s="2454" t="s">
        <v>1331</v>
      </c>
      <c r="E15" s="2454"/>
      <c r="F15" s="2454"/>
    </row>
    <row r="16" spans="1:7" ht="13.5" customHeight="1" x14ac:dyDescent="0.2">
      <c r="A16" s="1280"/>
      <c r="B16" s="1274" t="s">
        <v>1330</v>
      </c>
      <c r="C16" s="1869" t="s">
        <v>1329</v>
      </c>
      <c r="D16" s="2455" t="s">
        <v>1670</v>
      </c>
      <c r="E16" s="2455"/>
      <c r="F16" s="2455"/>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7" t="s">
        <v>1835</v>
      </c>
      <c r="B32" s="2457"/>
      <c r="C32" s="2457"/>
      <c r="D32" s="2457"/>
      <c r="E32" s="2457"/>
      <c r="F32" s="2457"/>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8">
        <f>+C33+C34</f>
        <v>0</v>
      </c>
      <c r="F34" s="2459"/>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0" t="s">
        <v>1672</v>
      </c>
      <c r="C49" s="2460"/>
      <c r="D49" s="2460"/>
      <c r="E49" s="1397"/>
    </row>
    <row r="50" spans="1:5" s="1298" customFormat="1" ht="3.75" customHeight="1" x14ac:dyDescent="0.2">
      <c r="A50" s="1297"/>
      <c r="B50" s="1868"/>
      <c r="C50" s="1868"/>
      <c r="D50" s="1868"/>
      <c r="E50" s="1397"/>
    </row>
    <row r="51" spans="1:5" s="1298" customFormat="1" ht="20.25" customHeight="1" x14ac:dyDescent="0.2">
      <c r="A51" s="1299">
        <v>6</v>
      </c>
      <c r="B51" s="2456" t="s">
        <v>1632</v>
      </c>
      <c r="C51" s="2456"/>
      <c r="D51" s="2456"/>
    </row>
    <row r="52" spans="1:5" ht="14.25" customHeight="1" x14ac:dyDescent="0.2">
      <c r="A52" s="1299"/>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5" t="str">
        <f>'Single Audit Cover - NA'!A7</f>
        <v>Annawan Community Unit School District No. 226</v>
      </c>
      <c r="C1" s="2461"/>
      <c r="D1" s="2461"/>
      <c r="E1" s="2461"/>
      <c r="F1" s="2461"/>
      <c r="G1" s="2461"/>
      <c r="H1" s="2461"/>
      <c r="I1" s="2461"/>
      <c r="J1" s="2461"/>
      <c r="K1" s="2461"/>
      <c r="L1" s="2461"/>
      <c r="M1" s="2461"/>
    </row>
    <row r="2" spans="2:14" ht="15" x14ac:dyDescent="0.2">
      <c r="B2" s="2450">
        <f>'Single Audit Cover - NA'!E7</f>
        <v>28037226026</v>
      </c>
      <c r="C2" s="2450"/>
      <c r="D2" s="2450"/>
      <c r="E2" s="2450"/>
      <c r="F2" s="2450"/>
      <c r="G2" s="2450"/>
      <c r="H2" s="2450"/>
      <c r="I2" s="2450"/>
      <c r="J2" s="2450"/>
      <c r="K2" s="2450"/>
      <c r="L2" s="2450"/>
      <c r="M2" s="2450"/>
      <c r="N2" s="1300"/>
    </row>
    <row r="3" spans="2:14" ht="15" x14ac:dyDescent="0.2">
      <c r="B3" s="2462" t="s">
        <v>1281</v>
      </c>
      <c r="C3" s="2462"/>
      <c r="D3" s="2462"/>
      <c r="E3" s="2462"/>
      <c r="F3" s="2462"/>
      <c r="G3" s="2462"/>
      <c r="H3" s="2462"/>
      <c r="I3" s="2462"/>
      <c r="J3" s="2462"/>
      <c r="K3" s="2462"/>
      <c r="L3" s="2462"/>
      <c r="M3" s="2462"/>
      <c r="N3" s="1300"/>
    </row>
    <row r="4" spans="2:14" ht="15" x14ac:dyDescent="0.2">
      <c r="B4" s="2463" t="str">
        <f>'Single Audit Cover - NA'!A4</f>
        <v>Year Ending June 30, 2018</v>
      </c>
      <c r="C4" s="2463"/>
      <c r="D4" s="2463"/>
      <c r="E4" s="2463"/>
      <c r="F4" s="2463"/>
      <c r="G4" s="2463"/>
      <c r="H4" s="2463"/>
      <c r="I4" s="2463"/>
      <c r="J4" s="2463"/>
      <c r="K4" s="2463"/>
      <c r="L4" s="2463"/>
      <c r="M4" s="2463"/>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2112</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t="s">
        <v>2111</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t="s">
        <v>2127</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 - NA'!A7</f>
        <v>Annawan Community Unit School District No. 226</v>
      </c>
      <c r="C1" s="2469"/>
      <c r="D1" s="2469"/>
      <c r="E1" s="2469"/>
      <c r="F1" s="2469"/>
      <c r="G1" s="2469"/>
      <c r="H1" s="2469"/>
      <c r="I1" s="2469"/>
      <c r="J1" s="1420"/>
    </row>
    <row r="2" spans="2:10" s="317" customFormat="1" ht="12.75" customHeight="1" x14ac:dyDescent="0.2">
      <c r="B2" s="2470">
        <f>'Single Audit Cover - NA'!E7</f>
        <v>28037226026</v>
      </c>
      <c r="C2" s="2471"/>
      <c r="D2" s="2471"/>
      <c r="E2" s="2471"/>
      <c r="F2" s="2471"/>
      <c r="G2" s="2471"/>
      <c r="H2" s="2471"/>
      <c r="I2" s="2471"/>
      <c r="J2" s="1420"/>
    </row>
    <row r="3" spans="2:10" s="317" customFormat="1" ht="12.75" customHeight="1" x14ac:dyDescent="0.2">
      <c r="B3" s="2472" t="s">
        <v>1347</v>
      </c>
      <c r="C3" s="2473"/>
      <c r="D3" s="2473"/>
      <c r="E3" s="2473"/>
      <c r="F3" s="2473"/>
      <c r="G3" s="2473"/>
      <c r="H3" s="2473"/>
      <c r="I3" s="2473"/>
      <c r="J3" s="1421"/>
    </row>
    <row r="4" spans="2:10" s="317" customFormat="1" ht="12.75" customHeight="1" x14ac:dyDescent="0.2">
      <c r="B4" s="2472" t="str">
        <f>'Single Audit Cover - NA'!A4</f>
        <v>Year Ending June 30, 2018</v>
      </c>
      <c r="C4" s="2473"/>
      <c r="D4" s="2473"/>
      <c r="E4" s="2473"/>
      <c r="F4" s="2473"/>
      <c r="G4" s="2473"/>
      <c r="H4" s="2473"/>
      <c r="I4" s="247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2" t="s">
        <v>1346</v>
      </c>
      <c r="C7" s="2473"/>
      <c r="D7" s="2473"/>
      <c r="E7" s="2473"/>
      <c r="F7" s="2473"/>
      <c r="G7" s="2473"/>
      <c r="H7" s="2473"/>
      <c r="I7" s="247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4"/>
      <c r="D11" s="247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5"/>
      <c r="E29" s="2475"/>
      <c r="F29" s="2475"/>
      <c r="G29" s="2475"/>
      <c r="H29" s="2475"/>
      <c r="I29" s="247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6" t="s">
        <v>1854</v>
      </c>
      <c r="D37" s="2477"/>
      <c r="E37" s="2477"/>
      <c r="F37" s="2478"/>
      <c r="G37" s="2476" t="s">
        <v>1674</v>
      </c>
      <c r="H37" s="2477"/>
      <c r="I37" s="2478"/>
    </row>
    <row r="38" spans="2:9" ht="16.5" customHeight="1" x14ac:dyDescent="0.2">
      <c r="B38" s="1442"/>
      <c r="C38" s="2464"/>
      <c r="D38" s="2465"/>
      <c r="E38" s="2465"/>
      <c r="F38" s="2466"/>
      <c r="G38" s="2479"/>
      <c r="H38" s="2480"/>
      <c r="I38" s="2481"/>
    </row>
    <row r="39" spans="2:9" ht="16.5" customHeight="1" x14ac:dyDescent="0.2">
      <c r="B39" s="1442"/>
      <c r="C39" s="2464"/>
      <c r="D39" s="2465"/>
      <c r="E39" s="2465"/>
      <c r="F39" s="2466"/>
      <c r="G39" s="2467"/>
      <c r="H39" s="2467"/>
      <c r="I39" s="2467"/>
    </row>
    <row r="40" spans="2:9" ht="16.5" customHeight="1" x14ac:dyDescent="0.2">
      <c r="B40" s="1442"/>
      <c r="C40" s="2464"/>
      <c r="D40" s="2465"/>
      <c r="E40" s="2465"/>
      <c r="F40" s="2466"/>
      <c r="G40" s="2467"/>
      <c r="H40" s="2467"/>
      <c r="I40" s="2467"/>
    </row>
    <row r="41" spans="2:9" ht="16.5" customHeight="1" x14ac:dyDescent="0.2">
      <c r="B41" s="1442"/>
      <c r="C41" s="2464"/>
      <c r="D41" s="2465"/>
      <c r="E41" s="2465"/>
      <c r="F41" s="2466"/>
      <c r="G41" s="2467"/>
      <c r="H41" s="2467"/>
      <c r="I41" s="2467"/>
    </row>
    <row r="42" spans="2:9" ht="16.5" customHeight="1" x14ac:dyDescent="0.2">
      <c r="B42" s="1442"/>
      <c r="C42" s="2464"/>
      <c r="D42" s="2465"/>
      <c r="E42" s="2465"/>
      <c r="F42" s="2466"/>
      <c r="G42" s="2467"/>
      <c r="H42" s="2467"/>
      <c r="I42" s="2467"/>
    </row>
    <row r="43" spans="2:9" ht="16.5" customHeight="1" x14ac:dyDescent="0.2">
      <c r="B43" s="1442"/>
      <c r="C43" s="2482" t="s">
        <v>1675</v>
      </c>
      <c r="D43" s="2483"/>
      <c r="E43" s="2483"/>
      <c r="F43" s="2484"/>
      <c r="G43" s="2485">
        <f>SUM(G38:I42)</f>
        <v>0</v>
      </c>
      <c r="H43" s="2485"/>
      <c r="I43" s="2485"/>
    </row>
    <row r="44" spans="2:9" ht="12.75" customHeight="1" x14ac:dyDescent="0.2"/>
    <row r="45" spans="2:9" ht="12.75" customHeight="1" x14ac:dyDescent="0.2">
      <c r="B45" s="1433" t="s">
        <v>1952</v>
      </c>
      <c r="D45" s="2486">
        <v>0</v>
      </c>
      <c r="E45" s="248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8"/>
      <c r="F49" s="2488"/>
      <c r="G49" s="248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 - NA'!A7</f>
        <v>Annawan Community Unit School District No. 226</v>
      </c>
      <c r="C1" s="2468"/>
      <c r="D1" s="2468"/>
      <c r="E1" s="2468"/>
      <c r="F1" s="2468"/>
      <c r="G1" s="2468"/>
      <c r="H1" s="2468"/>
      <c r="I1" s="2468"/>
      <c r="J1" s="2468"/>
      <c r="K1" s="2468"/>
      <c r="L1" s="1372"/>
      <c r="M1" s="1372"/>
    </row>
    <row r="2" spans="1:13" ht="12" customHeight="1" x14ac:dyDescent="0.2">
      <c r="B2" s="2470">
        <f>'Single Audit Cover - NA'!E7</f>
        <v>28037226026</v>
      </c>
      <c r="C2" s="2470"/>
      <c r="D2" s="2470"/>
      <c r="E2" s="2470"/>
      <c r="F2" s="2470"/>
      <c r="G2" s="2470"/>
      <c r="H2" s="2470"/>
      <c r="I2" s="2470"/>
      <c r="J2" s="2470"/>
      <c r="K2" s="2470"/>
      <c r="L2" s="1373"/>
      <c r="M2" s="1374"/>
    </row>
    <row r="3" spans="1:13" ht="10.35" customHeight="1" x14ac:dyDescent="0.2">
      <c r="B3" s="2491" t="s">
        <v>1347</v>
      </c>
      <c r="C3" s="2491"/>
      <c r="D3" s="2491"/>
      <c r="E3" s="2491"/>
      <c r="F3" s="2491"/>
      <c r="G3" s="2491"/>
      <c r="H3" s="2491"/>
      <c r="I3" s="2491"/>
      <c r="J3" s="2491"/>
      <c r="K3" s="2491"/>
      <c r="L3" s="1375"/>
      <c r="M3" s="1375"/>
    </row>
    <row r="4" spans="1:13" ht="14.25" customHeight="1" x14ac:dyDescent="0.2">
      <c r="B4" s="2492" t="str">
        <f>'Single Audit Cover - NA'!A4</f>
        <v>Year Ending June 30, 2018</v>
      </c>
      <c r="C4" s="2492"/>
      <c r="D4" s="2492"/>
      <c r="E4" s="2492"/>
      <c r="F4" s="2492"/>
      <c r="G4" s="2492"/>
      <c r="H4" s="2492"/>
      <c r="I4" s="2492"/>
      <c r="J4" s="2492"/>
      <c r="K4" s="249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2" t="s">
        <v>1363</v>
      </c>
      <c r="C7" s="2492"/>
      <c r="D7" s="2493"/>
      <c r="E7" s="2493"/>
      <c r="F7" s="2493"/>
      <c r="G7" s="2493"/>
      <c r="H7" s="2493"/>
      <c r="I7" s="2493"/>
      <c r="J7" s="2493"/>
      <c r="K7" s="249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0.25" customHeight="1" x14ac:dyDescent="0.2">
      <c r="B14" s="2490" t="s">
        <v>2104</v>
      </c>
      <c r="C14" s="2490"/>
      <c r="D14" s="2490"/>
      <c r="E14" s="2490"/>
      <c r="F14" s="2490"/>
      <c r="G14" s="2490"/>
      <c r="H14" s="2490"/>
      <c r="I14" s="2490"/>
      <c r="J14" s="2490"/>
      <c r="K14" s="249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0" t="s">
        <v>2105</v>
      </c>
      <c r="C17" s="2490"/>
      <c r="D17" s="2490"/>
      <c r="E17" s="2490"/>
      <c r="F17" s="2490"/>
      <c r="G17" s="2490"/>
      <c r="H17" s="2490"/>
      <c r="I17" s="2490"/>
      <c r="J17" s="2490"/>
      <c r="K17" s="2490"/>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4" t="s">
        <v>2106</v>
      </c>
      <c r="C20" s="2494"/>
      <c r="D20" s="2490"/>
      <c r="E20" s="2490"/>
      <c r="F20" s="2490"/>
      <c r="G20" s="2490"/>
      <c r="H20" s="2490"/>
      <c r="I20" s="2490"/>
      <c r="J20" s="2490"/>
      <c r="K20" s="249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0" t="s">
        <v>2107</v>
      </c>
      <c r="C23" s="2490"/>
      <c r="D23" s="2490"/>
      <c r="E23" s="2490"/>
      <c r="F23" s="2490"/>
      <c r="G23" s="2490"/>
      <c r="H23" s="2490"/>
      <c r="I23" s="2490"/>
      <c r="J23" s="2490"/>
      <c r="K23" s="249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0" t="s">
        <v>2108</v>
      </c>
      <c r="C26" s="2490"/>
      <c r="D26" s="2490"/>
      <c r="E26" s="2490"/>
      <c r="F26" s="2490"/>
      <c r="G26" s="2490"/>
      <c r="H26" s="2490"/>
      <c r="I26" s="2490"/>
      <c r="J26" s="2490"/>
      <c r="K26" s="249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9" t="s">
        <v>2109</v>
      </c>
      <c r="C29" s="2489"/>
      <c r="D29" s="2490"/>
      <c r="E29" s="2490"/>
      <c r="F29" s="2490"/>
      <c r="G29" s="2490"/>
      <c r="H29" s="2490"/>
      <c r="I29" s="2490"/>
      <c r="J29" s="2490"/>
      <c r="K29" s="249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9" t="s">
        <v>2110</v>
      </c>
      <c r="C32" s="2489"/>
      <c r="D32" s="2490"/>
      <c r="E32" s="2490"/>
      <c r="F32" s="2490"/>
      <c r="G32" s="2490"/>
      <c r="H32" s="2490"/>
      <c r="I32" s="2490"/>
      <c r="J32" s="2490"/>
      <c r="K32" s="2490"/>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 - NA'!A7</f>
        <v>Annawan Community Unit School District No. 226</v>
      </c>
      <c r="C1" s="2495"/>
      <c r="D1" s="2495"/>
      <c r="E1" s="2495"/>
      <c r="F1" s="2495"/>
      <c r="G1" s="2495"/>
      <c r="H1" s="2495"/>
      <c r="I1" s="2495"/>
      <c r="J1" s="2495"/>
      <c r="K1" s="2495"/>
      <c r="L1" s="1463"/>
    </row>
    <row r="2" spans="1:12" ht="12.75" customHeight="1" x14ac:dyDescent="0.2">
      <c r="B2" s="2496">
        <f>'Single Audit Cover - NA'!E7</f>
        <v>28037226026</v>
      </c>
      <c r="C2" s="2496"/>
      <c r="D2" s="2496"/>
      <c r="E2" s="2496"/>
      <c r="F2" s="2496"/>
      <c r="G2" s="2496"/>
      <c r="H2" s="2496"/>
      <c r="I2" s="2496"/>
      <c r="J2" s="2496"/>
      <c r="K2" s="2496"/>
      <c r="L2" s="1464"/>
    </row>
    <row r="3" spans="1:12" ht="12.75" customHeight="1" x14ac:dyDescent="0.2">
      <c r="B3" s="2491" t="s">
        <v>1347</v>
      </c>
      <c r="C3" s="2491"/>
      <c r="D3" s="2491"/>
      <c r="E3" s="2491"/>
      <c r="F3" s="2491"/>
      <c r="G3" s="2491"/>
      <c r="H3" s="2491"/>
      <c r="I3" s="2491"/>
      <c r="J3" s="2491"/>
      <c r="K3" s="2491"/>
      <c r="L3" s="1375"/>
    </row>
    <row r="4" spans="1:12" ht="12.75" customHeight="1" x14ac:dyDescent="0.2">
      <c r="B4" s="2491" t="str">
        <f>'Single Audit Cover - NA'!A4</f>
        <v>Year Ending June 30, 2018</v>
      </c>
      <c r="C4" s="2491"/>
      <c r="D4" s="2491"/>
      <c r="E4" s="2491"/>
      <c r="F4" s="2491"/>
      <c r="G4" s="2491"/>
      <c r="H4" s="2491"/>
      <c r="I4" s="2491"/>
      <c r="J4" s="2491"/>
      <c r="K4" s="2491"/>
      <c r="L4" s="1375"/>
    </row>
    <row r="5" spans="1:12" ht="5.25" customHeight="1" x14ac:dyDescent="0.2">
      <c r="B5" s="1258" t="s">
        <v>1231</v>
      </c>
      <c r="C5" s="1258"/>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5"/>
      <c r="G12" s="2475"/>
      <c r="H12" s="2475"/>
      <c r="I12" s="2475"/>
      <c r="J12" s="2475"/>
      <c r="K12" s="247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0"/>
      <c r="C20" s="2490"/>
      <c r="D20" s="2490"/>
      <c r="E20" s="2490"/>
      <c r="F20" s="2490"/>
      <c r="G20" s="2490"/>
      <c r="H20" s="2490"/>
      <c r="I20" s="2490"/>
      <c r="J20" s="2490"/>
      <c r="K20" s="249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8" t="str">
        <f>'Single Audit Cover - NA'!A7</f>
        <v>Annawan Community Unit School District No. 226</v>
      </c>
      <c r="C1" s="2468"/>
      <c r="D1" s="2468"/>
      <c r="E1" s="1489"/>
    </row>
    <row r="2" spans="2:5" s="1280" customFormat="1" ht="12.75" customHeight="1" x14ac:dyDescent="0.2">
      <c r="B2" s="2470">
        <f>'Single Audit Cover - NA'!E7</f>
        <v>28037226026</v>
      </c>
      <c r="C2" s="2470"/>
      <c r="D2" s="2470"/>
      <c r="E2" s="1490"/>
    </row>
    <row r="3" spans="2:5" ht="12.75" customHeight="1" x14ac:dyDescent="0.2">
      <c r="B3" s="2491" t="s">
        <v>1869</v>
      </c>
      <c r="C3" s="2491"/>
      <c r="D3" s="2491"/>
      <c r="E3" s="1272"/>
    </row>
    <row r="4" spans="2:5" s="1280" customFormat="1" ht="12.75" customHeight="1" x14ac:dyDescent="0.2">
      <c r="B4" s="2501" t="str">
        <f>'Single Audit Cover - NA'!A4</f>
        <v>Year Ending June 30, 2018</v>
      </c>
      <c r="C4" s="2501"/>
      <c r="D4" s="2501"/>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2101</v>
      </c>
      <c r="C7" s="324" t="s">
        <v>2102</v>
      </c>
      <c r="D7" s="324" t="s">
        <v>2103</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53995786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2.9000000000000001E-2</v>
      </c>
      <c r="E10" s="356" t="s">
        <v>1062</v>
      </c>
      <c r="F10" s="355">
        <v>4.9360000000000003E-3</v>
      </c>
      <c r="G10" s="356" t="s">
        <v>1062</v>
      </c>
      <c r="H10" s="355">
        <v>1.9750000000000002E-3</v>
      </c>
      <c r="I10" s="356" t="s">
        <v>1063</v>
      </c>
      <c r="J10" s="1752">
        <f>ROUND(D10+F10+H10,5)</f>
        <v>3.5909999999999997E-2</v>
      </c>
      <c r="K10" s="222"/>
      <c r="L10" s="355">
        <v>4.9399999999999997E-4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3567414</v>
      </c>
      <c r="E16" s="356"/>
      <c r="F16" s="1753">
        <f>SUM('Acct Summary 7-8'!C17,'Acct Summary 7-8'!D17,'Acct Summary 7-8'!F17)</f>
        <v>3608280</v>
      </c>
      <c r="G16" s="356"/>
      <c r="H16" s="1753">
        <f>SUM(D16-F16)</f>
        <v>-40866</v>
      </c>
      <c r="I16" s="222"/>
      <c r="J16" s="1753">
        <f>SUM('Acct Summary 7-8'!C81,'Acct Summary 7-8'!D81,'Acct Summary 7-8'!F81,'Acct Summary 7-8'!I81)</f>
        <v>4175033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7451418.4680000003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1726148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Annawan Community Unit School District No. 226</v>
      </c>
      <c r="E7" s="391"/>
      <c r="G7" s="252"/>
      <c r="H7" s="387"/>
      <c r="I7" s="387"/>
      <c r="J7" s="387"/>
      <c r="K7" s="387"/>
      <c r="L7" s="329"/>
      <c r="M7" s="329"/>
      <c r="N7" s="329"/>
      <c r="O7" s="329"/>
      <c r="P7" s="329"/>
    </row>
    <row r="8" spans="1:18" ht="12.75" x14ac:dyDescent="0.2">
      <c r="A8" s="329"/>
      <c r="B8" s="329"/>
      <c r="C8" s="389" t="s">
        <v>1187</v>
      </c>
      <c r="D8" s="392">
        <f>COVER!A13</f>
        <v>28037226026</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4175033</v>
      </c>
      <c r="I12" s="404"/>
      <c r="J12" s="404"/>
      <c r="K12" s="405">
        <f>TRUNC((H12/H13*100000),5)/100000</f>
        <v>1.1749777037</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3553287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-14127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3608280</v>
      </c>
      <c r="I17" s="404"/>
      <c r="J17" s="416"/>
      <c r="K17" s="405">
        <f>TRUNC((H17/H18*100000),5)/100000</f>
        <v>1.0154766557999999</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3553287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-14127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69.458009300000001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4175033</v>
      </c>
      <c r="I24" s="422"/>
      <c r="J24" s="422"/>
      <c r="K24" s="423">
        <f>TRUNC(((H24/H25*100000)/100000),2)</f>
        <v>416.54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10023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1648140.3739700001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1726148</v>
      </c>
      <c r="I32" s="420"/>
      <c r="J32" s="420"/>
      <c r="K32" s="423">
        <f>TRUNC(100-((((H32/H33*100))*100)/100),2)</f>
        <v>76.83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7451418.4680000003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3" t="s">
        <v>1750</v>
      </c>
      <c r="B4" s="464"/>
      <c r="C4" s="465">
        <v>1900333</v>
      </c>
      <c r="D4" s="465">
        <v>183183</v>
      </c>
      <c r="E4" s="466">
        <v>266651</v>
      </c>
      <c r="F4" s="466">
        <v>226358</v>
      </c>
      <c r="G4" s="466">
        <v>236067</v>
      </c>
      <c r="H4" s="466">
        <v>279444</v>
      </c>
      <c r="I4" s="466">
        <v>1805079</v>
      </c>
      <c r="J4" s="467">
        <v>126498</v>
      </c>
      <c r="K4" s="466">
        <v>216898</v>
      </c>
      <c r="L4" s="466">
        <v>102408</v>
      </c>
      <c r="M4" s="468"/>
      <c r="N4" s="469"/>
    </row>
    <row r="5" spans="1:14" x14ac:dyDescent="0.2">
      <c r="A5" s="463" t="s">
        <v>1049</v>
      </c>
      <c r="B5" s="470">
        <v>120</v>
      </c>
      <c r="C5" s="465">
        <v>60080</v>
      </c>
      <c r="D5" s="466">
        <v>0</v>
      </c>
      <c r="E5" s="466">
        <v>0</v>
      </c>
      <c r="F5" s="466">
        <v>0</v>
      </c>
      <c r="G5" s="466">
        <v>0</v>
      </c>
      <c r="H5" s="466">
        <v>0</v>
      </c>
      <c r="I5" s="466">
        <v>0</v>
      </c>
      <c r="J5" s="467">
        <v>0</v>
      </c>
      <c r="K5" s="471">
        <v>0</v>
      </c>
      <c r="L5" s="472">
        <v>214363</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1960413</v>
      </c>
      <c r="D13" s="1757">
        <f t="shared" ref="D13:L13" si="0">SUM(D4:D12)</f>
        <v>183183</v>
      </c>
      <c r="E13" s="1757">
        <f t="shared" si="0"/>
        <v>266651</v>
      </c>
      <c r="F13" s="1757">
        <f t="shared" si="0"/>
        <v>226358</v>
      </c>
      <c r="G13" s="1757">
        <f t="shared" si="0"/>
        <v>236067</v>
      </c>
      <c r="H13" s="1757">
        <f t="shared" si="0"/>
        <v>279444</v>
      </c>
      <c r="I13" s="1757">
        <f t="shared" si="0"/>
        <v>1805079</v>
      </c>
      <c r="J13" s="1757">
        <f t="shared" si="0"/>
        <v>126498</v>
      </c>
      <c r="K13" s="1757">
        <f t="shared" si="0"/>
        <v>216898</v>
      </c>
      <c r="L13" s="1757">
        <f t="shared" si="0"/>
        <v>316771</v>
      </c>
      <c r="M13" s="468"/>
      <c r="N13" s="469"/>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5215</v>
      </c>
      <c r="N16" s="483"/>
    </row>
    <row r="17" spans="1:14" s="484" customFormat="1" ht="12.75" customHeight="1" x14ac:dyDescent="0.2">
      <c r="A17" s="481" t="s">
        <v>1470</v>
      </c>
      <c r="B17" s="482">
        <v>230</v>
      </c>
      <c r="C17" s="476"/>
      <c r="D17" s="476"/>
      <c r="E17" s="476"/>
      <c r="F17" s="476"/>
      <c r="G17" s="476"/>
      <c r="H17" s="476"/>
      <c r="I17" s="476"/>
      <c r="J17" s="476"/>
      <c r="K17" s="476"/>
      <c r="L17" s="476"/>
      <c r="M17" s="467">
        <v>3609292</v>
      </c>
      <c r="N17" s="483"/>
    </row>
    <row r="18" spans="1:14" s="484" customFormat="1" ht="12.75" customHeight="1" x14ac:dyDescent="0.2">
      <c r="A18" s="481" t="s">
        <v>1471</v>
      </c>
      <c r="B18" s="482">
        <v>240</v>
      </c>
      <c r="C18" s="476"/>
      <c r="D18" s="476"/>
      <c r="E18" s="476"/>
      <c r="F18" s="476"/>
      <c r="G18" s="476"/>
      <c r="H18" s="476"/>
      <c r="I18" s="476"/>
      <c r="J18" s="476"/>
      <c r="K18" s="476"/>
      <c r="L18" s="476"/>
      <c r="M18" s="467">
        <v>423177</v>
      </c>
      <c r="N18" s="483"/>
    </row>
    <row r="19" spans="1:14" s="484" customFormat="1" ht="12.75" customHeight="1" x14ac:dyDescent="0.2">
      <c r="A19" s="481" t="s">
        <v>1472</v>
      </c>
      <c r="B19" s="482">
        <v>250</v>
      </c>
      <c r="C19" s="476"/>
      <c r="D19" s="476"/>
      <c r="E19" s="476"/>
      <c r="F19" s="476"/>
      <c r="G19" s="476"/>
      <c r="H19" s="476"/>
      <c r="I19" s="476"/>
      <c r="J19" s="476"/>
      <c r="K19" s="476"/>
      <c r="L19" s="476"/>
      <c r="M19" s="467">
        <v>1252689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266651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1459497</v>
      </c>
    </row>
    <row r="23" spans="1:14" ht="13.5" customHeight="1" thickBot="1" x14ac:dyDescent="0.25">
      <c r="A23" s="1756" t="s">
        <v>664</v>
      </c>
      <c r="B23" s="1761"/>
      <c r="C23" s="468"/>
      <c r="D23" s="468"/>
      <c r="E23" s="468"/>
      <c r="F23" s="468"/>
      <c r="G23" s="468"/>
      <c r="H23" s="468"/>
      <c r="I23" s="468"/>
      <c r="J23" s="468"/>
      <c r="K23" s="468"/>
      <c r="L23" s="468"/>
      <c r="M23" s="1708">
        <f>SUM(M15:M22)</f>
        <v>5290373</v>
      </c>
      <c r="N23" s="1708">
        <f>SUM(N21:N22)</f>
        <v>1726148</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108807</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108807</v>
      </c>
      <c r="M34" s="468"/>
      <c r="N34" s="479"/>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1726148</v>
      </c>
    </row>
    <row r="37" spans="1:14" ht="13.5" thickBot="1" x14ac:dyDescent="0.25">
      <c r="A37" s="1756" t="s">
        <v>674</v>
      </c>
      <c r="B37" s="1761"/>
      <c r="C37" s="476"/>
      <c r="D37" s="476"/>
      <c r="E37" s="476"/>
      <c r="F37" s="476"/>
      <c r="G37" s="476"/>
      <c r="H37" s="476"/>
      <c r="I37" s="476"/>
      <c r="J37" s="476"/>
      <c r="K37" s="476"/>
      <c r="L37" s="479"/>
      <c r="M37" s="468"/>
      <c r="N37" s="1708">
        <f>SUM(N36:N36)</f>
        <v>1726148</v>
      </c>
    </row>
    <row r="38" spans="1:14" s="329" customFormat="1" ht="13.5" customHeight="1" thickTop="1" x14ac:dyDescent="0.2">
      <c r="A38" s="494" t="s">
        <v>440</v>
      </c>
      <c r="B38" s="482">
        <v>714</v>
      </c>
      <c r="C38" s="465">
        <v>13203</v>
      </c>
      <c r="D38" s="465">
        <v>0</v>
      </c>
      <c r="E38" s="465">
        <v>0</v>
      </c>
      <c r="F38" s="465">
        <v>0</v>
      </c>
      <c r="G38" s="465">
        <v>117029</v>
      </c>
      <c r="H38" s="465">
        <v>279444</v>
      </c>
      <c r="I38" s="465">
        <v>0</v>
      </c>
      <c r="J38" s="465">
        <v>0</v>
      </c>
      <c r="K38" s="465">
        <v>0</v>
      </c>
      <c r="L38" s="465">
        <v>207964</v>
      </c>
      <c r="M38" s="495"/>
      <c r="N38" s="495"/>
    </row>
    <row r="39" spans="1:14" s="329" customFormat="1" ht="13.5" customHeight="1" x14ac:dyDescent="0.2">
      <c r="A39" s="494" t="s">
        <v>360</v>
      </c>
      <c r="B39" s="482">
        <v>730</v>
      </c>
      <c r="C39" s="465">
        <v>1947210</v>
      </c>
      <c r="D39" s="465">
        <v>183183</v>
      </c>
      <c r="E39" s="465">
        <v>266651</v>
      </c>
      <c r="F39" s="465">
        <v>226358</v>
      </c>
      <c r="G39" s="465">
        <v>119038</v>
      </c>
      <c r="H39" s="465">
        <v>0</v>
      </c>
      <c r="I39" s="465">
        <v>1805079</v>
      </c>
      <c r="J39" s="465">
        <v>126498</v>
      </c>
      <c r="K39" s="465">
        <v>216898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5290373</v>
      </c>
      <c r="N40" s="495"/>
    </row>
    <row r="41" spans="1:14" ht="13.5" customHeight="1" thickBot="1" x14ac:dyDescent="0.25">
      <c r="A41" s="1756" t="s">
        <v>676</v>
      </c>
      <c r="B41" s="1726"/>
      <c r="C41" s="1708">
        <f>(SUM(C34,C37,C38,C39))</f>
        <v>1960413</v>
      </c>
      <c r="D41" s="1708">
        <f t="shared" ref="D41:L41" si="2">SUM(D34,D37,D38:D39)</f>
        <v>183183</v>
      </c>
      <c r="E41" s="1708">
        <f t="shared" si="2"/>
        <v>266651</v>
      </c>
      <c r="F41" s="1708">
        <f t="shared" si="2"/>
        <v>226358</v>
      </c>
      <c r="G41" s="1708">
        <f t="shared" si="2"/>
        <v>236067</v>
      </c>
      <c r="H41" s="1708">
        <f t="shared" si="2"/>
        <v>279444</v>
      </c>
      <c r="I41" s="1708">
        <f t="shared" si="2"/>
        <v>1805079</v>
      </c>
      <c r="J41" s="1708">
        <f t="shared" si="2"/>
        <v>126498</v>
      </c>
      <c r="K41" s="1708">
        <f t="shared" si="2"/>
        <v>216898</v>
      </c>
      <c r="L41" s="1708">
        <f t="shared" si="2"/>
        <v>316771</v>
      </c>
      <c r="M41" s="1708">
        <f>SUM(M40)</f>
        <v>5290373</v>
      </c>
      <c r="N41" s="1708">
        <f>SUM(N37)</f>
        <v>1726148</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885"/>
      <selection sqref="A1:A2"/>
      <selection pane="bottomLeft" activeCell="L36" sqref="L36"/>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1" t="s">
        <v>1237</v>
      </c>
      <c r="B3" s="2152"/>
      <c r="C3" s="1593"/>
      <c r="D3" s="1594"/>
      <c r="E3" s="1594"/>
      <c r="F3" s="1594"/>
      <c r="G3" s="1594"/>
      <c r="H3" s="1594"/>
      <c r="I3" s="1594"/>
      <c r="J3" s="1594"/>
      <c r="K3" s="1595"/>
      <c r="L3" s="504"/>
    </row>
    <row r="4" spans="1:13" ht="15.75" customHeight="1" x14ac:dyDescent="0.2">
      <c r="A4" s="1952" t="s">
        <v>1579</v>
      </c>
      <c r="B4" s="1953">
        <v>1000</v>
      </c>
      <c r="C4" s="1762">
        <f>'Revenues 9-14'!C109</f>
        <v>1849714</v>
      </c>
      <c r="D4" s="1762">
        <f>'Revenues 9-14'!D109</f>
        <v>295706</v>
      </c>
      <c r="E4" s="1762">
        <f>'Revenues 9-14'!E109</f>
        <v>483375</v>
      </c>
      <c r="F4" s="1762">
        <f>'Revenues 9-14'!F109</f>
        <v>106867</v>
      </c>
      <c r="G4" s="1762">
        <f>'Revenues 9-14'!G109</f>
        <v>221616</v>
      </c>
      <c r="H4" s="1762">
        <f>'Revenues 9-14'!H109</f>
        <v>104363</v>
      </c>
      <c r="I4" s="1762">
        <f>'Revenues 9-14'!I109</f>
        <v>28846</v>
      </c>
      <c r="J4" s="1762">
        <f>'Revenues 9-14'!J109</f>
        <v>234267</v>
      </c>
      <c r="K4" s="1762">
        <f>'Revenues 9-14'!K109</f>
        <v>27063</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942343</v>
      </c>
      <c r="D6" s="1763">
        <f>'Revenues 9-14'!D173</f>
        <v>40000</v>
      </c>
      <c r="E6" s="1763">
        <f>'Revenues 9-14'!E173</f>
        <v>0</v>
      </c>
      <c r="F6" s="1763">
        <f>'Revenues 9-14'!F173</f>
        <v>128021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175917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2967974</v>
      </c>
      <c r="D8" s="1708">
        <f t="shared" ref="D8:K8" si="0">SUM(D4:D7)</f>
        <v>335706</v>
      </c>
      <c r="E8" s="1708">
        <f t="shared" si="0"/>
        <v>483375</v>
      </c>
      <c r="F8" s="1708">
        <f t="shared" si="0"/>
        <v>234888</v>
      </c>
      <c r="G8" s="1708">
        <f t="shared" si="0"/>
        <v>221616</v>
      </c>
      <c r="H8" s="1708">
        <f t="shared" si="0"/>
        <v>104363</v>
      </c>
      <c r="I8" s="1708">
        <f t="shared" si="0"/>
        <v>28846</v>
      </c>
      <c r="J8" s="1708">
        <f t="shared" si="0"/>
        <v>234267</v>
      </c>
      <c r="K8" s="1708">
        <f t="shared" si="0"/>
        <v>27063</v>
      </c>
      <c r="L8" s="347"/>
    </row>
    <row r="9" spans="1:13" ht="15.75" thickTop="1" x14ac:dyDescent="0.2">
      <c r="A9" s="512" t="s">
        <v>1752</v>
      </c>
      <c r="B9" s="513">
        <v>3998</v>
      </c>
      <c r="C9" s="465">
        <v>1456989</v>
      </c>
      <c r="D9" s="514"/>
      <c r="E9" s="480"/>
      <c r="F9" s="480"/>
      <c r="G9" s="515"/>
      <c r="H9" s="480"/>
      <c r="I9" s="507" t="s">
        <v>1231</v>
      </c>
      <c r="J9" s="477"/>
      <c r="K9" s="480"/>
      <c r="L9" s="347"/>
    </row>
    <row r="10" spans="1:13" s="517" customFormat="1" ht="13.5" thickBot="1" x14ac:dyDescent="0.25">
      <c r="A10" s="1756" t="s">
        <v>1235</v>
      </c>
      <c r="B10" s="1729"/>
      <c r="C10" s="1708">
        <f>SUM(C8:C9)</f>
        <v>4424963</v>
      </c>
      <c r="D10" s="1708">
        <f t="shared" ref="D10:K10" si="1">SUM(D8:D9)</f>
        <v>335706</v>
      </c>
      <c r="E10" s="1708">
        <f t="shared" si="1"/>
        <v>483375</v>
      </c>
      <c r="F10" s="1708">
        <f t="shared" si="1"/>
        <v>234888</v>
      </c>
      <c r="G10" s="1708">
        <f t="shared" si="1"/>
        <v>221616</v>
      </c>
      <c r="H10" s="1708">
        <f t="shared" si="1"/>
        <v>104363</v>
      </c>
      <c r="I10" s="1708">
        <f t="shared" si="1"/>
        <v>28846</v>
      </c>
      <c r="J10" s="1708">
        <f t="shared" si="1"/>
        <v>234267</v>
      </c>
      <c r="K10" s="1708">
        <f t="shared" si="1"/>
        <v>27063</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2">
        <f>'Expenditures 15-22'!K33</f>
        <v>2141930</v>
      </c>
      <c r="D12" s="518" t="s">
        <v>1231</v>
      </c>
      <c r="E12" s="468" t="s">
        <v>1231</v>
      </c>
      <c r="F12" s="468" t="s">
        <v>1231</v>
      </c>
      <c r="G12" s="1762">
        <f>'Expenditures 15-22'!K229</f>
        <v>39317</v>
      </c>
      <c r="H12" s="519"/>
      <c r="I12" s="468" t="s">
        <v>1231</v>
      </c>
      <c r="J12" s="468" t="s">
        <v>1231</v>
      </c>
      <c r="K12" s="519" t="s">
        <v>1231</v>
      </c>
      <c r="L12" s="347"/>
    </row>
    <row r="13" spans="1:13" ht="15.75" customHeight="1" x14ac:dyDescent="0.2">
      <c r="A13" s="1596" t="s">
        <v>477</v>
      </c>
      <c r="B13" s="1598">
        <v>2000</v>
      </c>
      <c r="C13" s="1763">
        <f>'Expenditures 15-22'!K74</f>
        <v>706158</v>
      </c>
      <c r="D13" s="1763">
        <f>'Expenditures 15-22'!K129</f>
        <v>335904</v>
      </c>
      <c r="E13" s="469" t="s">
        <v>1231</v>
      </c>
      <c r="F13" s="1763">
        <f>'Expenditures 15-22'!K184</f>
        <v>237895</v>
      </c>
      <c r="G13" s="1763">
        <f>'Expenditures 15-22'!K279</f>
        <v>97074</v>
      </c>
      <c r="H13" s="1763">
        <f>'Expenditures 15-22'!K303</f>
        <v>60812</v>
      </c>
      <c r="I13" s="468" t="s">
        <v>1231</v>
      </c>
      <c r="J13" s="1763">
        <f>'Expenditures 15-22'!K330</f>
        <v>177400</v>
      </c>
      <c r="K13" s="1767">
        <f>'Expenditures 15-22'!K352</f>
        <v>6679</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186393</v>
      </c>
      <c r="D15" s="1763">
        <f>'Expenditures 15-22'!K139</f>
        <v>0</v>
      </c>
      <c r="E15" s="1763">
        <f>'Expenditures 15-22'!K160</f>
        <v>0</v>
      </c>
      <c r="F15" s="1763">
        <f>'Expenditures 15-22'!K196</f>
        <v>0</v>
      </c>
      <c r="G15" s="1763">
        <f>'Expenditures 15-22'!K285</f>
        <v>3660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484477</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3034481</v>
      </c>
      <c r="D17" s="1708">
        <f t="shared" si="2"/>
        <v>335904</v>
      </c>
      <c r="E17" s="1708">
        <f t="shared" si="2"/>
        <v>484477</v>
      </c>
      <c r="F17" s="1708">
        <f t="shared" si="2"/>
        <v>237895</v>
      </c>
      <c r="G17" s="1708">
        <f t="shared" si="2"/>
        <v>140051</v>
      </c>
      <c r="H17" s="1708">
        <f t="shared" si="2"/>
        <v>60812</v>
      </c>
      <c r="I17" s="468"/>
      <c r="J17" s="1708">
        <f>SUM(J12:J16)</f>
        <v>177400</v>
      </c>
      <c r="K17" s="1708">
        <f>SUM(K12:K16)</f>
        <v>6679</v>
      </c>
      <c r="L17" s="347"/>
    </row>
    <row r="18" spans="1:12" ht="15" customHeight="1" thickTop="1" x14ac:dyDescent="0.2">
      <c r="A18" s="1764" t="s">
        <v>1753</v>
      </c>
      <c r="B18" s="1765">
        <v>4180</v>
      </c>
      <c r="C18" s="1762">
        <f t="shared" ref="C18:H18" si="3">C9</f>
        <v>1456989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4491470</v>
      </c>
      <c r="D19" s="1708">
        <f t="shared" si="4"/>
        <v>335904</v>
      </c>
      <c r="E19" s="1708">
        <f t="shared" si="4"/>
        <v>484477</v>
      </c>
      <c r="F19" s="1708">
        <f t="shared" si="4"/>
        <v>237895</v>
      </c>
      <c r="G19" s="1708">
        <f t="shared" si="4"/>
        <v>140051</v>
      </c>
      <c r="H19" s="1708">
        <f t="shared" si="4"/>
        <v>60812</v>
      </c>
      <c r="I19" s="468"/>
      <c r="J19" s="1708">
        <f>SUM(J17:J18)</f>
        <v>177400</v>
      </c>
      <c r="K19" s="1708">
        <f>SUM(K17:K18)</f>
        <v>6679</v>
      </c>
      <c r="L19" s="347"/>
    </row>
    <row r="20" spans="1:12" ht="16.5" thickTop="1" thickBot="1" x14ac:dyDescent="0.25">
      <c r="A20" s="2141" t="s">
        <v>1754</v>
      </c>
      <c r="B20" s="2142"/>
      <c r="C20" s="1766">
        <f>C8-C17</f>
        <v>-66507</v>
      </c>
      <c r="D20" s="1766">
        <f t="shared" ref="D20:K20" si="5">D8-D17</f>
        <v>-198</v>
      </c>
      <c r="E20" s="1766">
        <f t="shared" si="5"/>
        <v>-1102</v>
      </c>
      <c r="F20" s="1766">
        <f t="shared" si="5"/>
        <v>-3007</v>
      </c>
      <c r="G20" s="1766">
        <f t="shared" si="5"/>
        <v>81565</v>
      </c>
      <c r="H20" s="1766">
        <f t="shared" si="5"/>
        <v>43551</v>
      </c>
      <c r="I20" s="1766">
        <f t="shared" si="5"/>
        <v>28846</v>
      </c>
      <c r="J20" s="1766">
        <f t="shared" si="5"/>
        <v>56867</v>
      </c>
      <c r="K20" s="1766">
        <f t="shared" si="5"/>
        <v>20384</v>
      </c>
      <c r="L20" s="347"/>
    </row>
    <row r="21" spans="1:12" ht="16.7" customHeight="1" thickTop="1" x14ac:dyDescent="0.2">
      <c r="A21" s="2153" t="s">
        <v>616</v>
      </c>
      <c r="B21" s="2154"/>
      <c r="C21" s="1590"/>
      <c r="D21" s="1591"/>
      <c r="E21" s="1591"/>
      <c r="F21" s="1591"/>
      <c r="G21" s="1591"/>
      <c r="H21" s="1591"/>
      <c r="I21" s="1591"/>
      <c r="J21" s="1591"/>
      <c r="K21" s="1592"/>
      <c r="L21" s="522"/>
    </row>
    <row r="22" spans="1:12" ht="15.75" customHeight="1" collapsed="1" x14ac:dyDescent="0.2">
      <c r="A22" s="2149" t="s">
        <v>617</v>
      </c>
      <c r="B22" s="2150"/>
      <c r="C22" s="476"/>
      <c r="D22" s="476"/>
      <c r="E22" s="476"/>
      <c r="F22" s="476"/>
      <c r="G22" s="476"/>
      <c r="H22" s="476"/>
      <c r="I22" s="476"/>
      <c r="J22" s="476"/>
      <c r="K22" s="476"/>
      <c r="L22" s="347"/>
    </row>
    <row r="23" spans="1:12" s="484" customFormat="1" ht="15.75" customHeight="1" x14ac:dyDescent="0.2">
      <c r="A23" s="2145" t="s">
        <v>311</v>
      </c>
      <c r="B23" s="2146"/>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800000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7" t="s">
        <v>1038</v>
      </c>
      <c r="B32" s="2148"/>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1700000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5600</v>
      </c>
      <c r="G36" s="467">
        <v>0</v>
      </c>
      <c r="H36" s="467">
        <v>0</v>
      </c>
      <c r="I36" s="475"/>
      <c r="J36" s="467">
        <v>0</v>
      </c>
      <c r="K36" s="467">
        <v>0</v>
      </c>
      <c r="L36" s="522"/>
    </row>
    <row r="37" spans="1:12" s="484" customFormat="1" x14ac:dyDescent="0.2">
      <c r="A37" s="1509" t="s">
        <v>461</v>
      </c>
      <c r="B37" s="523">
        <v>7400</v>
      </c>
      <c r="C37" s="475"/>
      <c r="D37" s="475"/>
      <c r="E37" s="1763">
        <f>SUM(C54:D57,H54:H57)</f>
        <v>14127</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40275</v>
      </c>
      <c r="D43" s="467">
        <v>0</v>
      </c>
      <c r="E43" s="467">
        <v>0</v>
      </c>
      <c r="F43" s="467">
        <v>0</v>
      </c>
      <c r="G43" s="467">
        <v>0</v>
      </c>
      <c r="H43" s="467">
        <v>0</v>
      </c>
      <c r="I43" s="467">
        <v>0</v>
      </c>
      <c r="J43" s="467">
        <v>0</v>
      </c>
      <c r="K43" s="467">
        <v>0</v>
      </c>
      <c r="L43" s="522"/>
    </row>
    <row r="44" spans="1:12" s="484" customFormat="1" ht="13.5" customHeight="1" thickBot="1" x14ac:dyDescent="0.25">
      <c r="A44" s="2155" t="s">
        <v>392</v>
      </c>
      <c r="B44" s="2156"/>
      <c r="C44" s="1723">
        <f>SUM(C24:C43)</f>
        <v>840275</v>
      </c>
      <c r="D44" s="1723">
        <f t="shared" ref="D44:K44" si="6">SUM(D24:D43)</f>
        <v>0</v>
      </c>
      <c r="E44" s="1723">
        <f t="shared" si="6"/>
        <v>14127</v>
      </c>
      <c r="F44" s="1723">
        <f t="shared" si="6"/>
        <v>5600</v>
      </c>
      <c r="G44" s="1723">
        <f t="shared" si="6"/>
        <v>0</v>
      </c>
      <c r="H44" s="1723">
        <f t="shared" si="6"/>
        <v>0</v>
      </c>
      <c r="I44" s="1723">
        <f t="shared" si="6"/>
        <v>1700000</v>
      </c>
      <c r="J44" s="1723">
        <f t="shared" si="6"/>
        <v>0</v>
      </c>
      <c r="K44" s="1723">
        <f t="shared" si="6"/>
        <v>0</v>
      </c>
      <c r="L44" s="522"/>
    </row>
    <row r="45" spans="1:12" ht="15.75" customHeight="1" thickTop="1" x14ac:dyDescent="0.2">
      <c r="A45" s="2149" t="s">
        <v>110</v>
      </c>
      <c r="B45" s="2150"/>
      <c r="C45" s="526"/>
      <c r="D45" s="526"/>
      <c r="E45" s="526"/>
      <c r="F45" s="526"/>
      <c r="G45" s="526"/>
      <c r="H45" s="526"/>
      <c r="I45" s="526"/>
      <c r="J45" s="526"/>
      <c r="K45" s="526"/>
      <c r="L45" s="347"/>
    </row>
    <row r="46" spans="1:12" s="484" customFormat="1" ht="15.75" customHeight="1" x14ac:dyDescent="0.2">
      <c r="A46" s="2157" t="s">
        <v>111</v>
      </c>
      <c r="B46" s="2158"/>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800000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14127</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1" t="s">
        <v>460</v>
      </c>
      <c r="B76" s="2132"/>
      <c r="C76" s="1723">
        <f t="shared" ref="C76:K76" si="7">SUM(C47:C75)</f>
        <v>14127</v>
      </c>
      <c r="D76" s="1723">
        <f t="shared" si="7"/>
        <v>0</v>
      </c>
      <c r="E76" s="1723">
        <f t="shared" si="7"/>
        <v>0</v>
      </c>
      <c r="F76" s="1723">
        <f t="shared" si="7"/>
        <v>0</v>
      </c>
      <c r="G76" s="1723">
        <f t="shared" si="7"/>
        <v>0</v>
      </c>
      <c r="H76" s="1723">
        <f t="shared" si="7"/>
        <v>0</v>
      </c>
      <c r="I76" s="1723">
        <f t="shared" si="7"/>
        <v>800000</v>
      </c>
      <c r="J76" s="1723">
        <f t="shared" si="7"/>
        <v>0</v>
      </c>
      <c r="K76" s="1723">
        <f t="shared" si="7"/>
        <v>0</v>
      </c>
      <c r="L76" s="522"/>
    </row>
    <row r="77" spans="1:12" ht="14.25" thickTop="1" thickBot="1" x14ac:dyDescent="0.25">
      <c r="A77" s="2133" t="s">
        <v>1239</v>
      </c>
      <c r="B77" s="2134"/>
      <c r="C77" s="1723">
        <f t="shared" ref="C77:K77" si="8">C44-C76</f>
        <v>826148</v>
      </c>
      <c r="D77" s="1723">
        <f t="shared" si="8"/>
        <v>0</v>
      </c>
      <c r="E77" s="1723">
        <f t="shared" si="8"/>
        <v>14127</v>
      </c>
      <c r="F77" s="1723">
        <f t="shared" si="8"/>
        <v>5600</v>
      </c>
      <c r="G77" s="1723">
        <f t="shared" si="8"/>
        <v>0</v>
      </c>
      <c r="H77" s="1723">
        <f t="shared" si="8"/>
        <v>0</v>
      </c>
      <c r="I77" s="1723">
        <f t="shared" si="8"/>
        <v>900000</v>
      </c>
      <c r="J77" s="1723">
        <f t="shared" si="8"/>
        <v>0</v>
      </c>
      <c r="K77" s="1723">
        <f t="shared" si="8"/>
        <v>0</v>
      </c>
      <c r="L77" s="347"/>
    </row>
    <row r="78" spans="1:12" ht="21.75" customHeight="1" thickTop="1" thickBot="1" x14ac:dyDescent="0.25">
      <c r="A78" s="2137" t="s">
        <v>618</v>
      </c>
      <c r="B78" s="2138"/>
      <c r="C78" s="1722">
        <f t="shared" ref="C78:K78" si="9">C20+C77</f>
        <v>759641</v>
      </c>
      <c r="D78" s="1722">
        <f t="shared" si="9"/>
        <v>-198</v>
      </c>
      <c r="E78" s="1722">
        <f t="shared" si="9"/>
        <v>13025</v>
      </c>
      <c r="F78" s="1722">
        <f t="shared" si="9"/>
        <v>2593</v>
      </c>
      <c r="G78" s="1722">
        <f t="shared" si="9"/>
        <v>81565</v>
      </c>
      <c r="H78" s="1722">
        <f t="shared" si="9"/>
        <v>43551</v>
      </c>
      <c r="I78" s="1722">
        <f t="shared" si="9"/>
        <v>928846</v>
      </c>
      <c r="J78" s="1722">
        <f t="shared" si="9"/>
        <v>56867</v>
      </c>
      <c r="K78" s="1722">
        <f t="shared" si="9"/>
        <v>20384</v>
      </c>
      <c r="L78" s="531"/>
    </row>
    <row r="79" spans="1:12" ht="13.5" thickTop="1" x14ac:dyDescent="0.2">
      <c r="A79" s="1514" t="s">
        <v>2073</v>
      </c>
      <c r="B79" s="532"/>
      <c r="C79" s="467">
        <v>1200772</v>
      </c>
      <c r="D79" s="467">
        <v>183381</v>
      </c>
      <c r="E79" s="467">
        <v>253626</v>
      </c>
      <c r="F79" s="467">
        <v>223765</v>
      </c>
      <c r="G79" s="467">
        <v>154502</v>
      </c>
      <c r="H79" s="467">
        <v>235893</v>
      </c>
      <c r="I79" s="467">
        <v>876233</v>
      </c>
      <c r="J79" s="467">
        <v>69631</v>
      </c>
      <c r="K79" s="467">
        <v>196514</v>
      </c>
      <c r="L79" s="347"/>
    </row>
    <row r="80" spans="1:12" x14ac:dyDescent="0.2">
      <c r="A80" s="2143" t="s">
        <v>1898</v>
      </c>
      <c r="B80" s="2144"/>
      <c r="C80" s="467">
        <v>0</v>
      </c>
      <c r="D80" s="467">
        <v>0</v>
      </c>
      <c r="E80" s="467">
        <v>0</v>
      </c>
      <c r="F80" s="467">
        <v>0</v>
      </c>
      <c r="G80" s="467">
        <v>0</v>
      </c>
      <c r="H80" s="467">
        <v>0</v>
      </c>
      <c r="I80" s="467">
        <v>0</v>
      </c>
      <c r="J80" s="467">
        <v>0</v>
      </c>
      <c r="K80" s="467">
        <v>0</v>
      </c>
      <c r="L80" s="347"/>
    </row>
    <row r="81" spans="1:12" ht="13.5" thickBot="1" x14ac:dyDescent="0.25">
      <c r="A81" s="2135" t="s">
        <v>2074</v>
      </c>
      <c r="B81" s="2136"/>
      <c r="C81" s="1708">
        <f>(SUM(C78:C80))</f>
        <v>1960413</v>
      </c>
      <c r="D81" s="1708">
        <f>SUM(D78:D80)</f>
        <v>183183</v>
      </c>
      <c r="E81" s="1708">
        <f t="shared" ref="E81:K81" si="10">SUM(E78:E80)</f>
        <v>266651</v>
      </c>
      <c r="F81" s="1708">
        <f t="shared" si="10"/>
        <v>226358</v>
      </c>
      <c r="G81" s="1708">
        <f t="shared" si="10"/>
        <v>236067</v>
      </c>
      <c r="H81" s="1708">
        <f t="shared" si="10"/>
        <v>279444</v>
      </c>
      <c r="I81" s="1708">
        <f t="shared" si="10"/>
        <v>1805079</v>
      </c>
      <c r="J81" s="1708">
        <f t="shared" si="10"/>
        <v>126498</v>
      </c>
      <c r="K81" s="1708">
        <f t="shared" si="10"/>
        <v>216898</v>
      </c>
      <c r="L81" s="347"/>
    </row>
    <row r="82" spans="1:12" ht="0.75" customHeight="1" thickTop="1" thickBot="1" x14ac:dyDescent="0.25">
      <c r="A82" s="534" t="s">
        <v>361</v>
      </c>
      <c r="B82" s="535"/>
      <c r="C82" s="536">
        <f>(C81-C79)</f>
        <v>759641</v>
      </c>
      <c r="D82" s="536">
        <f t="shared" ref="D82:K82" si="11">(D81-D79)</f>
        <v>-198</v>
      </c>
      <c r="E82" s="536">
        <f t="shared" si="11"/>
        <v>13025</v>
      </c>
      <c r="F82" s="536">
        <f t="shared" si="11"/>
        <v>2593</v>
      </c>
      <c r="G82" s="536">
        <f t="shared" si="11"/>
        <v>81565</v>
      </c>
      <c r="H82" s="536">
        <f t="shared" si="11"/>
        <v>43551</v>
      </c>
      <c r="I82" s="536">
        <f t="shared" si="11"/>
        <v>928846</v>
      </c>
      <c r="J82" s="536">
        <f t="shared" si="11"/>
        <v>56867</v>
      </c>
      <c r="K82" s="536">
        <f t="shared" si="11"/>
        <v>20384</v>
      </c>
    </row>
    <row r="83" spans="1:12" ht="14.25" hidden="1" thickTop="1" thickBot="1" x14ac:dyDescent="0.25">
      <c r="A83" s="537" t="s">
        <v>362</v>
      </c>
      <c r="B83" s="464"/>
      <c r="C83" s="538">
        <f>C82/C81</f>
        <v>0.38749028903603477</v>
      </c>
      <c r="D83" s="538">
        <f t="shared" ref="D83:K83" si="12">D82/D81</f>
        <v>-1.0808863267879661E-3</v>
      </c>
      <c r="E83" s="538">
        <f t="shared" si="12"/>
        <v>4.8846619738909663E-2</v>
      </c>
      <c r="F83" s="538">
        <f t="shared" si="12"/>
        <v>1.1455305312823049E-2</v>
      </c>
      <c r="G83" s="538">
        <f t="shared" si="12"/>
        <v>0.34551631528337295</v>
      </c>
      <c r="H83" s="538">
        <f t="shared" si="12"/>
        <v>0.15584875681710825</v>
      </c>
      <c r="I83" s="538">
        <f t="shared" si="12"/>
        <v>0.51457360037981714</v>
      </c>
      <c r="J83" s="538">
        <f t="shared" si="12"/>
        <v>0.44954860946418124</v>
      </c>
      <c r="K83" s="538">
        <f t="shared" si="12"/>
        <v>9.3979658641389047E-2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6" sqref="L36"/>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1547832</v>
      </c>
      <c r="D5" s="480">
        <v>265138</v>
      </c>
      <c r="E5" s="480">
        <v>482970</v>
      </c>
      <c r="F5" s="546">
        <v>106077</v>
      </c>
      <c r="G5" s="466">
        <v>104642</v>
      </c>
      <c r="H5" s="466">
        <v>0</v>
      </c>
      <c r="I5" s="466">
        <v>26546</v>
      </c>
      <c r="J5" s="466">
        <v>233923</v>
      </c>
      <c r="K5" s="466">
        <v>26546</v>
      </c>
    </row>
    <row r="6" spans="1:12" ht="15" x14ac:dyDescent="0.2">
      <c r="A6" s="463" t="s">
        <v>1761</v>
      </c>
      <c r="B6" s="470">
        <v>1130</v>
      </c>
      <c r="C6" s="466">
        <v>26546</v>
      </c>
      <c r="D6" s="466">
        <v>0</v>
      </c>
      <c r="E6" s="475"/>
      <c r="F6" s="475"/>
      <c r="G6" s="468"/>
      <c r="H6" s="468"/>
      <c r="I6" s="468"/>
      <c r="J6" s="468"/>
      <c r="K6" s="468"/>
    </row>
    <row r="7" spans="1:12" x14ac:dyDescent="0.2">
      <c r="A7" s="463" t="s">
        <v>112</v>
      </c>
      <c r="B7" s="547">
        <v>1140</v>
      </c>
      <c r="C7" s="466">
        <v>21215</v>
      </c>
      <c r="D7" s="466">
        <v>0</v>
      </c>
      <c r="E7" s="468"/>
      <c r="F7" s="467">
        <v>0</v>
      </c>
      <c r="G7" s="467">
        <v>0</v>
      </c>
      <c r="H7" s="467">
        <v>0</v>
      </c>
      <c r="I7" s="468"/>
      <c r="J7" s="468"/>
      <c r="K7" s="468"/>
    </row>
    <row r="8" spans="1:12" x14ac:dyDescent="0.2">
      <c r="A8" s="463" t="s">
        <v>433</v>
      </c>
      <c r="B8" s="470">
        <v>1150</v>
      </c>
      <c r="C8" s="475"/>
      <c r="D8" s="475"/>
      <c r="E8" s="476"/>
      <c r="F8" s="476"/>
      <c r="G8" s="480">
        <v>104642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1595593</v>
      </c>
      <c r="D12" s="1727">
        <f t="shared" si="0"/>
        <v>265138</v>
      </c>
      <c r="E12" s="1727">
        <f t="shared" si="0"/>
        <v>482970</v>
      </c>
      <c r="F12" s="1727">
        <f t="shared" si="0"/>
        <v>106077</v>
      </c>
      <c r="G12" s="1727">
        <f t="shared" si="0"/>
        <v>209284</v>
      </c>
      <c r="H12" s="1727">
        <f t="shared" si="0"/>
        <v>0</v>
      </c>
      <c r="I12" s="1727">
        <f t="shared" si="0"/>
        <v>26546</v>
      </c>
      <c r="J12" s="1727">
        <f t="shared" si="0"/>
        <v>233923</v>
      </c>
      <c r="K12" s="1708">
        <f t="shared" si="0"/>
        <v>26546</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121382</v>
      </c>
      <c r="D16" s="466">
        <v>18400</v>
      </c>
      <c r="E16" s="466">
        <v>0</v>
      </c>
      <c r="F16" s="466">
        <v>0</v>
      </c>
      <c r="G16" s="466">
        <v>11800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121382</v>
      </c>
      <c r="D18" s="1730">
        <f t="shared" ref="D18:K18" si="1">SUM(D14:D17)</f>
        <v>18400</v>
      </c>
      <c r="E18" s="1730">
        <f t="shared" si="1"/>
        <v>0</v>
      </c>
      <c r="F18" s="1730">
        <f t="shared" si="1"/>
        <v>0</v>
      </c>
      <c r="G18" s="1730">
        <f t="shared" si="1"/>
        <v>11800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4847</v>
      </c>
      <c r="D65" s="466">
        <v>411</v>
      </c>
      <c r="E65" s="466">
        <v>405</v>
      </c>
      <c r="F65" s="467">
        <v>496</v>
      </c>
      <c r="G65" s="466">
        <v>532</v>
      </c>
      <c r="H65" s="466">
        <v>630</v>
      </c>
      <c r="I65" s="466">
        <v>2300</v>
      </c>
      <c r="J65" s="467">
        <v>344</v>
      </c>
      <c r="K65" s="466">
        <v>517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4847</v>
      </c>
      <c r="D67" s="1708">
        <f t="shared" ref="D67:K67" si="2">SUM(D65:D66)</f>
        <v>411</v>
      </c>
      <c r="E67" s="1708">
        <f t="shared" si="2"/>
        <v>405</v>
      </c>
      <c r="F67" s="1708">
        <f t="shared" si="2"/>
        <v>496</v>
      </c>
      <c r="G67" s="1708">
        <f t="shared" si="2"/>
        <v>532</v>
      </c>
      <c r="H67" s="1708">
        <f t="shared" si="2"/>
        <v>630</v>
      </c>
      <c r="I67" s="1708">
        <f t="shared" si="2"/>
        <v>2300</v>
      </c>
      <c r="J67" s="1708">
        <f t="shared" si="2"/>
        <v>344</v>
      </c>
      <c r="K67" s="1708">
        <f t="shared" si="2"/>
        <v>517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60892</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1935</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62827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22221</v>
      </c>
      <c r="D77" s="466">
        <v>0</v>
      </c>
      <c r="E77" s="468"/>
      <c r="F77" s="468"/>
      <c r="G77" s="468"/>
      <c r="H77" s="468"/>
      <c r="I77" s="468"/>
      <c r="J77" s="468"/>
      <c r="K77" s="468"/>
    </row>
    <row r="78" spans="1:11" ht="12.75" customHeight="1" x14ac:dyDescent="0.2">
      <c r="A78" s="463" t="s">
        <v>78</v>
      </c>
      <c r="B78" s="470">
        <v>1719</v>
      </c>
      <c r="C78" s="549">
        <v>795</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23016</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17197</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17197</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10000</v>
      </c>
      <c r="E100" s="487">
        <v>0</v>
      </c>
      <c r="F100" s="487">
        <v>0</v>
      </c>
      <c r="G100" s="487">
        <v>0</v>
      </c>
      <c r="H100" s="487">
        <v>0</v>
      </c>
      <c r="I100" s="467">
        <v>0</v>
      </c>
      <c r="J100" s="487">
        <v>0</v>
      </c>
      <c r="K100" s="467">
        <v>0</v>
      </c>
    </row>
    <row r="101" spans="1:12" ht="12.75" customHeight="1" x14ac:dyDescent="0.2">
      <c r="A101" s="463" t="s">
        <v>264</v>
      </c>
      <c r="B101" s="470">
        <v>1970</v>
      </c>
      <c r="C101" s="487">
        <v>2425</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103733</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6400</v>
      </c>
      <c r="D106" s="487">
        <v>0</v>
      </c>
      <c r="E106" s="467">
        <v>0</v>
      </c>
      <c r="F106" s="467">
        <v>0</v>
      </c>
      <c r="G106" s="467">
        <v>0</v>
      </c>
      <c r="H106" s="467">
        <v>0</v>
      </c>
      <c r="I106" s="519"/>
      <c r="J106" s="467">
        <v>0</v>
      </c>
      <c r="K106" s="467">
        <v>0</v>
      </c>
    </row>
    <row r="107" spans="1:12" ht="12.75" customHeight="1" x14ac:dyDescent="0.2">
      <c r="A107" s="463" t="s">
        <v>80</v>
      </c>
      <c r="B107" s="470">
        <v>1999</v>
      </c>
      <c r="C107" s="549">
        <v>16027</v>
      </c>
      <c r="D107" s="466">
        <v>1757</v>
      </c>
      <c r="E107" s="466">
        <v>0</v>
      </c>
      <c r="F107" s="466">
        <v>294</v>
      </c>
      <c r="G107" s="466">
        <v>0</v>
      </c>
      <c r="H107" s="466">
        <v>0</v>
      </c>
      <c r="I107" s="466">
        <v>0</v>
      </c>
      <c r="J107" s="467">
        <v>0</v>
      </c>
      <c r="K107" s="466">
        <v>0</v>
      </c>
    </row>
    <row r="108" spans="1:12" ht="12.75" customHeight="1" thickBot="1" x14ac:dyDescent="0.25">
      <c r="A108" s="1728" t="s">
        <v>508</v>
      </c>
      <c r="B108" s="1732"/>
      <c r="C108" s="1727">
        <f>SUM(C95:C107)</f>
        <v>24852</v>
      </c>
      <c r="D108" s="1727">
        <f t="shared" ref="D108:K108" si="3">SUM(D95:D107)</f>
        <v>11757</v>
      </c>
      <c r="E108" s="1727">
        <f t="shared" si="3"/>
        <v>0</v>
      </c>
      <c r="F108" s="1727">
        <f t="shared" si="3"/>
        <v>294</v>
      </c>
      <c r="G108" s="1727">
        <f t="shared" si="3"/>
        <v>0</v>
      </c>
      <c r="H108" s="1727">
        <f t="shared" si="3"/>
        <v>103733</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1849714</v>
      </c>
      <c r="D109" s="1735">
        <f t="shared" si="4"/>
        <v>295706</v>
      </c>
      <c r="E109" s="1735">
        <f t="shared" si="4"/>
        <v>483375</v>
      </c>
      <c r="F109" s="1735">
        <f t="shared" si="4"/>
        <v>106867</v>
      </c>
      <c r="G109" s="1735">
        <f t="shared" si="4"/>
        <v>221616</v>
      </c>
      <c r="H109" s="1735">
        <f t="shared" si="4"/>
        <v>104363</v>
      </c>
      <c r="I109" s="1735">
        <f t="shared" si="4"/>
        <v>28846</v>
      </c>
      <c r="J109" s="1735">
        <f t="shared" si="4"/>
        <v>234267</v>
      </c>
      <c r="K109" s="1722">
        <f t="shared" si="4"/>
        <v>27063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758276</v>
      </c>
      <c r="D117" s="480">
        <v>40000</v>
      </c>
      <c r="E117" s="466">
        <v>0</v>
      </c>
      <c r="F117" s="480">
        <v>30000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758276</v>
      </c>
      <c r="D121" s="1727">
        <f t="shared" si="5"/>
        <v>40000</v>
      </c>
      <c r="E121" s="1727">
        <f t="shared" si="5"/>
        <v>0</v>
      </c>
      <c r="F121" s="1727">
        <f t="shared" si="5"/>
        <v>30000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24713</v>
      </c>
      <c r="D125" s="559"/>
      <c r="E125" s="468"/>
      <c r="F125" s="466">
        <v>0</v>
      </c>
      <c r="G125" s="468"/>
      <c r="H125" s="468"/>
      <c r="I125" s="468"/>
      <c r="J125" s="468"/>
      <c r="K125" s="468"/>
    </row>
    <row r="126" spans="1:11" ht="12.75" customHeight="1" x14ac:dyDescent="0.2">
      <c r="A126" s="463" t="s">
        <v>922</v>
      </c>
      <c r="B126" s="560">
        <v>3110</v>
      </c>
      <c r="C126" s="549">
        <v>15383</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40096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14220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2687</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16907</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620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4511</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62638</v>
      </c>
      <c r="G151" s="467">
        <v>0</v>
      </c>
      <c r="H151" s="468"/>
      <c r="I151" s="468"/>
      <c r="J151" s="468"/>
      <c r="K151" s="468"/>
    </row>
    <row r="152" spans="1:11" ht="12.75" customHeight="1" x14ac:dyDescent="0.2">
      <c r="A152" s="463" t="s">
        <v>1117</v>
      </c>
      <c r="B152" s="560">
        <v>3510</v>
      </c>
      <c r="C152" s="549">
        <v>0</v>
      </c>
      <c r="D152" s="466">
        <v>0</v>
      </c>
      <c r="E152" s="559"/>
      <c r="F152" s="466">
        <v>35383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98021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120433</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9" t="s">
        <v>418</v>
      </c>
      <c r="B172" s="2160"/>
      <c r="C172" s="1742">
        <f t="shared" ref="C172:K172" si="6">SUM(C131,C140,C144,C145:C149,C154,C155:C170,C171)</f>
        <v>184067</v>
      </c>
      <c r="D172" s="1742">
        <f t="shared" si="6"/>
        <v>0</v>
      </c>
      <c r="E172" s="1742">
        <f t="shared" si="6"/>
        <v>0</v>
      </c>
      <c r="F172" s="1742">
        <f t="shared" si="6"/>
        <v>98021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942343</v>
      </c>
      <c r="D173" s="1735">
        <f>SUM(D121,D172)</f>
        <v>40000</v>
      </c>
      <c r="E173" s="1735">
        <f>SUM(E121,E172)</f>
        <v>0</v>
      </c>
      <c r="F173" s="1735">
        <f t="shared" ref="F173:K173" si="7">SUM(F121,F172)</f>
        <v>128021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1" t="s">
        <v>1572</v>
      </c>
      <c r="B175" s="216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5" t="s">
        <v>1764</v>
      </c>
      <c r="B178" s="216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9" t="s">
        <v>1763</v>
      </c>
      <c r="B179" s="217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7" t="s">
        <v>818</v>
      </c>
      <c r="B184" s="216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3" t="s">
        <v>1906</v>
      </c>
      <c r="B185" s="2164"/>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32727</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32727</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56092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56092</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57991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57991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23467</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2111</v>
      </c>
      <c r="D270" s="574">
        <v>0</v>
      </c>
      <c r="E270" s="468"/>
      <c r="F270" s="574">
        <v>0</v>
      </c>
      <c r="G270" s="574">
        <v>0</v>
      </c>
      <c r="H270" s="468"/>
      <c r="I270" s="468"/>
      <c r="J270" s="468"/>
      <c r="K270" s="468"/>
    </row>
    <row r="271" spans="1:11" ht="12.75" customHeight="1" thickTop="1" thickBot="1" x14ac:dyDescent="0.25">
      <c r="A271" s="463" t="s">
        <v>395</v>
      </c>
      <c r="B271" s="470">
        <v>4992</v>
      </c>
      <c r="C271" s="573">
        <v>3529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175917</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175917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2967974</v>
      </c>
      <c r="D275" s="1735">
        <f t="shared" si="12"/>
        <v>335706</v>
      </c>
      <c r="E275" s="1735">
        <f t="shared" si="12"/>
        <v>483375</v>
      </c>
      <c r="F275" s="1735">
        <f t="shared" si="12"/>
        <v>234888</v>
      </c>
      <c r="G275" s="1735">
        <f t="shared" si="12"/>
        <v>221616</v>
      </c>
      <c r="H275" s="1735">
        <f t="shared" si="12"/>
        <v>104363</v>
      </c>
      <c r="I275" s="1735">
        <f t="shared" si="12"/>
        <v>28846</v>
      </c>
      <c r="J275" s="1735">
        <f t="shared" si="12"/>
        <v>234267</v>
      </c>
      <c r="K275" s="1722">
        <f t="shared" si="12"/>
        <v>27063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6" sqref="L36"/>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9" t="s">
        <v>315</v>
      </c>
      <c r="B3" s="2180"/>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1098882</v>
      </c>
      <c r="D5" s="466">
        <v>215955</v>
      </c>
      <c r="E5" s="466">
        <v>47176</v>
      </c>
      <c r="F5" s="466">
        <v>56225</v>
      </c>
      <c r="G5" s="466">
        <v>66554</v>
      </c>
      <c r="H5" s="466">
        <v>0</v>
      </c>
      <c r="I5" s="467">
        <v>0</v>
      </c>
      <c r="J5" s="467">
        <v>0</v>
      </c>
      <c r="K5" s="1691">
        <f>SUM(C5:J5)</f>
        <v>1484792</v>
      </c>
      <c r="L5" s="466">
        <v>1539900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66057</v>
      </c>
      <c r="D7" s="467">
        <v>13381</v>
      </c>
      <c r="E7" s="467">
        <v>0</v>
      </c>
      <c r="F7" s="467">
        <v>1660</v>
      </c>
      <c r="G7" s="467">
        <v>8790</v>
      </c>
      <c r="H7" s="467">
        <v>0</v>
      </c>
      <c r="I7" s="467">
        <v>0</v>
      </c>
      <c r="J7" s="467">
        <v>0</v>
      </c>
      <c r="K7" s="1691">
        <f t="shared" ref="K7:K32" si="0">SUM(C7:J7)</f>
        <v>89888</v>
      </c>
      <c r="L7" s="466">
        <v>82475</v>
      </c>
    </row>
    <row r="8" spans="1:14" x14ac:dyDescent="0.2">
      <c r="A8" s="1524" t="s">
        <v>166</v>
      </c>
      <c r="B8" s="613">
        <v>1200</v>
      </c>
      <c r="C8" s="466">
        <v>164304</v>
      </c>
      <c r="D8" s="466">
        <v>36614</v>
      </c>
      <c r="E8" s="466">
        <v>0</v>
      </c>
      <c r="F8" s="466">
        <v>42</v>
      </c>
      <c r="G8" s="466">
        <v>0</v>
      </c>
      <c r="H8" s="466">
        <v>0</v>
      </c>
      <c r="I8" s="467">
        <v>0</v>
      </c>
      <c r="J8" s="467">
        <v>0</v>
      </c>
      <c r="K8" s="1691">
        <f t="shared" si="0"/>
        <v>200960</v>
      </c>
      <c r="L8" s="466">
        <v>203400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57994</v>
      </c>
      <c r="D10" s="466">
        <v>14498</v>
      </c>
      <c r="E10" s="466">
        <v>200</v>
      </c>
      <c r="F10" s="466">
        <v>27713</v>
      </c>
      <c r="G10" s="466">
        <v>1653</v>
      </c>
      <c r="H10" s="466">
        <v>0</v>
      </c>
      <c r="I10" s="467">
        <v>0</v>
      </c>
      <c r="J10" s="467">
        <v>0</v>
      </c>
      <c r="K10" s="1691">
        <f t="shared" si="0"/>
        <v>102058</v>
      </c>
      <c r="L10" s="466">
        <v>85500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1000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99089</v>
      </c>
      <c r="D13" s="466">
        <v>17192</v>
      </c>
      <c r="E13" s="466">
        <v>1974</v>
      </c>
      <c r="F13" s="466">
        <v>3139</v>
      </c>
      <c r="G13" s="466">
        <v>11087</v>
      </c>
      <c r="H13" s="466">
        <v>0</v>
      </c>
      <c r="I13" s="467">
        <v>0</v>
      </c>
      <c r="J13" s="467">
        <v>0</v>
      </c>
      <c r="K13" s="1691">
        <f t="shared" si="0"/>
        <v>132481</v>
      </c>
      <c r="L13" s="466">
        <v>147850</v>
      </c>
    </row>
    <row r="14" spans="1:14" x14ac:dyDescent="0.2">
      <c r="A14" s="1524" t="s">
        <v>1020</v>
      </c>
      <c r="B14" s="613">
        <v>1500</v>
      </c>
      <c r="C14" s="467">
        <v>85606</v>
      </c>
      <c r="D14" s="466">
        <v>3192</v>
      </c>
      <c r="E14" s="466">
        <v>16452</v>
      </c>
      <c r="F14" s="466">
        <v>7014</v>
      </c>
      <c r="G14" s="466">
        <v>0</v>
      </c>
      <c r="H14" s="466">
        <v>4212</v>
      </c>
      <c r="I14" s="467">
        <v>0</v>
      </c>
      <c r="J14" s="467">
        <v>0</v>
      </c>
      <c r="K14" s="1691">
        <f t="shared" si="0"/>
        <v>116476</v>
      </c>
      <c r="L14" s="466">
        <v>123400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12000</v>
      </c>
      <c r="D17" s="467">
        <v>0</v>
      </c>
      <c r="E17" s="467">
        <v>3170</v>
      </c>
      <c r="F17" s="467">
        <v>105</v>
      </c>
      <c r="G17" s="467">
        <v>0</v>
      </c>
      <c r="H17" s="467">
        <v>0</v>
      </c>
      <c r="I17" s="467">
        <v>0</v>
      </c>
      <c r="J17" s="467">
        <v>0</v>
      </c>
      <c r="K17" s="1691">
        <f t="shared" si="0"/>
        <v>15275</v>
      </c>
      <c r="L17" s="466">
        <v>15650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1583932</v>
      </c>
      <c r="D33" s="1690">
        <f t="shared" ref="D33:L33" si="1">SUM(D5:D32)</f>
        <v>300832</v>
      </c>
      <c r="E33" s="1690">
        <f t="shared" si="1"/>
        <v>68972</v>
      </c>
      <c r="F33" s="1690">
        <f t="shared" si="1"/>
        <v>95898</v>
      </c>
      <c r="G33" s="1690">
        <f t="shared" si="1"/>
        <v>88084</v>
      </c>
      <c r="H33" s="1690">
        <f t="shared" si="1"/>
        <v>4212</v>
      </c>
      <c r="I33" s="1690">
        <f t="shared" si="1"/>
        <v>0</v>
      </c>
      <c r="J33" s="1690">
        <f t="shared" si="1"/>
        <v>0</v>
      </c>
      <c r="K33" s="1690">
        <f t="shared" si="1"/>
        <v>2141930</v>
      </c>
      <c r="L33" s="1690">
        <f t="shared" si="1"/>
        <v>2199175</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56311</v>
      </c>
      <c r="D37" s="466">
        <v>10382</v>
      </c>
      <c r="E37" s="466">
        <v>0</v>
      </c>
      <c r="F37" s="466">
        <v>689</v>
      </c>
      <c r="G37" s="466">
        <v>0</v>
      </c>
      <c r="H37" s="466">
        <v>0</v>
      </c>
      <c r="I37" s="467">
        <v>0</v>
      </c>
      <c r="J37" s="467">
        <v>0</v>
      </c>
      <c r="K37" s="1691">
        <f t="shared" si="2"/>
        <v>67382</v>
      </c>
      <c r="L37" s="466">
        <v>68650</v>
      </c>
    </row>
    <row r="38" spans="1:14" x14ac:dyDescent="0.2">
      <c r="A38" s="1524" t="s">
        <v>207</v>
      </c>
      <c r="B38" s="613">
        <v>2130</v>
      </c>
      <c r="C38" s="466">
        <v>19411</v>
      </c>
      <c r="D38" s="466">
        <v>5015</v>
      </c>
      <c r="E38" s="466">
        <v>526</v>
      </c>
      <c r="F38" s="466">
        <v>1138</v>
      </c>
      <c r="G38" s="466">
        <v>0</v>
      </c>
      <c r="H38" s="466">
        <v>0</v>
      </c>
      <c r="I38" s="467">
        <v>0</v>
      </c>
      <c r="J38" s="467">
        <v>0</v>
      </c>
      <c r="K38" s="1691">
        <f t="shared" si="2"/>
        <v>26090</v>
      </c>
      <c r="L38" s="466">
        <v>33000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1822</v>
      </c>
      <c r="G41" s="466">
        <v>0</v>
      </c>
      <c r="H41" s="466">
        <v>0</v>
      </c>
      <c r="I41" s="467">
        <v>0</v>
      </c>
      <c r="J41" s="467">
        <v>0</v>
      </c>
      <c r="K41" s="1691">
        <f t="shared" si="2"/>
        <v>1822</v>
      </c>
      <c r="L41" s="466">
        <v>1500</v>
      </c>
    </row>
    <row r="42" spans="1:14" ht="12.75" customHeight="1" thickBot="1" x14ac:dyDescent="0.25">
      <c r="A42" s="1688" t="s">
        <v>581</v>
      </c>
      <c r="B42" s="1689" t="s">
        <v>740</v>
      </c>
      <c r="C42" s="1690">
        <f>SUM(C36:C41)</f>
        <v>75722</v>
      </c>
      <c r="D42" s="1690">
        <f t="shared" ref="D42:L42" si="3">SUM(D36:D41)</f>
        <v>15397</v>
      </c>
      <c r="E42" s="1690">
        <f t="shared" si="3"/>
        <v>526</v>
      </c>
      <c r="F42" s="1690">
        <f t="shared" si="3"/>
        <v>3649</v>
      </c>
      <c r="G42" s="1690">
        <f t="shared" si="3"/>
        <v>0</v>
      </c>
      <c r="H42" s="1690">
        <f t="shared" si="3"/>
        <v>0</v>
      </c>
      <c r="I42" s="1690">
        <f t="shared" si="3"/>
        <v>0</v>
      </c>
      <c r="J42" s="1690">
        <f t="shared" si="3"/>
        <v>0</v>
      </c>
      <c r="K42" s="1690">
        <f t="shared" si="3"/>
        <v>95294</v>
      </c>
      <c r="L42" s="1690">
        <f t="shared" si="3"/>
        <v>103150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1000</v>
      </c>
      <c r="D44" s="480">
        <v>0</v>
      </c>
      <c r="E44" s="480">
        <v>3831</v>
      </c>
      <c r="F44" s="480">
        <v>0</v>
      </c>
      <c r="G44" s="480">
        <v>0</v>
      </c>
      <c r="H44" s="480">
        <v>0</v>
      </c>
      <c r="I44" s="467">
        <v>0</v>
      </c>
      <c r="J44" s="467">
        <v>0</v>
      </c>
      <c r="K44" s="1692">
        <f>SUM(C44:J44)</f>
        <v>4831</v>
      </c>
      <c r="L44" s="480">
        <v>4500</v>
      </c>
    </row>
    <row r="45" spans="1:14" x14ac:dyDescent="0.2">
      <c r="A45" s="1524" t="s">
        <v>869</v>
      </c>
      <c r="B45" s="613">
        <v>2220</v>
      </c>
      <c r="C45" s="467">
        <v>6622</v>
      </c>
      <c r="D45" s="466">
        <v>0</v>
      </c>
      <c r="E45" s="466">
        <v>839</v>
      </c>
      <c r="F45" s="466">
        <v>2352</v>
      </c>
      <c r="G45" s="466">
        <v>0</v>
      </c>
      <c r="H45" s="466">
        <v>0</v>
      </c>
      <c r="I45" s="467">
        <v>0</v>
      </c>
      <c r="J45" s="467">
        <v>0</v>
      </c>
      <c r="K45" s="1692">
        <f>SUM(C45:J45)</f>
        <v>9813</v>
      </c>
      <c r="L45" s="466">
        <v>10700</v>
      </c>
    </row>
    <row r="46" spans="1:14" x14ac:dyDescent="0.2">
      <c r="A46" s="1524" t="s">
        <v>870</v>
      </c>
      <c r="B46" s="613">
        <v>2230</v>
      </c>
      <c r="C46" s="467">
        <v>0</v>
      </c>
      <c r="D46" s="466">
        <v>0</v>
      </c>
      <c r="E46" s="466">
        <v>0</v>
      </c>
      <c r="F46" s="466">
        <v>363</v>
      </c>
      <c r="G46" s="466">
        <v>0</v>
      </c>
      <c r="H46" s="466">
        <v>0</v>
      </c>
      <c r="I46" s="467">
        <v>0</v>
      </c>
      <c r="J46" s="467">
        <v>0</v>
      </c>
      <c r="K46" s="1692">
        <f>SUM(C46:J46)</f>
        <v>363</v>
      </c>
      <c r="L46" s="466">
        <v>1500</v>
      </c>
    </row>
    <row r="47" spans="1:14" ht="12.75" customHeight="1" thickBot="1" x14ac:dyDescent="0.25">
      <c r="A47" s="1688" t="s">
        <v>582</v>
      </c>
      <c r="B47" s="1689" t="s">
        <v>32</v>
      </c>
      <c r="C47" s="1690">
        <f>SUM(C44:C46)</f>
        <v>7622</v>
      </c>
      <c r="D47" s="1690">
        <f t="shared" ref="D47:K47" si="4">SUM(D44:D46)</f>
        <v>0</v>
      </c>
      <c r="E47" s="1690">
        <f t="shared" si="4"/>
        <v>4670</v>
      </c>
      <c r="F47" s="1690">
        <f t="shared" si="4"/>
        <v>2715</v>
      </c>
      <c r="G47" s="1690">
        <f t="shared" si="4"/>
        <v>0</v>
      </c>
      <c r="H47" s="1690">
        <f t="shared" si="4"/>
        <v>0</v>
      </c>
      <c r="I47" s="1690">
        <f t="shared" si="4"/>
        <v>0</v>
      </c>
      <c r="J47" s="1690">
        <f t="shared" si="4"/>
        <v>0</v>
      </c>
      <c r="K47" s="1690">
        <f t="shared" si="4"/>
        <v>15007</v>
      </c>
      <c r="L47" s="1690">
        <f>SUM(L44:L46)</f>
        <v>16700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2268</v>
      </c>
      <c r="D49" s="480">
        <v>0</v>
      </c>
      <c r="E49" s="480">
        <v>4496</v>
      </c>
      <c r="F49" s="480">
        <v>2642</v>
      </c>
      <c r="G49" s="480">
        <v>0</v>
      </c>
      <c r="H49" s="480">
        <v>0</v>
      </c>
      <c r="I49" s="467">
        <v>0</v>
      </c>
      <c r="J49" s="467">
        <v>0</v>
      </c>
      <c r="K49" s="1692">
        <f>SUM(C49:J49)</f>
        <v>9406</v>
      </c>
      <c r="L49" s="466">
        <v>22800</v>
      </c>
    </row>
    <row r="50" spans="1:14" x14ac:dyDescent="0.2">
      <c r="A50" s="1524" t="s">
        <v>872</v>
      </c>
      <c r="B50" s="613">
        <v>2320</v>
      </c>
      <c r="C50" s="466">
        <v>105000</v>
      </c>
      <c r="D50" s="466">
        <v>21100</v>
      </c>
      <c r="E50" s="466">
        <v>4430</v>
      </c>
      <c r="F50" s="466">
        <v>1014</v>
      </c>
      <c r="G50" s="466">
        <v>0</v>
      </c>
      <c r="H50" s="466">
        <v>0</v>
      </c>
      <c r="I50" s="467">
        <v>0</v>
      </c>
      <c r="J50" s="467">
        <v>0</v>
      </c>
      <c r="K50" s="1692">
        <f>SUM(C50:J50)</f>
        <v>131544</v>
      </c>
      <c r="L50" s="466">
        <v>131600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107268</v>
      </c>
      <c r="D53" s="1690">
        <f t="shared" ref="D53:L53" si="5">SUM(D49:D52)</f>
        <v>21100</v>
      </c>
      <c r="E53" s="1690">
        <f t="shared" si="5"/>
        <v>8926</v>
      </c>
      <c r="F53" s="1690">
        <f t="shared" si="5"/>
        <v>3656</v>
      </c>
      <c r="G53" s="1690">
        <f t="shared" si="5"/>
        <v>0</v>
      </c>
      <c r="H53" s="1690">
        <f t="shared" si="5"/>
        <v>0</v>
      </c>
      <c r="I53" s="1690">
        <f t="shared" si="5"/>
        <v>0</v>
      </c>
      <c r="J53" s="1690">
        <f t="shared" si="5"/>
        <v>0</v>
      </c>
      <c r="K53" s="1690">
        <f t="shared" si="5"/>
        <v>140950</v>
      </c>
      <c r="L53" s="1690">
        <f t="shared" si="5"/>
        <v>154400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197529</v>
      </c>
      <c r="D55" s="480">
        <v>53325</v>
      </c>
      <c r="E55" s="480">
        <v>662</v>
      </c>
      <c r="F55" s="480">
        <v>1926</v>
      </c>
      <c r="G55" s="480">
        <v>0</v>
      </c>
      <c r="H55" s="480">
        <v>0</v>
      </c>
      <c r="I55" s="467">
        <v>0</v>
      </c>
      <c r="J55" s="467">
        <v>0</v>
      </c>
      <c r="K55" s="1692">
        <f>SUM(C55:J55)</f>
        <v>253442</v>
      </c>
      <c r="L55" s="480">
        <v>247465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197529</v>
      </c>
      <c r="D57" s="1694">
        <f t="shared" ref="D57:K57" si="6">SUM(D55:D56)</f>
        <v>53325</v>
      </c>
      <c r="E57" s="1694">
        <f t="shared" si="6"/>
        <v>662</v>
      </c>
      <c r="F57" s="1694">
        <f t="shared" si="6"/>
        <v>1926</v>
      </c>
      <c r="G57" s="1694">
        <f t="shared" si="6"/>
        <v>0</v>
      </c>
      <c r="H57" s="1694">
        <f t="shared" si="6"/>
        <v>0</v>
      </c>
      <c r="I57" s="1694">
        <f t="shared" si="6"/>
        <v>0</v>
      </c>
      <c r="J57" s="1694">
        <f t="shared" si="6"/>
        <v>0</v>
      </c>
      <c r="K57" s="1694">
        <f t="shared" si="6"/>
        <v>253442</v>
      </c>
      <c r="L57" s="1690">
        <f>SUM(L55:L56)</f>
        <v>247465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13642</v>
      </c>
      <c r="D60" s="466">
        <v>0</v>
      </c>
      <c r="E60" s="466">
        <v>15791</v>
      </c>
      <c r="F60" s="466">
        <v>5686</v>
      </c>
      <c r="G60" s="466">
        <v>0</v>
      </c>
      <c r="H60" s="466">
        <v>0</v>
      </c>
      <c r="I60" s="467">
        <v>0</v>
      </c>
      <c r="J60" s="467">
        <v>0</v>
      </c>
      <c r="K60" s="1692">
        <f t="shared" si="7"/>
        <v>35119</v>
      </c>
      <c r="L60" s="466">
        <v>31500</v>
      </c>
      <c r="M60" s="608"/>
      <c r="N60" s="608"/>
    </row>
    <row r="61" spans="1:14" s="343" customFormat="1" x14ac:dyDescent="0.2">
      <c r="A61" s="1524" t="s">
        <v>206</v>
      </c>
      <c r="B61" s="613">
        <v>2540</v>
      </c>
      <c r="C61" s="467">
        <v>0</v>
      </c>
      <c r="D61" s="466">
        <v>0</v>
      </c>
      <c r="E61" s="466">
        <v>20927</v>
      </c>
      <c r="F61" s="466">
        <v>0</v>
      </c>
      <c r="G61" s="466">
        <v>0</v>
      </c>
      <c r="H61" s="466">
        <v>0</v>
      </c>
      <c r="I61" s="467">
        <v>0</v>
      </c>
      <c r="J61" s="467">
        <v>0</v>
      </c>
      <c r="K61" s="1692">
        <f t="shared" si="7"/>
        <v>20927</v>
      </c>
      <c r="L61" s="466">
        <v>21000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72229</v>
      </c>
      <c r="D63" s="466">
        <v>17306</v>
      </c>
      <c r="E63" s="466">
        <v>1125</v>
      </c>
      <c r="F63" s="466">
        <v>54759</v>
      </c>
      <c r="G63" s="466">
        <v>0</v>
      </c>
      <c r="H63" s="466">
        <v>0</v>
      </c>
      <c r="I63" s="467">
        <v>0</v>
      </c>
      <c r="J63" s="467">
        <v>0</v>
      </c>
      <c r="K63" s="1692">
        <f t="shared" si="7"/>
        <v>145419</v>
      </c>
      <c r="L63" s="466">
        <v>159550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85871</v>
      </c>
      <c r="D65" s="1690">
        <f t="shared" ref="D65:L65" si="8">SUM(D59:D64)</f>
        <v>17306</v>
      </c>
      <c r="E65" s="1690">
        <f t="shared" si="8"/>
        <v>37843</v>
      </c>
      <c r="F65" s="1690">
        <f t="shared" si="8"/>
        <v>60445</v>
      </c>
      <c r="G65" s="1690">
        <f t="shared" si="8"/>
        <v>0</v>
      </c>
      <c r="H65" s="1690">
        <f t="shared" si="8"/>
        <v>0</v>
      </c>
      <c r="I65" s="1690">
        <f t="shared" si="8"/>
        <v>0</v>
      </c>
      <c r="J65" s="1690">
        <f t="shared" si="8"/>
        <v>0</v>
      </c>
      <c r="K65" s="1690">
        <f t="shared" si="8"/>
        <v>201465</v>
      </c>
      <c r="L65" s="1690">
        <f t="shared" si="8"/>
        <v>212050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474012</v>
      </c>
      <c r="D74" s="1697">
        <f t="shared" ref="D74:K74" si="10">SUM(D42,D47,D53,D57,D65,D72,D73)</f>
        <v>107128</v>
      </c>
      <c r="E74" s="1697">
        <f t="shared" si="10"/>
        <v>52627</v>
      </c>
      <c r="F74" s="1697">
        <f t="shared" si="10"/>
        <v>72391</v>
      </c>
      <c r="G74" s="1697">
        <f t="shared" si="10"/>
        <v>0</v>
      </c>
      <c r="H74" s="1697">
        <f t="shared" si="10"/>
        <v>0</v>
      </c>
      <c r="I74" s="1697">
        <f t="shared" si="10"/>
        <v>0</v>
      </c>
      <c r="J74" s="1697">
        <f t="shared" si="10"/>
        <v>0</v>
      </c>
      <c r="K74" s="1697">
        <f t="shared" si="10"/>
        <v>706158</v>
      </c>
      <c r="L74" s="1697">
        <f>SUM(L42,L47,L53,L57,L65,L72,L73)</f>
        <v>733765</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37394</v>
      </c>
      <c r="F78" s="615"/>
      <c r="G78" s="615"/>
      <c r="H78" s="633">
        <v>0</v>
      </c>
      <c r="I78" s="476"/>
      <c r="J78" s="476"/>
      <c r="K78" s="1691">
        <f t="shared" ref="K78:K83" si="11">SUM(C78:J78)</f>
        <v>37394</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3756</v>
      </c>
      <c r="F82" s="615"/>
      <c r="G82" s="615"/>
      <c r="H82" s="466">
        <v>0</v>
      </c>
      <c r="I82" s="476"/>
      <c r="J82" s="476"/>
      <c r="K82" s="1691">
        <f t="shared" si="11"/>
        <v>3756</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41150</v>
      </c>
      <c r="F84" s="615"/>
      <c r="G84" s="615"/>
      <c r="H84" s="1690">
        <f>SUM(H78:H83)</f>
        <v>0</v>
      </c>
      <c r="I84" s="476"/>
      <c r="J84" s="476"/>
      <c r="K84" s="1690">
        <f>SUM(K78:K83)</f>
        <v>41150</v>
      </c>
      <c r="L84" s="1690">
        <f>SUM(L78:L83)</f>
        <v>0</v>
      </c>
    </row>
    <row r="85" spans="1:12" ht="12.75" customHeight="1" thickTop="1" thickBot="1" x14ac:dyDescent="0.25">
      <c r="A85" s="1531" t="s">
        <v>273</v>
      </c>
      <c r="B85" s="634">
        <v>4210</v>
      </c>
      <c r="C85" s="615"/>
      <c r="D85" s="615"/>
      <c r="E85" s="635"/>
      <c r="F85" s="615"/>
      <c r="G85" s="615"/>
      <c r="H85" s="533">
        <v>0</v>
      </c>
      <c r="I85" s="476"/>
      <c r="J85" s="476"/>
      <c r="K85" s="1697">
        <f>H85</f>
        <v>0</v>
      </c>
      <c r="L85" s="528">
        <v>10000</v>
      </c>
    </row>
    <row r="86" spans="1:12" ht="12.75" customHeight="1" thickTop="1" thickBot="1" x14ac:dyDescent="0.25">
      <c r="A86" s="1532" t="s">
        <v>723</v>
      </c>
      <c r="B86" s="636">
        <v>4220</v>
      </c>
      <c r="C86" s="615"/>
      <c r="D86" s="615"/>
      <c r="E86" s="637"/>
      <c r="F86" s="615"/>
      <c r="G86" s="615"/>
      <c r="H86" s="467">
        <v>145243</v>
      </c>
      <c r="I86" s="476"/>
      <c r="J86" s="476"/>
      <c r="K86" s="1697">
        <f t="shared" ref="K86:K98" si="12">H86</f>
        <v>145243</v>
      </c>
      <c r="L86" s="528">
        <v>140000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145243</v>
      </c>
      <c r="I92" s="476"/>
      <c r="J92" s="476"/>
      <c r="K92" s="1697">
        <f t="shared" si="12"/>
        <v>145243</v>
      </c>
      <c r="L92" s="1690">
        <f>SUM(L85:L91)</f>
        <v>150000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41150</v>
      </c>
      <c r="F102" s="615"/>
      <c r="G102" s="615"/>
      <c r="H102" s="1697">
        <f>SUM(H84,H92,H100,H101)</f>
        <v>145243</v>
      </c>
      <c r="I102" s="476"/>
      <c r="J102" s="476"/>
      <c r="K102" s="1697">
        <f>SUM(K84,K92,K100,K101)</f>
        <v>186393</v>
      </c>
      <c r="L102" s="1697">
        <f>SUM(L84,L92,L100,L101)</f>
        <v>150000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15000</v>
      </c>
      <c r="M113" s="612"/>
      <c r="N113" s="612"/>
    </row>
    <row r="114" spans="1:14" ht="12.75" customHeight="1" thickTop="1" thickBot="1" x14ac:dyDescent="0.25">
      <c r="A114" s="1688" t="s">
        <v>50</v>
      </c>
      <c r="B114" s="1702"/>
      <c r="C114" s="1690">
        <f>SUM(C33,C74,C75,C102,C112,C113)</f>
        <v>2057944</v>
      </c>
      <c r="D114" s="1690">
        <f t="shared" ref="D114:K114" si="13">SUM(D33,D74,D75,D102,D112,D113)</f>
        <v>407960</v>
      </c>
      <c r="E114" s="1690">
        <f t="shared" si="13"/>
        <v>162749</v>
      </c>
      <c r="F114" s="1690">
        <f t="shared" si="13"/>
        <v>168289</v>
      </c>
      <c r="G114" s="1690">
        <f t="shared" si="13"/>
        <v>88084</v>
      </c>
      <c r="H114" s="1690">
        <f>SUM(H33,H74,H75,H102,H112,H113)</f>
        <v>149455</v>
      </c>
      <c r="I114" s="1690">
        <f t="shared" si="13"/>
        <v>0</v>
      </c>
      <c r="J114" s="1690">
        <f t="shared" si="13"/>
        <v>0</v>
      </c>
      <c r="K114" s="1690">
        <f t="shared" si="13"/>
        <v>3034481</v>
      </c>
      <c r="L114" s="1690">
        <f>SUM(L33,L74,L75,L102,L112,L113)</f>
        <v>3097940</v>
      </c>
    </row>
    <row r="115" spans="1:14" ht="13.5" thickTop="1" x14ac:dyDescent="0.2">
      <c r="A115" s="2171" t="s">
        <v>1053</v>
      </c>
      <c r="B115" s="2172"/>
      <c r="C115" s="617"/>
      <c r="D115" s="617"/>
      <c r="E115" s="617"/>
      <c r="F115" s="617"/>
      <c r="G115" s="617"/>
      <c r="H115" s="617"/>
      <c r="I115" s="617"/>
      <c r="J115" s="617"/>
      <c r="K115" s="1704">
        <f>'Revenues 9-14'!C275-'Expenditures 15-22'!K114</f>
        <v>-66507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6" t="s">
        <v>314</v>
      </c>
      <c r="B117" s="2177"/>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141834</v>
      </c>
      <c r="D124" s="466">
        <v>21539</v>
      </c>
      <c r="E124" s="466">
        <v>114640</v>
      </c>
      <c r="F124" s="466">
        <v>42299</v>
      </c>
      <c r="G124" s="466">
        <v>15592</v>
      </c>
      <c r="H124" s="466">
        <v>0</v>
      </c>
      <c r="I124" s="467">
        <v>0</v>
      </c>
      <c r="J124" s="467">
        <v>0</v>
      </c>
      <c r="K124" s="1690">
        <f>SUM(C124:J124)</f>
        <v>335904</v>
      </c>
      <c r="L124" s="466">
        <v>354300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141834</v>
      </c>
      <c r="D127" s="1690">
        <f t="shared" ref="D127:L127" si="14">SUM(D122:D126)</f>
        <v>21539</v>
      </c>
      <c r="E127" s="1690">
        <f t="shared" si="14"/>
        <v>114640</v>
      </c>
      <c r="F127" s="1690">
        <f t="shared" si="14"/>
        <v>42299</v>
      </c>
      <c r="G127" s="1690">
        <f t="shared" si="14"/>
        <v>15592</v>
      </c>
      <c r="H127" s="1690">
        <f t="shared" si="14"/>
        <v>0</v>
      </c>
      <c r="I127" s="1690">
        <f t="shared" si="14"/>
        <v>0</v>
      </c>
      <c r="J127" s="1690">
        <f t="shared" si="14"/>
        <v>0</v>
      </c>
      <c r="K127" s="1690">
        <f t="shared" si="14"/>
        <v>335904</v>
      </c>
      <c r="L127" s="1690">
        <f t="shared" si="14"/>
        <v>354300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141834</v>
      </c>
      <c r="D129" s="1697">
        <f t="shared" ref="D129:L129" si="15">SUM(D120,D127,D128)</f>
        <v>21539</v>
      </c>
      <c r="E129" s="1697">
        <f t="shared" si="15"/>
        <v>114640</v>
      </c>
      <c r="F129" s="1697">
        <f t="shared" si="15"/>
        <v>42299</v>
      </c>
      <c r="G129" s="1697">
        <f t="shared" si="15"/>
        <v>15592</v>
      </c>
      <c r="H129" s="1697">
        <f t="shared" si="15"/>
        <v>0</v>
      </c>
      <c r="I129" s="1697">
        <f t="shared" si="15"/>
        <v>0</v>
      </c>
      <c r="J129" s="1697">
        <f t="shared" si="15"/>
        <v>0</v>
      </c>
      <c r="K129" s="1697">
        <f t="shared" si="15"/>
        <v>335904</v>
      </c>
      <c r="L129" s="1697">
        <f t="shared" si="15"/>
        <v>354300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5000</v>
      </c>
    </row>
    <row r="151" spans="1:14" ht="12.75" customHeight="1" thickTop="1" thickBot="1" x14ac:dyDescent="0.25">
      <c r="A151" s="2188" t="s">
        <v>641</v>
      </c>
      <c r="B151" s="2168"/>
      <c r="C151" s="1690">
        <f>SUM(C129,C130,C139,C149,C150)</f>
        <v>141834</v>
      </c>
      <c r="D151" s="1690">
        <f t="shared" ref="D151:K151" si="16">SUM(D129,D130,D139,D149,D150)</f>
        <v>21539</v>
      </c>
      <c r="E151" s="1690">
        <f t="shared" si="16"/>
        <v>114640</v>
      </c>
      <c r="F151" s="1690">
        <f t="shared" si="16"/>
        <v>42299</v>
      </c>
      <c r="G151" s="1690">
        <f t="shared" si="16"/>
        <v>15592</v>
      </c>
      <c r="H151" s="1690">
        <f t="shared" si="16"/>
        <v>0</v>
      </c>
      <c r="I151" s="1690">
        <f t="shared" si="16"/>
        <v>0</v>
      </c>
      <c r="J151" s="1690">
        <f t="shared" si="16"/>
        <v>0</v>
      </c>
      <c r="K151" s="1690">
        <f t="shared" si="16"/>
        <v>335904</v>
      </c>
      <c r="L151" s="1690">
        <f>SUM(L129,L130,L139,L149,L150)</f>
        <v>359300</v>
      </c>
    </row>
    <row r="152" spans="1:14" ht="12.75" customHeight="1" thickTop="1" x14ac:dyDescent="0.2">
      <c r="A152" s="2191" t="s">
        <v>1240</v>
      </c>
      <c r="B152" s="2192"/>
      <c r="C152" s="617"/>
      <c r="D152" s="617"/>
      <c r="E152" s="617"/>
      <c r="F152" s="617"/>
      <c r="G152" s="617"/>
      <c r="H152" s="617"/>
      <c r="I152" s="617"/>
      <c r="J152" s="615"/>
      <c r="K152" s="1704">
        <f>'Revenues 9-14'!D275-'Expenditures 15-22'!K151</f>
        <v>-198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6" t="s">
        <v>642</v>
      </c>
      <c r="B154" s="2178"/>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10350</v>
      </c>
      <c r="I169" s="615"/>
      <c r="J169" s="615"/>
      <c r="K169" s="1691">
        <f>SUM(C169:H169)</f>
        <v>10350</v>
      </c>
      <c r="L169" s="655">
        <v>10350</v>
      </c>
    </row>
    <row r="170" spans="1:14" ht="33.75" customHeight="1" x14ac:dyDescent="0.2">
      <c r="A170" s="668" t="s">
        <v>1769</v>
      </c>
      <c r="B170" s="670" t="s">
        <v>31</v>
      </c>
      <c r="C170" s="615"/>
      <c r="D170" s="615"/>
      <c r="E170" s="615"/>
      <c r="F170" s="615"/>
      <c r="G170" s="615"/>
      <c r="H170" s="567">
        <v>474127</v>
      </c>
      <c r="I170" s="615"/>
      <c r="J170" s="615"/>
      <c r="K170" s="1691">
        <f>SUM(C170:J170)</f>
        <v>474127</v>
      </c>
      <c r="L170" s="567">
        <v>460000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484477</v>
      </c>
      <c r="I172" s="637"/>
      <c r="J172" s="615"/>
      <c r="K172" s="1697">
        <f>SUM(K168,K169,K170,K171)</f>
        <v>484477</v>
      </c>
      <c r="L172" s="1697">
        <f>SUM(L168,L169,L170,L171)</f>
        <v>470350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484477</v>
      </c>
      <c r="I174" s="637"/>
      <c r="J174" s="615"/>
      <c r="K174" s="1697">
        <f>SUM(K160,K172,K173)</f>
        <v>484477</v>
      </c>
      <c r="L174" s="1697">
        <f>SUM(L160,L172,L173)</f>
        <v>470350</v>
      </c>
    </row>
    <row r="175" spans="1:14" ht="13.5" thickTop="1" x14ac:dyDescent="0.2">
      <c r="A175" s="2171" t="s">
        <v>1053</v>
      </c>
      <c r="B175" s="2172"/>
      <c r="C175" s="615"/>
      <c r="D175" s="615"/>
      <c r="E175" s="615"/>
      <c r="F175" s="615"/>
      <c r="G175" s="615"/>
      <c r="H175" s="617"/>
      <c r="I175" s="615"/>
      <c r="J175" s="615"/>
      <c r="K175" s="1704">
        <f>'Revenues 9-14'!E275-'Expenditures 15-22'!K174</f>
        <v>-1102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128955</v>
      </c>
      <c r="D182" s="467">
        <v>0</v>
      </c>
      <c r="E182" s="467">
        <v>70598</v>
      </c>
      <c r="F182" s="467">
        <v>37283</v>
      </c>
      <c r="G182" s="467">
        <v>1059</v>
      </c>
      <c r="H182" s="466">
        <v>0</v>
      </c>
      <c r="I182" s="467">
        <v>0</v>
      </c>
      <c r="J182" s="467">
        <v>0</v>
      </c>
      <c r="K182" s="1691">
        <f>SUM(C182:J182)</f>
        <v>237895</v>
      </c>
      <c r="L182" s="466">
        <v>244500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128955</v>
      </c>
      <c r="D184" s="1697">
        <f t="shared" ref="D184:J184" si="17">SUM(D180,D182,D183)</f>
        <v>0</v>
      </c>
      <c r="E184" s="1697">
        <f t="shared" si="17"/>
        <v>70598</v>
      </c>
      <c r="F184" s="1697">
        <f t="shared" si="17"/>
        <v>37283</v>
      </c>
      <c r="G184" s="1697">
        <f t="shared" si="17"/>
        <v>1059</v>
      </c>
      <c r="H184" s="1697">
        <f t="shared" si="17"/>
        <v>0</v>
      </c>
      <c r="I184" s="1697">
        <f t="shared" si="17"/>
        <v>0</v>
      </c>
      <c r="J184" s="1697">
        <f t="shared" si="17"/>
        <v>0</v>
      </c>
      <c r="K184" s="1697">
        <f>SUM(K180,K182,K183)</f>
        <v>237895</v>
      </c>
      <c r="L184" s="1697">
        <f>SUM(L180, L182:L183)</f>
        <v>244500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10000</v>
      </c>
    </row>
    <row r="210" spans="1:14" ht="12.75" customHeight="1" thickTop="1" thickBot="1" x14ac:dyDescent="0.25">
      <c r="A210" s="1712" t="s">
        <v>295</v>
      </c>
      <c r="B210" s="1713"/>
      <c r="C210" s="1690">
        <f>SUM(C184,C185)</f>
        <v>128955</v>
      </c>
      <c r="D210" s="1690">
        <f>SUM(D184,D185)</f>
        <v>0</v>
      </c>
      <c r="E210" s="1690">
        <f>SUM(E184,E185,E196)</f>
        <v>70598</v>
      </c>
      <c r="F210" s="1690">
        <f>SUM(F184,F185)</f>
        <v>37283</v>
      </c>
      <c r="G210" s="1690">
        <f>SUM(G184,G185)</f>
        <v>1059</v>
      </c>
      <c r="H210" s="1690">
        <f>SUM(H184,H185,H196,H208,H209)</f>
        <v>0</v>
      </c>
      <c r="I210" s="1690">
        <f>SUM(I184,I185)</f>
        <v>0</v>
      </c>
      <c r="J210" s="1690">
        <f>SUM(J184,J185)</f>
        <v>0</v>
      </c>
      <c r="K210" s="1691">
        <f>SUM(K184,K185,K196,K208,K209)</f>
        <v>237895</v>
      </c>
      <c r="L210" s="1690">
        <f>SUM(L184,L185,L196,L208,L209)</f>
        <v>254500</v>
      </c>
    </row>
    <row r="211" spans="1:14" ht="13.5" thickTop="1" x14ac:dyDescent="0.2">
      <c r="A211" s="2171" t="s">
        <v>1053</v>
      </c>
      <c r="B211" s="2172"/>
      <c r="C211" s="617"/>
      <c r="D211" s="617"/>
      <c r="E211" s="617"/>
      <c r="F211" s="617"/>
      <c r="G211" s="617"/>
      <c r="H211" s="617"/>
      <c r="I211" s="615"/>
      <c r="J211" s="615"/>
      <c r="K211" s="1704">
        <f>'Revenues 9-14'!F275-'Expenditures 15-22'!K210</f>
        <v>-3007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3" t="s">
        <v>1022</v>
      </c>
      <c r="B213" s="2194"/>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15463</v>
      </c>
      <c r="E215" s="615"/>
      <c r="F215" s="615"/>
      <c r="G215" s="615"/>
      <c r="H215" s="615"/>
      <c r="I215" s="615"/>
      <c r="J215" s="615"/>
      <c r="K215" s="1691">
        <f>D215</f>
        <v>15463</v>
      </c>
      <c r="L215" s="466">
        <v>16815</v>
      </c>
    </row>
    <row r="216" spans="1:14" x14ac:dyDescent="0.2">
      <c r="A216" s="1524" t="s">
        <v>165</v>
      </c>
      <c r="B216" s="613" t="s">
        <v>1024</v>
      </c>
      <c r="C216" s="615"/>
      <c r="D216" s="467">
        <v>4481</v>
      </c>
      <c r="E216" s="615"/>
      <c r="F216" s="615"/>
      <c r="G216" s="615"/>
      <c r="H216" s="615"/>
      <c r="I216" s="615"/>
      <c r="J216" s="615"/>
      <c r="K216" s="1691">
        <f t="shared" ref="K216:K228" si="19">D216</f>
        <v>4481</v>
      </c>
      <c r="L216" s="466">
        <v>4725</v>
      </c>
    </row>
    <row r="217" spans="1:14" x14ac:dyDescent="0.2">
      <c r="A217" s="1524" t="s">
        <v>166</v>
      </c>
      <c r="B217" s="613">
        <v>1200</v>
      </c>
      <c r="C217" s="615"/>
      <c r="D217" s="466">
        <v>14851</v>
      </c>
      <c r="E217" s="615"/>
      <c r="F217" s="615"/>
      <c r="G217" s="615"/>
      <c r="H217" s="615"/>
      <c r="I217" s="615"/>
      <c r="J217" s="615"/>
      <c r="K217" s="1691">
        <f t="shared" si="19"/>
        <v>14851</v>
      </c>
      <c r="L217" s="466">
        <v>15900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815</v>
      </c>
      <c r="E219" s="615"/>
      <c r="F219" s="615"/>
      <c r="G219" s="615"/>
      <c r="H219" s="615"/>
      <c r="I219" s="615"/>
      <c r="J219" s="615"/>
      <c r="K219" s="1691">
        <f t="shared" si="19"/>
        <v>815</v>
      </c>
      <c r="L219" s="466">
        <v>850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1431</v>
      </c>
      <c r="E222" s="615"/>
      <c r="F222" s="615"/>
      <c r="G222" s="615"/>
      <c r="H222" s="615"/>
      <c r="I222" s="615"/>
      <c r="J222" s="615"/>
      <c r="K222" s="1691">
        <f t="shared" si="19"/>
        <v>1431</v>
      </c>
      <c r="L222" s="466">
        <v>2000</v>
      </c>
    </row>
    <row r="223" spans="1:14" x14ac:dyDescent="0.2">
      <c r="A223" s="1524" t="s">
        <v>1020</v>
      </c>
      <c r="B223" s="613">
        <v>1500</v>
      </c>
      <c r="C223" s="615"/>
      <c r="D223" s="466">
        <v>2276</v>
      </c>
      <c r="E223" s="615"/>
      <c r="F223" s="615"/>
      <c r="G223" s="615"/>
      <c r="H223" s="615"/>
      <c r="I223" s="615"/>
      <c r="J223" s="615"/>
      <c r="K223" s="1691">
        <f t="shared" si="19"/>
        <v>2276</v>
      </c>
      <c r="L223" s="466">
        <v>2750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39317</v>
      </c>
      <c r="E229" s="615"/>
      <c r="F229" s="615"/>
      <c r="G229" s="615"/>
      <c r="H229" s="615"/>
      <c r="I229" s="615"/>
      <c r="J229" s="615"/>
      <c r="K229" s="1690">
        <f>SUM(K215:K228)</f>
        <v>39317</v>
      </c>
      <c r="L229" s="1690">
        <f>SUM(L215:L228)</f>
        <v>43040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786</v>
      </c>
      <c r="E233" s="615"/>
      <c r="F233" s="615"/>
      <c r="G233" s="615"/>
      <c r="H233" s="615"/>
      <c r="I233" s="615"/>
      <c r="J233" s="615"/>
      <c r="K233" s="1691">
        <f t="shared" si="20"/>
        <v>786</v>
      </c>
      <c r="L233" s="466">
        <v>900</v>
      </c>
    </row>
    <row r="234" spans="1:12" x14ac:dyDescent="0.2">
      <c r="A234" s="1524" t="s">
        <v>207</v>
      </c>
      <c r="B234" s="613">
        <v>2130</v>
      </c>
      <c r="C234" s="615"/>
      <c r="D234" s="466">
        <v>4095</v>
      </c>
      <c r="E234" s="615"/>
      <c r="F234" s="615"/>
      <c r="G234" s="615"/>
      <c r="H234" s="615"/>
      <c r="I234" s="615"/>
      <c r="J234" s="615"/>
      <c r="K234" s="1691">
        <f t="shared" si="20"/>
        <v>4095</v>
      </c>
      <c r="L234" s="466">
        <v>5550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4881</v>
      </c>
      <c r="E238" s="615"/>
      <c r="F238" s="615"/>
      <c r="G238" s="615"/>
      <c r="H238" s="615"/>
      <c r="I238" s="615"/>
      <c r="J238" s="615"/>
      <c r="K238" s="1690">
        <f>SUM(K232:K237)</f>
        <v>4881</v>
      </c>
      <c r="L238" s="1690">
        <f>SUM(L232:L237)</f>
        <v>6450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96</v>
      </c>
      <c r="E241" s="615"/>
      <c r="F241" s="615"/>
      <c r="G241" s="615"/>
      <c r="H241" s="615"/>
      <c r="I241" s="615"/>
      <c r="J241" s="615"/>
      <c r="K241" s="1692">
        <f>D241</f>
        <v>96</v>
      </c>
      <c r="L241" s="466">
        <v>125</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96</v>
      </c>
      <c r="E243" s="615"/>
      <c r="F243" s="615"/>
      <c r="G243" s="615"/>
      <c r="H243" s="615"/>
      <c r="I243" s="615"/>
      <c r="J243" s="615"/>
      <c r="K243" s="1690">
        <f>SUM(K240:K242)</f>
        <v>96</v>
      </c>
      <c r="L243" s="1690">
        <f>SUM(L240:L242)</f>
        <v>125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173</v>
      </c>
      <c r="E245" s="615"/>
      <c r="F245" s="615"/>
      <c r="G245" s="615"/>
      <c r="H245" s="615"/>
      <c r="I245" s="615"/>
      <c r="J245" s="615"/>
      <c r="K245" s="1692">
        <f>D245</f>
        <v>173</v>
      </c>
      <c r="L245" s="480">
        <v>160</v>
      </c>
    </row>
    <row r="246" spans="1:12" x14ac:dyDescent="0.2">
      <c r="A246" s="1524" t="s">
        <v>872</v>
      </c>
      <c r="B246" s="613">
        <v>2320</v>
      </c>
      <c r="C246" s="615"/>
      <c r="D246" s="466">
        <v>8284</v>
      </c>
      <c r="E246" s="615"/>
      <c r="F246" s="615"/>
      <c r="G246" s="615"/>
      <c r="H246" s="615"/>
      <c r="I246" s="615"/>
      <c r="J246" s="615"/>
      <c r="K246" s="1692">
        <f t="shared" ref="K246:K256" si="21">D246</f>
        <v>8284</v>
      </c>
      <c r="L246" s="466">
        <v>10500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8457</v>
      </c>
      <c r="E257" s="615"/>
      <c r="F257" s="615"/>
      <c r="G257" s="615"/>
      <c r="H257" s="615"/>
      <c r="I257" s="615"/>
      <c r="J257" s="615"/>
      <c r="K257" s="1690">
        <f>SUM(K245:K256)</f>
        <v>8457</v>
      </c>
      <c r="L257" s="1690">
        <f>SUM(L245:L256)</f>
        <v>10660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14589</v>
      </c>
      <c r="E259" s="615"/>
      <c r="F259" s="615"/>
      <c r="G259" s="615"/>
      <c r="H259" s="615"/>
      <c r="I259" s="615"/>
      <c r="J259" s="615"/>
      <c r="K259" s="1692">
        <f>D259</f>
        <v>14589</v>
      </c>
      <c r="L259" s="480">
        <v>14750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14589</v>
      </c>
      <c r="E261" s="615"/>
      <c r="F261" s="615"/>
      <c r="G261" s="615"/>
      <c r="H261" s="615"/>
      <c r="I261" s="615"/>
      <c r="J261" s="615"/>
      <c r="K261" s="1690">
        <f>SUM(K259:K260)</f>
        <v>14589</v>
      </c>
      <c r="L261" s="1690">
        <f>SUM(L259:L260)</f>
        <v>14750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1994</v>
      </c>
      <c r="E264" s="615"/>
      <c r="F264" s="615"/>
      <c r="G264" s="615"/>
      <c r="H264" s="615"/>
      <c r="I264" s="615"/>
      <c r="J264" s="615"/>
      <c r="K264" s="1692">
        <f t="shared" ref="K264:K269" si="22">D264</f>
        <v>1994</v>
      </c>
      <c r="L264" s="466">
        <v>2200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28440</v>
      </c>
      <c r="E266" s="615"/>
      <c r="F266" s="615"/>
      <c r="G266" s="615"/>
      <c r="H266" s="615"/>
      <c r="I266" s="615"/>
      <c r="J266" s="615"/>
      <c r="K266" s="1692">
        <f t="shared" si="22"/>
        <v>28440</v>
      </c>
      <c r="L266" s="466">
        <v>29600</v>
      </c>
    </row>
    <row r="267" spans="1:14" x14ac:dyDescent="0.2">
      <c r="A267" s="1524" t="s">
        <v>1010</v>
      </c>
      <c r="B267" s="613">
        <v>2550</v>
      </c>
      <c r="C267" s="615"/>
      <c r="D267" s="466">
        <v>23137</v>
      </c>
      <c r="E267" s="615"/>
      <c r="F267" s="615"/>
      <c r="G267" s="615"/>
      <c r="H267" s="615"/>
      <c r="I267" s="615"/>
      <c r="J267" s="615"/>
      <c r="K267" s="1692">
        <f t="shared" si="22"/>
        <v>23137</v>
      </c>
      <c r="L267" s="466">
        <v>24820</v>
      </c>
    </row>
    <row r="268" spans="1:14" x14ac:dyDescent="0.2">
      <c r="A268" s="1524" t="s">
        <v>102</v>
      </c>
      <c r="B268" s="613">
        <v>2560</v>
      </c>
      <c r="C268" s="615"/>
      <c r="D268" s="466">
        <v>15480</v>
      </c>
      <c r="E268" s="615"/>
      <c r="F268" s="615"/>
      <c r="G268" s="615"/>
      <c r="H268" s="615"/>
      <c r="I268" s="615"/>
      <c r="J268" s="615"/>
      <c r="K268" s="1692">
        <f t="shared" si="22"/>
        <v>15480</v>
      </c>
      <c r="L268" s="466">
        <v>16400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69051</v>
      </c>
      <c r="E270" s="615"/>
      <c r="F270" s="615"/>
      <c r="G270" s="615"/>
      <c r="H270" s="615"/>
      <c r="I270" s="615"/>
      <c r="J270" s="615"/>
      <c r="K270" s="1690">
        <f>SUM(K263:K269)</f>
        <v>69051</v>
      </c>
      <c r="L270" s="1690">
        <f>SUM(L263:L269)</f>
        <v>73020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97074</v>
      </c>
      <c r="E279" s="615"/>
      <c r="F279" s="615"/>
      <c r="G279" s="615"/>
      <c r="H279" s="615"/>
      <c r="I279" s="615"/>
      <c r="J279" s="615"/>
      <c r="K279" s="1697">
        <f>SUM(K238,K243,K257,K261,K270,K277,K278)</f>
        <v>97074</v>
      </c>
      <c r="L279" s="1697">
        <f>SUM(L238,L243,L257,L261,L270,L277,L278)</f>
        <v>105005</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3660</v>
      </c>
      <c r="E283" s="615"/>
      <c r="F283" s="615"/>
      <c r="G283" s="615"/>
      <c r="H283" s="615"/>
      <c r="I283" s="615"/>
      <c r="J283" s="615"/>
      <c r="K283" s="1691">
        <f>D283</f>
        <v>3660</v>
      </c>
      <c r="L283" s="466">
        <v>3800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3660</v>
      </c>
      <c r="E285" s="615"/>
      <c r="F285" s="615"/>
      <c r="G285" s="615"/>
      <c r="H285" s="615"/>
      <c r="I285" s="615"/>
      <c r="J285" s="615"/>
      <c r="K285" s="1690">
        <f>SUM(K282:K284)</f>
        <v>3660</v>
      </c>
      <c r="L285" s="1690">
        <f>SUM(L282:L284)</f>
        <v>3800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10000</v>
      </c>
    </row>
    <row r="295" spans="1:14" ht="12.75" customHeight="1" thickTop="1" thickBot="1" x14ac:dyDescent="0.25">
      <c r="A295" s="2189" t="s">
        <v>526</v>
      </c>
      <c r="B295" s="2190"/>
      <c r="C295" s="615"/>
      <c r="D295" s="1690">
        <f>SUM(D229,D279,D280,D285)</f>
        <v>140051</v>
      </c>
      <c r="E295" s="615"/>
      <c r="F295" s="615"/>
      <c r="G295" s="615"/>
      <c r="H295" s="1690">
        <f>H293</f>
        <v>0</v>
      </c>
      <c r="I295" s="615"/>
      <c r="J295" s="615"/>
      <c r="K295" s="1690">
        <f>SUM(K229,K279,K280,K285,K293,K294)</f>
        <v>140051</v>
      </c>
      <c r="L295" s="1690">
        <f>SUM(L229,L279,L280,L285,L293,L294)</f>
        <v>161845</v>
      </c>
    </row>
    <row r="296" spans="1:14" ht="13.5" thickTop="1" x14ac:dyDescent="0.2">
      <c r="A296" s="2171" t="s">
        <v>1053</v>
      </c>
      <c r="B296" s="2172"/>
      <c r="C296" s="615"/>
      <c r="D296" s="617"/>
      <c r="E296" s="615"/>
      <c r="F296" s="615"/>
      <c r="G296" s="615"/>
      <c r="H296" s="686"/>
      <c r="I296" s="615"/>
      <c r="J296" s="615"/>
      <c r="K296" s="1704">
        <f>'Revenues 9-14'!G275-'Expenditures 15-22'!K295</f>
        <v>81565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1" t="s">
        <v>145</v>
      </c>
      <c r="B298" s="2175"/>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15817</v>
      </c>
      <c r="F301" s="466">
        <v>3898</v>
      </c>
      <c r="G301" s="466">
        <v>41097</v>
      </c>
      <c r="H301" s="466">
        <v>0</v>
      </c>
      <c r="I301" s="467">
        <v>0</v>
      </c>
      <c r="J301" s="467">
        <v>0</v>
      </c>
      <c r="K301" s="1691">
        <f>SUM(C301:J301)</f>
        <v>60812</v>
      </c>
      <c r="L301" s="467">
        <v>65000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15817</v>
      </c>
      <c r="F303" s="1697">
        <f t="shared" si="23"/>
        <v>3898</v>
      </c>
      <c r="G303" s="1697">
        <f t="shared" si="23"/>
        <v>41097</v>
      </c>
      <c r="H303" s="1697">
        <f t="shared" si="23"/>
        <v>0</v>
      </c>
      <c r="I303" s="1697">
        <f t="shared" si="23"/>
        <v>0</v>
      </c>
      <c r="J303" s="1697">
        <f t="shared" si="23"/>
        <v>0</v>
      </c>
      <c r="K303" s="1697">
        <f t="shared" si="23"/>
        <v>60812</v>
      </c>
      <c r="L303" s="1697">
        <f t="shared" si="23"/>
        <v>65000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6" t="s">
        <v>295</v>
      </c>
      <c r="B312" s="2187"/>
      <c r="C312" s="1690">
        <f>SUM(C303)</f>
        <v>0</v>
      </c>
      <c r="D312" s="1690">
        <f>SUM(D303)</f>
        <v>0</v>
      </c>
      <c r="E312" s="1690">
        <f>SUM(E303,E310)</f>
        <v>15817</v>
      </c>
      <c r="F312" s="1690">
        <f>SUM(F303)</f>
        <v>3898</v>
      </c>
      <c r="G312" s="1690">
        <f>SUM(G303)</f>
        <v>41097</v>
      </c>
      <c r="H312" s="1690">
        <f>SUM(H303,H310)</f>
        <v>0</v>
      </c>
      <c r="I312" s="1690">
        <f>SUM(I303)</f>
        <v>0</v>
      </c>
      <c r="J312" s="1690">
        <f>SUM(J303)</f>
        <v>0</v>
      </c>
      <c r="K312" s="1690">
        <f>SUM(K303,K310,K311)</f>
        <v>60812</v>
      </c>
      <c r="L312" s="1690">
        <f>SUM(L303,L310,L311)</f>
        <v>65000</v>
      </c>
      <c r="M312" s="664"/>
      <c r="N312" s="664"/>
    </row>
    <row r="313" spans="1:14" ht="13.5" thickTop="1" x14ac:dyDescent="0.2">
      <c r="A313" s="2182" t="s">
        <v>1053</v>
      </c>
      <c r="B313" s="2183"/>
      <c r="C313" s="625"/>
      <c r="D313" s="625"/>
      <c r="E313" s="625"/>
      <c r="F313" s="625"/>
      <c r="G313" s="625"/>
      <c r="H313" s="625"/>
      <c r="I313" s="625"/>
      <c r="J313" s="625"/>
      <c r="K313" s="1705">
        <f>'Revenues 9-14'!H275-'Expenditures 15-22'!K312</f>
        <v>43551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5" t="s">
        <v>151</v>
      </c>
      <c r="B315" s="2196"/>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7" t="s">
        <v>954</v>
      </c>
      <c r="B317" s="2196"/>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35449</v>
      </c>
      <c r="F320" s="467">
        <v>0</v>
      </c>
      <c r="G320" s="467">
        <v>0</v>
      </c>
      <c r="H320" s="467">
        <v>0</v>
      </c>
      <c r="I320" s="467">
        <v>0</v>
      </c>
      <c r="J320" s="467">
        <v>0</v>
      </c>
      <c r="K320" s="1691">
        <f t="shared" ref="K320:K327" si="24">SUM(C320:J320)</f>
        <v>35449</v>
      </c>
      <c r="L320" s="467">
        <v>35978</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56842</v>
      </c>
      <c r="F322" s="467">
        <v>0</v>
      </c>
      <c r="G322" s="467">
        <v>0</v>
      </c>
      <c r="H322" s="467">
        <v>0</v>
      </c>
      <c r="I322" s="467">
        <v>0</v>
      </c>
      <c r="J322" s="467">
        <v>0</v>
      </c>
      <c r="K322" s="1691">
        <f t="shared" si="24"/>
        <v>56842</v>
      </c>
      <c r="L322" s="467">
        <v>53054</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60319</v>
      </c>
      <c r="D325" s="467">
        <v>0</v>
      </c>
      <c r="E325" s="467">
        <v>12188</v>
      </c>
      <c r="F325" s="467">
        <v>0</v>
      </c>
      <c r="G325" s="467">
        <v>0</v>
      </c>
      <c r="H325" s="467">
        <v>0</v>
      </c>
      <c r="I325" s="467">
        <v>0</v>
      </c>
      <c r="J325" s="467">
        <v>0</v>
      </c>
      <c r="K325" s="1691">
        <f t="shared" si="24"/>
        <v>72507</v>
      </c>
      <c r="L325" s="467">
        <v>77069</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12602</v>
      </c>
      <c r="F327" s="467">
        <v>0</v>
      </c>
      <c r="G327" s="467">
        <v>0</v>
      </c>
      <c r="H327" s="467">
        <v>0</v>
      </c>
      <c r="I327" s="467">
        <v>0</v>
      </c>
      <c r="J327" s="467">
        <v>0</v>
      </c>
      <c r="K327" s="1691">
        <f t="shared" si="24"/>
        <v>12602</v>
      </c>
      <c r="L327" s="467">
        <v>25000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60319</v>
      </c>
      <c r="D330" s="1690">
        <f t="shared" ref="D330:J330" si="25">SUM(D319:D329)</f>
        <v>0</v>
      </c>
      <c r="E330" s="1690">
        <f t="shared" si="25"/>
        <v>117081</v>
      </c>
      <c r="F330" s="1690">
        <f t="shared" si="25"/>
        <v>0</v>
      </c>
      <c r="G330" s="1690">
        <f t="shared" si="25"/>
        <v>0</v>
      </c>
      <c r="H330" s="1690">
        <f t="shared" si="25"/>
        <v>0</v>
      </c>
      <c r="I330" s="1690">
        <f t="shared" si="25"/>
        <v>0</v>
      </c>
      <c r="J330" s="1690">
        <f t="shared" si="25"/>
        <v>0</v>
      </c>
      <c r="K330" s="1690">
        <f>SUM(K319:K329)</f>
        <v>177400</v>
      </c>
      <c r="L330" s="1690">
        <f>SUM(L319:L329)</f>
        <v>191101</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60319</v>
      </c>
      <c r="D342" s="1690">
        <f>SUM(D330)</f>
        <v>0</v>
      </c>
      <c r="E342" s="1690">
        <f>SUM(E330)</f>
        <v>117081</v>
      </c>
      <c r="F342" s="1690">
        <f>SUM(F330)</f>
        <v>0</v>
      </c>
      <c r="G342" s="1690">
        <f>SUM(G330)</f>
        <v>0</v>
      </c>
      <c r="H342" s="1690">
        <f>SUM(H330,H334,H340)</f>
        <v>0</v>
      </c>
      <c r="I342" s="1690">
        <f>SUM(I330)</f>
        <v>0</v>
      </c>
      <c r="J342" s="1690">
        <f>SUM(J330)</f>
        <v>0</v>
      </c>
      <c r="K342" s="1690">
        <f>SUM(K330,K334,K340)</f>
        <v>177400</v>
      </c>
      <c r="L342" s="1697">
        <f>SUM(L330,L340,L341)</f>
        <v>191101</v>
      </c>
    </row>
    <row r="343" spans="1:14" ht="12.75" customHeight="1" thickTop="1" x14ac:dyDescent="0.2">
      <c r="A343" s="2184" t="s">
        <v>1053</v>
      </c>
      <c r="B343" s="2185"/>
      <c r="C343" s="615"/>
      <c r="D343" s="615"/>
      <c r="E343" s="615"/>
      <c r="F343" s="615"/>
      <c r="G343" s="615"/>
      <c r="H343" s="615"/>
      <c r="I343" s="615"/>
      <c r="J343" s="615"/>
      <c r="K343" s="1704">
        <f>'Revenues 9-14'!J275-'Expenditures 15-22'!K342</f>
        <v>56867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4" t="s">
        <v>1023</v>
      </c>
      <c r="B345" s="2175"/>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6679</v>
      </c>
      <c r="H349" s="466">
        <v>0</v>
      </c>
      <c r="I349" s="467">
        <v>0</v>
      </c>
      <c r="J349" s="467">
        <v>0</v>
      </c>
      <c r="K349" s="1691">
        <f>SUM(C349:J349)</f>
        <v>6679</v>
      </c>
      <c r="L349" s="466">
        <v>7700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6679</v>
      </c>
      <c r="H350" s="1690">
        <f t="shared" si="26"/>
        <v>0</v>
      </c>
      <c r="I350" s="1690">
        <f t="shared" si="26"/>
        <v>0</v>
      </c>
      <c r="J350" s="1690">
        <f t="shared" si="26"/>
        <v>0</v>
      </c>
      <c r="K350" s="1690">
        <f t="shared" si="26"/>
        <v>6679</v>
      </c>
      <c r="L350" s="1690">
        <f t="shared" si="26"/>
        <v>7700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6679</v>
      </c>
      <c r="H352" s="1690">
        <f t="shared" si="27"/>
        <v>0</v>
      </c>
      <c r="I352" s="1690">
        <f t="shared" si="27"/>
        <v>0</v>
      </c>
      <c r="J352" s="1690">
        <f t="shared" si="27"/>
        <v>0</v>
      </c>
      <c r="K352" s="1690">
        <f t="shared" si="27"/>
        <v>6679</v>
      </c>
      <c r="L352" s="1690">
        <f t="shared" si="27"/>
        <v>7700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6679</v>
      </c>
      <c r="H367" s="1690">
        <f t="shared" si="28"/>
        <v>0</v>
      </c>
      <c r="I367" s="1690">
        <f t="shared" si="28"/>
        <v>0</v>
      </c>
      <c r="J367" s="1690">
        <f t="shared" si="28"/>
        <v>0</v>
      </c>
      <c r="K367" s="1690">
        <f t="shared" si="28"/>
        <v>6679</v>
      </c>
      <c r="L367" s="1690">
        <f t="shared" si="28"/>
        <v>7700</v>
      </c>
    </row>
    <row r="368" spans="1:14" ht="13.5" thickTop="1" x14ac:dyDescent="0.2">
      <c r="A368" s="2171" t="s">
        <v>1053</v>
      </c>
      <c r="B368" s="2172"/>
      <c r="C368" s="653"/>
      <c r="D368" s="653"/>
      <c r="E368" s="625"/>
      <c r="F368" s="625"/>
      <c r="G368" s="625"/>
      <c r="H368" s="625"/>
      <c r="I368" s="625"/>
      <c r="J368" s="622"/>
      <c r="K368" s="1691">
        <f>'Revenues 9-14'!K275-'Expenditures 15-22'!K367</f>
        <v>20384</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4d435f69-8686-490b-bd6d-b153bf22ab50"/>
    <ds:schemaRef ds:uri="http://schemas.openxmlformats.org/package/2006/metadata/core-properties"/>
    <ds:schemaRef ds:uri="http://purl.org/dc/terms/"/>
    <ds:schemaRef ds:uri="http://schemas.microsoft.com/office/infopath/2007/PartnerControls"/>
    <ds:schemaRef ds:uri="http://schemas.microsoft.com/sharepoint/v3"/>
    <ds:schemaRef ds:uri="http://schemas.microsoft.com/office/2006/metadata/properties"/>
    <ds:schemaRef ds:uri="http://purl.org/dc/elements/1.1/"/>
    <ds:schemaRef ds:uri="http://www.w3.org/XML/1998/namespace"/>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 - NA</vt:lpstr>
      <vt:lpstr>Single Audit Checklist - NA</vt:lpstr>
      <vt:lpstr>SEFA Reconcile - NA</vt:lpstr>
      <vt:lpstr>SEFA NOTES - NA</vt:lpstr>
      <vt:lpstr> SEFA - NA</vt:lpstr>
      <vt:lpstr>SF&amp;QC Sec-1 - NA</vt:lpstr>
      <vt:lpstr>Finding 2018-001</vt:lpstr>
      <vt:lpstr>SF&amp;QC Sec-3 - NA</vt:lpstr>
      <vt:lpstr>SSPAF</vt:lpstr>
      <vt:lpstr>' SEFA - NA'!Print_Area</vt:lpstr>
      <vt:lpstr>'SEFA NOTES - NA'!Print_Area</vt:lpstr>
      <vt:lpstr>'SEFA Reconcile - NA'!Print_Area</vt:lpstr>
      <vt:lpstr>'SF&amp;QC Sec-1 - NA'!Print_Area</vt:lpstr>
      <vt:lpstr>'SF&amp;QC Sec-3 - NA'!Print_Area</vt:lpstr>
      <vt:lpstr>'Single Audit Checklist - NA'!Print_Area</vt:lpstr>
      <vt:lpstr>'Single Audit Cover - NA'!Print_Area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 - 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2018-10-08T12:26:05Z</cp:lastPrinted>
  <dcterms:created xsi:type="dcterms:W3CDTF">2003-10-29T19:06:34Z</dcterms:created>
  <dcterms:modified xsi:type="dcterms:W3CDTF">2018-10-09T15:16:22Z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