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5" i="29" l="1"/>
  <c r="C50" i="29"/>
  <c r="C39" i="3" l="1"/>
  <c r="C38" i="3"/>
  <c r="H12" i="145" l="1"/>
  <c r="G39" i="3"/>
  <c r="D24" i="181" l="1"/>
  <c r="D23" i="181"/>
  <c r="D22" i="181"/>
  <c r="D21" i="181"/>
  <c r="D19" i="181"/>
  <c r="D18" i="181"/>
  <c r="D17" i="181"/>
  <c r="J31" i="8"/>
  <c r="L17" i="29"/>
  <c r="C9" i="4" l="1"/>
  <c r="E6" i="7" l="1"/>
  <c r="L4" i="3" l="1"/>
  <c r="E325" i="29" l="1"/>
  <c r="D268" i="29"/>
  <c r="H170" i="29"/>
  <c r="F124" i="29"/>
  <c r="E49" i="29"/>
  <c r="C49"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B7090" i="106" s="1"/>
  <c r="D7090" i="106" s="1"/>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E26" i="108"/>
  <c r="G26" i="108"/>
  <c r="D27" i="108"/>
  <c r="E27" i="108"/>
  <c r="F27" i="108"/>
  <c r="G27" i="108"/>
  <c r="F31" i="108"/>
  <c r="F36" i="108"/>
  <c r="G28" i="108"/>
  <c r="E29" i="108"/>
  <c r="G29"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K274" i="5"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J22" i="37"/>
  <c r="L22" i="37"/>
  <c r="D24" i="37"/>
  <c r="B4270" i="106" s="1"/>
  <c r="D4270" i="106" s="1"/>
  <c r="D4" i="7"/>
  <c r="B1760" i="106" s="1"/>
  <c r="D1760" i="106" s="1"/>
  <c r="D13" i="7"/>
  <c r="B3726" i="106" s="1"/>
  <c r="D3726" i="106" s="1"/>
  <c r="D9" i="7"/>
  <c r="B1767" i="106" s="1"/>
  <c r="D1767" i="106" s="1"/>
  <c r="F136" i="34"/>
  <c r="H173" i="5"/>
  <c r="B5906" i="106" s="1"/>
  <c r="D5906" i="106" s="1"/>
  <c r="D7" i="7"/>
  <c r="B1763" i="106" s="1"/>
  <c r="D1763" i="106" s="1"/>
  <c r="D12" i="7"/>
  <c r="B1769" i="106" s="1"/>
  <c r="D1769" i="106" s="1"/>
  <c r="N22" i="3" l="1"/>
  <c r="B283" i="106" s="1"/>
  <c r="D283" i="106" s="1"/>
  <c r="D69" i="36"/>
  <c r="D11" i="37"/>
  <c r="F28" i="108"/>
  <c r="G30" i="108"/>
  <c r="E30" i="108"/>
  <c r="G172" i="5"/>
  <c r="G173" i="5" s="1"/>
  <c r="B5778" i="106" s="1"/>
  <c r="D5778" i="106" s="1"/>
  <c r="J274" i="5"/>
  <c r="B7054" i="106" s="1"/>
  <c r="D7054" i="106" s="1"/>
  <c r="B4373" i="106"/>
  <c r="D4373" i="106" s="1"/>
  <c r="K173" i="5"/>
  <c r="K6" i="4" s="1"/>
  <c r="B3570" i="106" s="1"/>
  <c r="D3570" i="106" s="1"/>
  <c r="L342" i="29"/>
  <c r="F44" i="34"/>
  <c r="J352" i="29"/>
  <c r="J367" i="29" s="1"/>
  <c r="B7245" i="106" s="1"/>
  <c r="D7245" i="106" s="1"/>
  <c r="B5752" i="106"/>
  <c r="D5752" i="106" s="1"/>
  <c r="G5" i="4"/>
  <c r="B3409" i="106" s="1"/>
  <c r="D3409" i="106" s="1"/>
  <c r="B5096" i="106"/>
  <c r="D5096" i="106" s="1"/>
  <c r="C109" i="5"/>
  <c r="B5121" i="106" s="1"/>
  <c r="D5121" i="106" s="1"/>
  <c r="B4087" i="106"/>
  <c r="D4087" i="106" s="1"/>
  <c r="L13" i="11"/>
  <c r="B2060" i="106" s="1"/>
  <c r="D2060" i="106" s="1"/>
  <c r="E174" i="29"/>
  <c r="B1309" i="106" s="1"/>
  <c r="D1309" i="106" s="1"/>
  <c r="L5" i="11"/>
  <c r="B2056" i="106" s="1"/>
  <c r="D2056" i="106" s="1"/>
  <c r="D22" i="37"/>
  <c r="F172" i="5"/>
  <c r="B5644" i="106" s="1"/>
  <c r="D5644" i="106" s="1"/>
  <c r="F35" i="34"/>
  <c r="D37" i="108"/>
  <c r="F37" i="108"/>
  <c r="E28" i="108"/>
  <c r="D26" i="108"/>
  <c r="B7235" i="106"/>
  <c r="D7235" i="106" s="1"/>
  <c r="C342" i="29"/>
  <c r="B7216" i="106" s="1"/>
  <c r="D7216" i="106" s="1"/>
  <c r="F77" i="4"/>
  <c r="B3255" i="106" s="1"/>
  <c r="D3255" i="106" s="1"/>
  <c r="F106" i="34"/>
  <c r="B1223" i="106"/>
  <c r="D1223" i="106" s="1"/>
  <c r="B1126" i="106"/>
  <c r="D1126" i="106" s="1"/>
  <c r="H6" i="4"/>
  <c r="B2656" i="106" s="1"/>
  <c r="D2656" i="106" s="1"/>
  <c r="H109" i="5"/>
  <c r="B6025" i="106" s="1"/>
  <c r="D6025" i="106" s="1"/>
  <c r="F62" i="34"/>
  <c r="F49" i="34"/>
  <c r="F41" i="34"/>
  <c r="G39" i="108"/>
  <c r="B7047" i="106"/>
  <c r="D7047" i="106" s="1"/>
  <c r="D17" i="7"/>
  <c r="B4104" i="106" s="1"/>
  <c r="D4104" i="106" s="1"/>
  <c r="C172" i="5"/>
  <c r="B5214" i="106" s="1"/>
  <c r="D5214" i="106" s="1"/>
  <c r="F127" i="34"/>
  <c r="D5" i="7"/>
  <c r="B1761" i="106" s="1"/>
  <c r="D1761" i="106" s="1"/>
  <c r="H33" i="118"/>
  <c r="F128" i="34"/>
  <c r="B4951" i="106"/>
  <c r="D4951" i="106" s="1"/>
  <c r="L367" i="29"/>
  <c r="F19" i="7"/>
  <c r="B1807" i="106" s="1"/>
  <c r="D1807" i="106" s="1"/>
  <c r="F71" i="34"/>
  <c r="F50" i="34"/>
  <c r="F42" i="34"/>
  <c r="F26" i="108"/>
  <c r="K26" i="12"/>
  <c r="B7743" i="106" s="1"/>
  <c r="D7743" i="106" s="1"/>
  <c r="K350" i="29"/>
  <c r="K352" i="29" s="1"/>
  <c r="B5770" i="106"/>
  <c r="D5770"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N23" i="3" l="1"/>
  <c r="B284" i="106" s="1"/>
  <c r="D284" i="106" s="1"/>
  <c r="L16" i="11"/>
  <c r="B2061" i="106" s="1"/>
  <c r="D2061" i="106" s="1"/>
  <c r="F173" i="5"/>
  <c r="B5527" i="106"/>
  <c r="D5527" i="106" s="1"/>
  <c r="C173" i="5"/>
  <c r="B5223" i="106" s="1"/>
  <c r="D5223" i="106" s="1"/>
  <c r="D19" i="7"/>
  <c r="B1775" i="106" s="1"/>
  <c r="D1775" i="106" s="1"/>
  <c r="C4" i="4"/>
  <c r="B2551" i="106" s="1"/>
  <c r="D2551" i="106" s="1"/>
  <c r="D44" i="36"/>
  <c r="L114" i="29"/>
  <c r="D41" i="108"/>
  <c r="E43" i="108" s="1"/>
  <c r="D7254" i="106"/>
  <c r="D7250" i="106"/>
  <c r="K13" i="4"/>
  <c r="B3572" i="106" s="1"/>
  <c r="D3572" i="106" s="1"/>
  <c r="B3672" i="106"/>
  <c r="D3672" i="106" s="1"/>
  <c r="K367" i="29"/>
  <c r="D51" i="36"/>
  <c r="D7255" i="106"/>
  <c r="D7256" i="106"/>
  <c r="D7251" i="106"/>
  <c r="C114" i="29"/>
  <c r="B757" i="106" s="1"/>
  <c r="D757" i="106" s="1"/>
  <c r="H4" i="4"/>
  <c r="H275" i="5"/>
  <c r="D7252" i="106"/>
  <c r="B1317" i="106"/>
  <c r="D1317" i="106" s="1"/>
  <c r="D7253" i="106"/>
  <c r="F274" i="5"/>
  <c r="F275" i="5" s="1"/>
  <c r="B5720" i="106" s="1"/>
  <c r="D5720" i="106"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1145" i="106" l="1"/>
  <c r="D1145" i="106" s="1"/>
  <c r="F6" i="4"/>
  <c r="B2593" i="106" s="1"/>
  <c r="D2593" i="106" s="1"/>
  <c r="B5653" i="106"/>
  <c r="D5653" i="106" s="1"/>
  <c r="C6" i="4"/>
  <c r="B2553" i="106" s="1"/>
  <c r="D2553" i="106" s="1"/>
  <c r="G41" i="108"/>
  <c r="G44" i="108" s="1"/>
  <c r="G45" i="108" s="1"/>
  <c r="J17" i="4"/>
  <c r="B6227" i="106" s="1"/>
  <c r="D6227" i="106" s="1"/>
  <c r="B2655" i="106"/>
  <c r="D2655" i="106" s="1"/>
  <c r="H8" i="4"/>
  <c r="J8" i="4"/>
  <c r="J10" i="4" s="1"/>
  <c r="B6225" i="106" s="1"/>
  <c r="D6225" i="106"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B6223" i="106" l="1"/>
  <c r="D6223" i="106" s="1"/>
  <c r="J20" i="4"/>
  <c r="B6230" i="106" s="1"/>
  <c r="D6230" i="106" s="1"/>
  <c r="D8" i="146"/>
  <c r="F76" i="3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<sst xmlns="http://schemas.openxmlformats.org/spreadsheetml/2006/main" count="5073" uniqueCount="2124">
  <si>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</si>
  <si>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</si>
  <si>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</si>
  <si>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</si>
  <si>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</si>
  <si>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</si>
  <si>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</si>
  <si>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</si>
  <si>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</si>
  <si>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</si>
  <si>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</si>
  <si>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</si>
  <si>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</si>
  <si>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</si>
  <si>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</si>
  <si>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</si>
  <si>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</si>
  <si>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</si>
  <si>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</si>
  <si>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</si>
  <si>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</si>
  <si>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</si>
  <si>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</si>
  <si>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</si>
  <si>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</si>
  <si>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</si>
  <si>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</si>
  <si>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</si>
  <si>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</si>
  <si>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</si>
  <si>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</si>
  <si>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</si>
  <si>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</si>
  <si>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</si>
  <si>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</si>
  <si>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</si>
  <si>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</si>
  <si>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</si>
  <si>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</si>
  <si>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</si>
  <si>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</si>
  <si>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</si>
  <si>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</si>
  <si>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</si>
  <si>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</si>
  <si>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</si>
  <si>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</si>
  <si>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</si>
  <si>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</si>
  <si>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</si>
  <si>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</si>
  <si>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</si>
  <si>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</si>
  <si>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</si>
  <si>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</si>
  <si>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</si>
  <si>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</si>
  <si>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</si>
  <si>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</si>
  <si>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</si>
  <si>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</si>
  <si>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</si>
  <si>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</si>
  <si>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</si>
  <si>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</si>
  <si>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</si>
  <si>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</si>
  <si>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</si>
  <si>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</si>
  <si>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</si>
  <si>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</si>
  <si>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</si>
  <si>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</si>
  <si>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</si>
  <si>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</si>
  <si>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</si>
  <si>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</si>
  <si>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</si>
  <si>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</si>
  <si>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</si>
  <si>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</si>
  <si>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</si>
  <si>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</si>
  <si>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</si>
  <si>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</si>
  <si>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</si>
  <si>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</si>
  <si>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</si>
  <si>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</si>
  <si>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</si>
  <si>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</si>
  <si>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</si>
  <si>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</si>
  <si>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</si>
  <si>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</si>
  <si>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</si>
  <si>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</si>
  <si>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</si>
  <si>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</si>
  <si>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</si>
  <si>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</si>
  <si>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</si>
  <si>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</si>
  <si>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</si>
  <si>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</si>
  <si>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</si>
  <si>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</si>
  <si>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</si>
  <si>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</si>
  <si>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</si>
  <si>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</si>
  <si>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</si>
  <si>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</si>
  <si>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</si>
  <si>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</si>
  <si>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</si>
  <si>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</si>
  <si>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</si>
  <si>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</si>
  <si>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</si>
  <si>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</si>
  <si>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</si>
  <si>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</si>
  <si>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</si>
  <si>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</si>
  <si>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</si>
  <si>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</si>
  <si>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</si>
  <si>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</si>
  <si>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</si>
  <si>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</si>
  <si>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</si>
  <si>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</si>
  <si>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</si>
  <si>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</si>
  <si>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</si>
  <si>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</si>
  <si>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</si>
  <si>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</si>
  <si>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</si>
  <si>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</si>
  <si>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</si>
  <si>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</si>
  <si>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</si>
  <si>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</si>
  <si>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</si>
  <si>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</si>
  <si>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</si>
  <si>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</si>
  <si>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</si>
  <si>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</si>
  <si>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</si>
  <si>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</si>
  <si>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</si>
  <si>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</si>
  <si>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</si>
  <si>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</si>
  <si>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</si>
  <si>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</si>
  <si>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</si>
  <si>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</si>
  <si>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</si>
  <si>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</si>
  <si>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</si>
  <si>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</si>
  <si>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</si>
  <si>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</si>
  <si>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</si>
  <si>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</si>
  <si>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</si>
  <si>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</si>
  <si>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</si>
  <si>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</si>
  <si>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</si>
  <si>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</si>
  <si>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</si>
  <si>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</si>
  <si>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</si>
  <si>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</si>
  <si>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</si>
  <si>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</si>
  <si>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</si>
  <si>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</si>
  <si>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</si>
  <si>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</si>
  <si>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</si>
  <si>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</si>
  <si>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</si>
  <si>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</si>
  <si>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</si>
  <si>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</si>
  <si>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</si>
  <si>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</si>
  <si>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</si>
  <si>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</si>
  <si>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</si>
  <si>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</si>
  <si>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</si>
  <si>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</si>
  <si>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</si>
  <si>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</si>
  <si>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</si>
  <si>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</si>
  <si>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</si>
  <si>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</si>
  <si>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</si>
  <si>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</si>
  <si>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</si>
  <si>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</si>
  <si>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</si>
  <si>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</si>
  <si>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</si>
  <si>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</si>
  <si>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</si>
  <si>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</si>
  <si>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</si>
  <si>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</si>
  <si>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</si>
  <si>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</si>
  <si>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</si>
  <si>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</si>
  <si>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</si>
  <si>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</si>
  <si>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</si>
  <si>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</si>
  <si>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</si>
  <si>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</si>
  <si>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</si>
  <si>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</si>
  <si>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</si>
  <si>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</si>
  <si>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</si>
  <si>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</si>
  <si>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</si>
  <si>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</si>
  <si>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</si>
  <si>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</si>
  <si>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</si>
  <si>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</si>
  <si>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</si>
  <si>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</si>
  <si>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</si>
  <si>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</si>
  <si>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</si>
  <si>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</si>
  <si>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</si>
  <si>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</si>
  <si>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</si>
  <si>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</si>
  <si>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</si>
  <si>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</si>
  <si>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</si>
  <si>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</si>
  <si>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</si>
  <si>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</si>
  <si>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</si>
  <si>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</si>
  <si>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</si>
  <si>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</si>
  <si>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</si>
  <si>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</si>
  <si>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</si>
  <si>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</si>
  <si>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</si>
  <si>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</si>
  <si>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</si>
  <si>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</si>
  <si>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</si>
  <si>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</si>
  <si>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</si>
  <si>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</si>
  <si>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</si>
  <si>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</si>
  <si>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</si>
  <si>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</si>
  <si>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</si>
  <si>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</si>
  <si>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</si>
  <si>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</si>
  <si>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</si>
  <si>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</si>
  <si>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</si>
  <si>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</si>
  <si>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</si>
  <si>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</si>
  <si>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</si>
  <si>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</si>
  <si>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</si>
  <si>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</si>
  <si>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</si>
  <si>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</si>
  <si>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</si>
  <si>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</si>
  <si>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</si>
  <si>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</si>
  <si>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</si>
  <si>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</si>
  <si>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</si>
  <si>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</si>
  <si>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</si>
  <si>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</si>
  <si>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</si>
  <si>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</si>
  <si>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</si>
  <si>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</si>
  <si>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</si>
  <si>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</si>
  <si>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</si>
  <si>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</si>
  <si>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</si>
  <si>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</si>
  <si>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</si>
  <si>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</si>
  <si>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</si>
  <si>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</si>
  <si>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</si>
  <si>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</si>
  <si>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</si>
  <si>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</si>
  <si>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</si>
  <si>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</si>
  <si>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</si>
  <si>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</si>
  <si>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</si>
  <si>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</si>
  <si>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</si>
  <si>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</si>
  <si>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</si>
  <si>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</si>
  <si>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</si>
  <si>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</si>
  <si>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</si>
  <si>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</si>
  <si>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</si>
  <si>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</si>
  <si>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</si>
  <si>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</si>
  <si>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</si>
  <si>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</si>
  <si>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</si>
  <si>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</si>
  <si>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</si>
  <si>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</si>
  <si>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</si>
  <si>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</si>
  <si>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</si>
  <si>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</si>
  <si>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</si>
  <si>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</si>
  <si>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</si>
  <si>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</si>
  <si>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</si>
  <si>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</si>
  <si>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</si>
  <si>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</si>
  <si>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</si>
  <si>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</si>
  <si>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</si>
  <si>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</si>
  <si>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</si>
  <si>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</si>
  <si>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</si>
  <si>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</si>
  <si>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</si>
  <si>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</si>
  <si>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</si>
  <si>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</si>
  <si>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</si>
  <si>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</si>
  <si>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</si>
  <si>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</si>
  <si>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</si>
  <si>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</si>
  <si>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</si>
  <si>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</si>
  <si>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</si>
  <si>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</si>
  <si>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</si>
  <si>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</si>
  <si>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</si>
  <si>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</si>
  <si>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</si>
  <si>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</si>
  <si>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</si>
  <si>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</si>
  <si>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</si>
  <si>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</si>
  <si>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</si>
  <si>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</si>
  <si>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</si>
  <si>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</si>
  <si>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</si>
  <si>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</si>
  <si>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</si>
  <si>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</si>
  <si>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</si>
  <si>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</si>
  <si>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</si>
  <si>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</si>
  <si>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</si>
  <si>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</si>
  <si>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</si>
  <si>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</si>
  <si>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</si>
  <si>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</si>
  <si>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</si>
  <si>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</si>
  <si>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</si>
  <si>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</si>
  <si>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</si>
  <si>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</si>
  <si>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</si>
  <si>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</si>
  <si>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</si>
  <si>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</si>
  <si>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</si>
  <si>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</si>
  <si>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</si>
  <si>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</si>
  <si>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</si>
  <si>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</si>
  <si>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</si>
  <si>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</si>
  <si>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</si>
  <si>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</si>
  <si>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</si>
  <si>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</si>
  <si>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</si>
  <si>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</si>
  <si>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</si>
  <si>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</si>
  <si>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</si>
  <si>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</si>
  <si>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</si>
  <si>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</si>
  <si>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</si>
  <si>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</si>
  <si>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</si>
  <si>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</si>
  <si>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</si>
  <si>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</si>
  <si>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</si>
  <si>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</si>
  <si>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</si>
  <si>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</si>
  <si>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</si>
  <si>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</si>
  <si>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</si>
  <si>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</si>
  <si>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</si>
  <si>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</si>
  <si>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</si>
  <si>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</si>
  <si>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</si>
  <si>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</si>
  <si>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</si>
  <si>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</si>
  <si>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</si>
  <si>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</si>
  <si>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</si>
  <si>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</si>
  <si>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</si>
  <si>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</si>
  <si>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</si>
  <si>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</si>
  <si>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</si>
  <si>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</si>
  <si>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</si>
  <si>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</si>
  <si>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</si>
  <si>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</si>
  <si>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</si>
  <si>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</si>
  <si>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</si>
  <si>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</si>
  <si>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</si>
  <si>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</si>
  <si>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</si>
  <si>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</si>
  <si>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</si>
  <si>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</si>
  <si>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</si>
  <si>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</si>
  <si>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</si>
  <si>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</si>
  <si>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</si>
  <si>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</si>
  <si>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</si>
  <si>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</si>
  <si>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</si>
  <si>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</si>
  <si>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</si>
  <si>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</si>
  <si>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</si>
  <si>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</si>
  <si>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</si>
  <si>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</si>
  <si>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</si>
  <si>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</si>
  <si>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</si>
  <si>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</si>
  <si>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</si>
  <si>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</si>
  <si>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</si>
  <si>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</si>
  <si>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</si>
  <si>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</si>
  <si>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</si>
  <si>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</si>
  <si>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</si>
  <si>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</si>
  <si>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</si>
  <si>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</si>
  <si>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</si>
  <si>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</si>
  <si>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</si>
  <si>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</si>
  <si>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</si>
  <si>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</si>
  <si>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</si>
  <si>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</si>
  <si>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</si>
  <si>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</si>
  <si>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</si>
  <si>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</si>
  <si>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</si>
  <si>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</si>
  <si>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</si>
  <si>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</si>
  <si>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</si>
  <si>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</si>
  <si>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</si>
  <si>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</si>
  <si>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</si>
  <si>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</si>
  <si>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</si>
  <si>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</si>
  <si>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</si>
  <si>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</si>
  <si>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</si>
  <si>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</si>
  <si>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</si>
  <si>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</si>
  <si>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</si>
  <si>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</si>
  <si>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</si>
  <si>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</si>
  <si>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</si>
  <si>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</si>
  <si>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</si>
  <si>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</si>
  <si>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</si>
  <si>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</si>
  <si>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</si>
  <si>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</si>
  <si>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</si>
  <si>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</si>
  <si>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</si>
  <si>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</si>
  <si>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</si>
  <si>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</si>
  <si>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</si>
  <si>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</si>
  <si>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</si>
  <si>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</si>
  <si>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</si>
  <si>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</si>
  <si>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</si>
  <si>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</si>
  <si>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</si>
  <si>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</si>
  <si>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</si>
  <si>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</si>
  <si>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</si>
  <si>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</si>
  <si>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</si>
  <si>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</si>
  <si>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</si>
  <si>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</si>
  <si>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</si>
  <si>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</si>
  <si>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</si>
  <si>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</si>
  <si>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</si>
  <si>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</si>
  <si>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</si>
  <si>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</si>
  <si>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</si>
  <si>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</si>
  <si>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</si>
  <si>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</si>
  <si>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</si>
  <si>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</si>
  <si>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</si>
  <si>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</si>
  <si>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</si>
  <si>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</si>
  <si>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</si>
  <si>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</si>
  <si>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</si>
  <si>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</si>
  <si>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</si>
  <si>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</si>
  <si>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</si>
  <si>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</si>
  <si>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</si>
  <si>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</si>
  <si>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</si>
  <si>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</si>
  <si>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</si>
  <si>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</si>
  <si>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</si>
  <si>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</si>
  <si>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</si>
  <si>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</si>
  <si>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</si>
  <si>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</si>
  <si>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</si>
  <si>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</si>
  <si>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</si>
  <si>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</si>
  <si>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</si>
  <si>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</si>
  <si>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</si>
  <si>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</si>
  <si>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</si>
  <si>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</si>
  <si>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</si>
  <si>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</si>
  <si>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</si>
  <si>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</si>
  <si>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</si>
  <si>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</si>
  <si>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</si>
  <si>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</si>
  <si>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</si>
  <si>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</si>
  <si>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</si>
  <si>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</si>
  <si>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</si>
  <si>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</si>
  <si>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</si>
  <si>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</si>
  <si>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</si>
  <si>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</si>
  <si>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</si>
  <si>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</si>
  <si>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</si>
  <si>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</si>
  <si>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</si>
  <si>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</si>
  <si>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</si>
  <si>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</si>
  <si>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</si>
  <si>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</si>
  <si>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</si>
  <si>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</si>
  <si>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</si>
  <si>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</si>
  <si>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</si>
  <si>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</si>
  <si>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</si>
  <si>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</si>
  <si>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</si>
  <si>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</si>
  <si>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</si>
  <si>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</si>
  <si>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</si>
  <si>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</si>
  <si>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</si>
  <si>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</si>
  <si>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</si>
  <si>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</si>
  <si>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</si>
  <si>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</si>
  <si>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</si>
  <si>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</si>
  <si>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</si>
  <si>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</si>
  <si>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</si>
  <si>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</si>
  <si>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</si>
  <si>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</si>
  <si>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</si>
  <si>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</si>
  <si>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</si>
  <si>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</si>
  <si>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</si>
  <si>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</si>
  <si>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</si>
  <si>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</si>
  <si>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</si>
  <si>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</si>
  <si>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</si>
  <si>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</si>
  <si>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</si>
  <si>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</si>
  <si>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</si>
  <si>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</si>
  <si>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</si>
  <si>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</si>
  <si>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</si>
  <si>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</si>
  <si>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</si>
  <si>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</si>
  <si>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</si>
  <si>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</si>
  <si>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</si>
  <si>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</si>
  <si>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</si>
  <si>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</si>
  <si>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</si>
  <si>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</si>
  <si>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</si>
  <si>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</si>
  <si>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</si>
  <si>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</si>
  <si>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</si>
  <si>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</si>
  <si>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</si>
  <si>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</si>
  <si>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</si>
  <si>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</si>
  <si>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</si>
  <si>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</si>
  <si>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</si>
  <si>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</si>
  <si>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</si>
  <si>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</si>
  <si>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</si>
  <si>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</si>
  <si>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</si>
  <si>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</si>
  <si>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</si>
  <si>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</si>
  <si>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</si>
  <si>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</si>
  <si>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</si>
  <si>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</si>
  <si>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</si>
  <si>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</si>
  <si>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</si>
  <si>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</si>
  <si>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</si>
  <si>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</si>
  <si>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</si>
  <si>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</si>
  <si>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</si>
  <si>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</si>
  <si>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</si>
  <si>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</si>
  <si>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</si>
  <si>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</si>
  <si>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</si>
  <si>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</si>
  <si>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</si>
  <si>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</si>
  <si>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</si>
  <si>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</si>
  <si>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</si>
  <si>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</si>
  <si>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</si>
  <si>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</si>
  <si>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</si>
  <si>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</si>
  <si>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</si>
  <si>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</si>
  <si>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</si>
  <si>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</si>
  <si>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</si>
  <si>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</si>
  <si>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</si>
  <si>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</si>
  <si>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</si>
  <si>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</si>
  <si>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</si>
  <si>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</si>
  <si>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</si>
  <si>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</si>
  <si>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</si>
  <si>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</si>
  <si>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</si>
  <si>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</si>
  <si>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</si>
  <si>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</si>
  <si>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</si>
  <si>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</si>
  <si>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</si>
  <si>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</si>
  <si>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</si>
  <si>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</si>
  <si>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</si>
  <si>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</si>
  <si>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</si>
  <si>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</si>
  <si>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</si>
  <si>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</si>
  <si>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</si>
  <si>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</si>
  <si>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</si>
  <si>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</si>
  <si>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</si>
  <si>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</si>
  <si>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</si>
  <si>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</si>
  <si>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</si>
  <si>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</si>
  <si>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</si>
  <si>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</si>
  <si>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</si>
  <si>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</si>
  <si>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</si>
  <si>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</si>
  <si>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</si>
  <si>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</si>
  <si>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</si>
  <si>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</si>
  <si>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</si>
  <si>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</si>
  <si>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</si>
  <si>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</si>
  <si>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</si>
  <si>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</si>
  <si>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</si>
  <si>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</si>
  <si>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</si>
  <si>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</si>
  <si>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</si>
  <si>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</si>
  <si>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</si>
  <si>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</si>
  <si>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</si>
  <si>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</si>
  <si>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</si>
  <si>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</si>
  <si>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</si>
  <si>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</si>
  <si>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</si>
  <si>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</si>
  <si>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</si>
  <si>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</si>
  <si>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</si>
  <si>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</si>
  <si>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</si>
  <si>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</si>
  <si>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</si>
  <si>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</si>
  <si>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</si>
  <si>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</si>
  <si>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</si>
  <si>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</si>
  <si>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</si>
  <si>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</si>
  <si>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</si>
  <si>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</si>
  <si>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</si>
  <si>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</si>
  <si>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</si>
  <si>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</si>
  <si>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</si>
  <si>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</si>
  <si>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</si>
  <si>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</si>
  <si>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</si>
  <si>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</si>
  <si>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</si>
  <si>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</si>
  <si>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</si>
  <si>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</si>
  <si>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</si>
  <si>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</si>
  <si>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</si>
  <si>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</si>
  <si>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</si>
  <si>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</si>
  <si>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</si>
  <si>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</si>
  <si>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</si>
  <si>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</si>
  <si>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</si>
  <si>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</si>
  <si>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</si>
  <si>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</si>
  <si>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</si>
  <si>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</si>
  <si>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</si>
  <si>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</si>
  <si>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</si>
  <si>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</si>
  <si>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</si>
  <si>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</si>
  <si>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</si>
  <si>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</si>
  <si>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</si>
  <si>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</si>
  <si>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</si>
  <si>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</si>
  <si>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</si>
  <si>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</si>
  <si>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</si>
  <si>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</si>
  <si>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</si>
  <si>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</si>
  <si>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</si>
  <si>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</si>
  <si>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</si>
  <si>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</si>
  <si>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</si>
  <si>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</si>
  <si>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</si>
  <si>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</si>
  <si>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</si>
  <si>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</si>
  <si>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</si>
  <si>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</si>
  <si>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</si>
  <si>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</si>
  <si>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</si>
  <si>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</si>
  <si>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</si>
  <si>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</si>
  <si>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</si>
  <si>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</si>
  <si>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</si>
  <si>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</si>
  <si>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</si>
  <si>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</si>
  <si>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</si>
  <si>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</si>
  <si>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</si>
  <si>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</si>
  <si>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</si>
  <si>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</si>
  <si>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</si>
  <si>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</si>
  <si>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</si>
  <si>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</si>
  <si>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</si>
  <si>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</si>
  <si>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</si>
  <si>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</si>
  <si>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</si>
  <si>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</si>
  <si>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</si>
  <si>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</si>
  <si>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</si>
  <si>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</si>
  <si>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</si>
  <si>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</si>
  <si>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</si>
  <si>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</si>
  <si>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</si>
  <si>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</si>
  <si>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</si>
  <si>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</si>
  <si>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</si>
  <si>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</si>
  <si>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</si>
  <si>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</si>
  <si>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</si>
  <si>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</si>
  <si>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</si>
  <si>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</si>
  <si>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</si>
  <si>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</si>
  <si>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</si>
  <si>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</si>
  <si>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</si>
  <si>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</si>
  <si>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</si>
  <si>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</si>
  <si>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</si>
  <si>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</si>
  <si>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</si>
  <si>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</si>
  <si>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</si>
  <si>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</si>
  <si>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</si>
  <si>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</si>
  <si>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</si>
  <si>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</si>
  <si>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</si>
  <si>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</si>
  <si>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</si>
  <si>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</si>
  <si>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</si>
  <si>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</si>
  <si>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</si>
  <si>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</si>
  <si>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</si>
  <si>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</si>
  <si>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</si>
  <si>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</si>
  <si>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</si>
  <si>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</si>
  <si>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</si>
  <si>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</si>
  <si>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</si>
  <si>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</si>
  <si>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</si>
  <si>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</si>
  <si>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</si>
  <si>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</si>
  <si>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</si>
  <si>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</si>
  <si>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</si>
  <si>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</si>
  <si>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</si>
  <si>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</si>
  <si>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</si>
  <si>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</si>
  <si>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</si>
  <si>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</si>
  <si>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</si>
  <si>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</si>
  <si>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</si>
  <si>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</si>
  <si>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</si>
  <si>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</si>
  <si>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</si>
  <si>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</si>
  <si>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</si>
  <si>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</si>
  <si>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</si>
  <si>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</si>
  <si>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</si>
  <si>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</si>
  <si>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</si>
  <si>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</si>
  <si>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</si>
  <si>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</si>
  <si>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</si>
  <si>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</si>
  <si>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</si>
  <si>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</si>
  <si>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</si>
  <si>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</si>
  <si>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</si>
  <si>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</si>
  <si>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</si>
  <si>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</si>
  <si>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</si>
  <si>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</si>
  <si>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</si>
  <si>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</si>
  <si>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</si>
  <si>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</si>
  <si>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</si>
  <si>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</si>
  <si>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</si>
  <si>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</si>
  <si>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</si>
  <si>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</si>
  <si>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</si>
  <si>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</si>
  <si>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</si>
  <si>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</si>
  <si>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</si>
  <si>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</si>
  <si>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</si>
  <si>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</si>
  <si>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</si>
  <si>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</si>
  <si>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</si>
  <si>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</si>
  <si>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</si>
  <si>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</si>
  <si>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</si>
  <si>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</si>
  <si>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</si>
  <si>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</si>
  <si>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</si>
  <si>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</si>
  <si>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</si>
  <si>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</si>
  <si>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</si>
  <si>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</si>
  <si>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</si>
  <si>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</si>
  <si>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</si>
  <si>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</si>
  <si>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</si>
  <si>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</si>
  <si>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</si>
  <si>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</si>
  <si>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</si>
  <si>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</si>
  <si>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</si>
  <si>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</si>
  <si>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</si>
  <si>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</si>
  <si>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</si>
  <si>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</si>
  <si>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</si>
  <si>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</si>
  <si>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</si>
  <si>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</si>
  <si>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</si>
  <si>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</si>
  <si>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</si>
  <si>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</si>
  <si>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</si>
  <si>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</si>
  <si>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</si>
  <si>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</si>
  <si>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</si>
  <si>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</si>
  <si>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</si>
  <si>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</si>
  <si>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</si>
  <si>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</si>
  <si>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</si>
  <si>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</si>
  <si>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</si>
  <si>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</si>
  <si>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</si>
  <si>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</si>
  <si>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</si>
  <si>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</si>
  <si>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</si>
  <si>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</si>
  <si>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</si>
  <si>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</si>
  <si>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</si>
  <si>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</si>
  <si>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</si>
  <si>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</si>
  <si>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</si>
  <si>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</si>
  <si>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</si>
  <si>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</si>
  <si>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</si>
  <si>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</si>
  <si>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</si>
  <si>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</si>
  <si>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</si>
  <si>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</si>
  <si>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</si>
  <si>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</si>
  <si>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</si>
  <si>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</si>
  <si>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</si>
  <si>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</si>
  <si>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</si>
  <si>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</si>
  <si>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</si>
  <si>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</si>
  <si>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</si>
  <si>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</si>
  <si>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</si>
  <si>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</si>
  <si>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</si>
  <si>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</si>
  <si>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</si>
  <si>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</si>
  <si>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</si>
  <si>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</si>
  <si>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</si>
  <si>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</si>
  <si>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</si>
  <si>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</si>
  <si>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</si>
  <si>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</si>
  <si>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</si>
  <si>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</si>
  <si>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</si>
  <si>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</si>
  <si>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</si>
  <si>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</si>
  <si>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</si>
  <si>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</si>
  <si>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</si>
  <si>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</si>
  <si>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</si>
  <si>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</si>
  <si>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</si>
  <si>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</si>
  <si>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</si>
  <si>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</si>
  <si>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</si>
  <si>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</si>
  <si>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</si>
  <si>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</si>
  <si>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</si>
  <si>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</si>
  <si>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</si>
  <si>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</si>
  <si>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</si>
  <si>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</si>
  <si>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</si>
  <si>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</si>
  <si>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</si>
  <si>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</si>
  <si>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</si>
  <si>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</si>
  <si>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</si>
  <si>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</si>
  <si>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</si>
  <si>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</si>
  <si>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</si>
  <si>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</si>
  <si>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</si>
  <si>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</si>
  <si>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</si>
  <si>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</si>
  <si>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</si>
  <si>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</si>
  <si>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</si>
  <si>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</si>
  <si>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</si>
  <si>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</si>
  <si>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</si>
  <si>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</si>
  <si>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</si>
  <si>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</si>
  <si>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</si>
  <si>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</si>
  <si>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</si>
  <si>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</si>
  <si>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</si>
  <si>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</si>
  <si>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</si>
  <si>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</si>
  <si>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</si>
  <si>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</si>
  <si>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</si>
  <si>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</si>
  <si>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</si>
  <si>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</si>
  <si>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</si>
  <si>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</si>
  <si>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</si>
  <si>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</si>
  <si>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</si>
  <si>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</si>
  <si>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</si>
  <si>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</si>
  <si>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</si>
  <si>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</si>
  <si>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</si>
  <si>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</si>
  <si>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</si>
  <si>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</si>
  <si>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</si>
  <si>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</si>
  <si>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</si>
  <si>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</si>
  <si>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</si>
  <si>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</si>
  <si>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</si>
  <si>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</si>
  <si>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</si>
  <si>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</si>
  <si>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</si>
  <si>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</si>
  <si>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</si>
  <si>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</si>
  <si>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</si>
  <si>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</si>
  <si>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</si>
  <si>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</si>
  <si>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</si>
  <si>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</si>
  <si>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</si>
  <si>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</si>
  <si>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</si>
  <si>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</si>
  <si>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</si>
  <si>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</si>
  <si>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</si>
  <si>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</si>
  <si>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</si>
  <si>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</si>
  <si>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</si>
  <si>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</si>
  <si>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</si>
  <si>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</si>
  <si>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</si>
  <si>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</si>
  <si>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</si>
  <si>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</si>
  <si>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</si>
  <si>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</si>
  <si>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</si>
  <si>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</si>
  <si>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</si>
  <si>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</si>
  <si>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</si>
  <si>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</si>
  <si>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</si>
  <si>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</si>
  <si>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</si>
  <si>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</si>
  <si>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</si>
  <si>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</si>
  <si>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</si>
  <si>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</si>
  <si>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</si>
  <si>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</si>
  <si>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</si>
  <si>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</si>
  <si>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</si>
  <si>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</si>
  <si>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</si>
  <si>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</si>
  <si>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</si>
  <si>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</si>
  <si>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</si>
  <si>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</si>
  <si>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</si>
  <si>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</si>
  <si>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</si>
  <si>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</si>
  <si>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</si>
  <si>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</si>
  <si>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</si>
  <si>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</si>
  <si>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</si>
  <si>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</si>
  <si>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</si>
  <si>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</si>
  <si>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</si>
  <si>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</si>
  <si>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</si>
  <si>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</si>
  <si>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</si>
  <si>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</si>
  <si>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</si>
  <si>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</si>
  <si>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</si>
  <si>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</si>
  <si>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</si>
  <si>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</si>
  <si>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</si>
  <si>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</si>
  <si>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</si>
  <si>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</si>
  <si>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</si>
  <si>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</si>
  <si>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</si>
  <si>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</si>
  <si>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</si>
  <si>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</si>
  <si>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</si>
  <si>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</si>
  <si>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</si>
  <si>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</si>
  <si>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</si>
  <si>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</si>
  <si>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</si>
  <si>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</si>
  <si>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</si>
  <si>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</si>
  <si>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</si>
  <si>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</si>
  <si>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</si>
  <si>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</si>
  <si>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</si>
  <si>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</si>
  <si>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</si>
  <si>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</si>
  <si>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</si>
  <si>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</si>
  <si>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</si>
  <si>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</si>
  <si>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</si>
  <si>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</si>
  <si>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</si>
  <si>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</si>
  <si>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</si>
  <si>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</si>
  <si>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</si>
  <si>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</si>
  <si>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</si>
  <si>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</si>
  <si>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</si>
  <si>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</si>
  <si>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</si>
  <si>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</si>
  <si>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</si>
  <si>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</si>
  <si>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</si>
  <si>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</si>
  <si>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</si>
  <si>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</si>
  <si>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</si>
  <si>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</si>
  <si>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</si>
  <si>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</si>
  <si>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</si>
  <si>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</si>
  <si>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</si>
  <si>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</si>
  <si>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</si>
  <si>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</si>
  <si>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</si>
  <si>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</si>
  <si>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</si>
  <si>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</si>
  <si>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</si>
  <si>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</si>
  <si>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</si>
  <si>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</si>
  <si>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</si>
  <si>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</si>
  <si>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</si>
  <si>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</si>
  <si>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</si>
  <si>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</si>
  <si>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</si>
  <si>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</si>
  <si>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</si>
  <si>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</si>
  <si>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</si>
  <si>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</si>
  <si>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</si>
  <si>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</si>
  <si>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</si>
  <si>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</si>
  <si>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</si>
  <si>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</si>
  <si>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</si>
  <si>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</si>
  <si>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</si>
  <si>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</si>
  <si>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</si>
  <si>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</si>
  <si>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</si>
  <si>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</si>
  <si>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</si>
  <si>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</si>
  <si>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</si>
  <si>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</si>
  <si>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</si>
  <si>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</si>
  <si>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</si>
  <si>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</si>
  <si>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</si>
  <si>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</si>
  <si>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</si>
  <si>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</si>
  <si>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</si>
  <si>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</si>
  <si>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</si>
  <si>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</si>
  <si>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</si>
  <si>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</si>
  <si>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</si>
  <si>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</si>
  <si>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</si>
  <si>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</si>
  <si>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</si>
  <si>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</si>
  <si>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</si>
  <si>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</si>
  <si>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</si>
  <si>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</si>
  <si>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</si>
  <si>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</si>
  <si>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</si>
  <si>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</si>
  <si>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</si>
  <si>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</si>
  <si>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</si>
  <si>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</si>
  <si>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</si>
  <si>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</si>
  <si>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</si>
  <si>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</si>
  <si>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</si>
  <si>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</si>
  <si>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</si>
  <si>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</si>
  <si>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</si>
  <si>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</si>
  <si>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</si>
  <si>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</si>
  <si>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</si>
  <si>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</si>
  <si>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</si>
  <si>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</si>
  <si>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</si>
  <si>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</si>
  <si>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</si>
  <si>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</si>
  <si>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</si>
  <si>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</si>
  <si>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</si>
  <si>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</si>
  <si>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</si>
  <si>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</si>
  <si>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</si>
  <si>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</si>
  <si>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</si>
  <si>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</si>
  <si>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</si>
  <si>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</si>
  <si>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</si>
  <si>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</si>
  <si>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</si>
  <si>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</si>
  <si>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</si>
  <si>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</si>
  <si>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</si>
  <si>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</si>
  <si>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</si>
  <si>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</si>
  <si>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</si>
  <si>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</si>
  <si>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</si>
  <si>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</si>
  <si>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</si>
  <si>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</si>
  <si>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</si>
  <si>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</si>
  <si>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</si>
  <si>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</si>
  <si>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</si>
  <si>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</si>
  <si>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</si>
  <si>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</si>
  <si>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</si>
  <si>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</si>
  <si>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</si>
  <si>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</si>
  <si>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</si>
  <si>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</si>
  <si>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</si>
  <si>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</si>
  <si>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</si>
  <si>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</si>
  <si>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</si>
  <si>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</si>
  <si>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</si>
  <si>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</si>
  <si>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</si>
  <si>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</si>
  <si>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</si>
  <si>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</si>
  <si>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</si>
  <si>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</si>
  <si>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</si>
  <si>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</si>
  <si>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</si>
  <si>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</si>
  <si>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</si>
  <si>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</si>
  <si>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</si>
  <si>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</si>
  <si>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</si>
  <si>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</si>
  <si>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</si>
  <si>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</si>
  <si>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</si>
  <si>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</si>
  <si>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</si>
  <si>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</si>
  <si>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</si>
  <si>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</si>
  <si>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</si>
  <si>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</si>
  <si>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</si>
  <si>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</si>
  <si>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</si>
  <si>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</si>
  <si>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</si>
  <si>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</si>
  <si>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</si>
  <si>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</si>
  <si>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</si>
  <si>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</si>
  <si>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</si>
  <si>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</si>
  <si>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</si>
  <si>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</si>
  <si>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</si>
  <si>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</si>
  <si>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</si>
  <si>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</si>
  <si>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</si>
  <si>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</si>
  <si>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</si>
  <si>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</si>
  <si>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</si>
  <si>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</si>
  <si>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</si>
  <si>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</si>
  <si>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</si>
  <si>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</si>
  <si>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</si>
  <si>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</si>
  <si>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</si>
  <si>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</si>
  <si>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</si>
  <si>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</si>
  <si>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</si>
  <si>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</si>
  <si>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</si>
  <si>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</si>
  <si>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</si>
  <si>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</si>
  <si>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</si>
  <si>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</si>
  <si>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</si>
  <si>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</si>
  <si>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</si>
  <si>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</si>
  <si>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</si>
  <si>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</si>
  <si>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</si>
  <si>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</si>
  <si>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</si>
  <si>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</si>
  <si>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</si>
  <si>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</si>
  <si>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</si>
  <si>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</si>
  <si>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</si>
  <si>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</si>
  <si>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</si>
  <si>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</si>
  <si>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</si>
  <si>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</si>
  <si>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</si>
  <si>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</si>
  <si>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</si>
  <si>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</si>
  <si>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</si>
  <si>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</si>
  <si>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</si>
  <si>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</si>
  <si>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</si>
  <si>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</si>
  <si>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</si>
  <si>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</si>
  <si>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</si>
  <si>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</si>
  <si>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</si>
  <si>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</si>
  <si>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</si>
  <si>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</si>
  <si>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</si>
  <si>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</si>
  <si>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</si>
  <si>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</si>
  <si>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</si>
  <si>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</si>
  <si>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</si>
  <si>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</si>
  <si>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</si>
  <si>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</si>
  <si>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</si>
  <si>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</si>
  <si>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</si>
  <si>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</si>
  <si>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</si>
  <si>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</si>
  <si>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</si>
  <si>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</si>
  <si>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</si>
  <si>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</si>
  <si>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</si>
  <si>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</si>
  <si>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</si>
  <si>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</si>
  <si>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</si>
  <si>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</si>
  <si>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</si>
  <si>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</si>
  <si>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</si>
  <si>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</si>
  <si>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</si>
  <si>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</si>
  <si>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</si>
  <si>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</si>
  <si>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</si>
  <si>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</si>
  <si>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</si>
  <si>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</si>
  <si>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</si>
  <si>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</si>
  <si>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</si>
  <si>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</si>
  <si>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</si>
  <si>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</si>
  <si>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</si>
  <si>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</si>
  <si>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</si>
  <si>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</si>
  <si>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</si>
  <si>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</si>
  <si>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</si>
  <si>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</si>
  <si>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</si>
  <si>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</si>
  <si>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</si>
  <si>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</si>
  <si>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</si>
  <si>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</si>
  <si>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</si>
  <si>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</si>
  <si>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</si>
  <si>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</si>
  <si>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</si>
  <si>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</si>
  <si>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</si>
  <si>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</si>
  <si>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</si>
  <si>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</si>
  <si>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</si>
  <si>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</si>
  <si>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</si>
  <si>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</si>
  <si>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</si>
  <si>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</si>
  <si>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</si>
  <si>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</si>
  <si>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</si>
  <si>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</si>
  <si>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</si>
  <si>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</si>
  <si>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</si>
  <si>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</si>
  <si>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</si>
  <si>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</si>
  <si>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</si>
  <si>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</si>
  <si>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</si>
  <si>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</si>
  <si>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</si>
  <si>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</si>
  <si>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</si>
  <si>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</si>
  <si>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</si>
  <si>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</si>
  <si>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</si>
  <si>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</si>
  <si>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</si>
  <si>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</si>
  <si>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</si>
  <si>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</si>
  <si>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</si>
  <si>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</si>
  <si>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</si>
  <si>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</si>
  <si>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</si>
  <si>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</si>
  <si>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</si>
  <si>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</si>
  <si>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</si>
  <si>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</si>
  <si>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</si>
  <si>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</si>
  <si>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</si>
  <si>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</si>
  <si>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</si>
  <si>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</si>
  <si>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</si>
  <si>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</si>
  <si>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</si>
  <si>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</si>
  <si>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</si>
  <si>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</si>
  <si>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</si>
  <si>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</si>
  <si>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</si>
  <si>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</si>
  <si>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</si>
  <si>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</si>
  <si>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</si>
  <si>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</si>
  <si>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</si>
  <si>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</si>
  <si>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</si>
  <si>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</si>
  <si>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</si>
  <si>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</si>
  <si>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</si>
  <si>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</si>
  <si>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</si>
  <si>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</si>
  <si>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</si>
  <si>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</si>
  <si>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</si>
  <si>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</si>
  <si>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</si>
  <si>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</si>
  <si>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</si>
  <si>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</si>
  <si>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</si>
  <si>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</si>
  <si>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</si>
  <si>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</si>
  <si>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</si>
  <si>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</si>
  <si>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</si>
  <si>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</si>
  <si>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</si>
  <si>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</si>
  <si>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</si>
  <si>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</si>
  <si>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</si>
  <si>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</si>
  <si>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</si>
  <si>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</si>
  <si>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</si>
  <si>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</si>
  <si>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</si>
  <si>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</si>
  <si>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</si>
  <si>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</si>
  <si>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</si>
  <si>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</si>
  <si>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</si>
  <si>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</si>
  <si>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</si>
  <si>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</si>
  <si>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</si>
  <si>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</si>
  <si>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</si>
  <si>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</si>
  <si>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</si>
  <si>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</si>
  <si>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</si>
  <si>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</si>
  <si>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</si>
  <si>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</si>
  <si>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</si>
  <si>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</si>
  <si>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</si>
  <si>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</si>
  <si>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</si>
  <si>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</si>
  <si>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</si>
  <si>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</si>
  <si>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</si>
  <si>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</si>
  <si>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</si>
  <si>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</si>
  <si>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</si>
  <si>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</si>
  <si>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</si>
  <si>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</si>
  <si>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</si>
  <si>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</si>
  <si>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</si>
  <si>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</si>
  <si>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</si>
  <si>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</si>
  <si>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</si>
  <si>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</si>
  <si>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</si>
  <si>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</si>
  <si>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</si>
  <si>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</si>
  <si>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</si>
  <si>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</si>
  <si>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</si>
  <si>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</si>
  <si>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</si>
  <si>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</si>
  <si>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</si>
  <si>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</si>
  <si>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</si>
  <si>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</si>
  <si>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</si>
  <si>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</si>
  <si>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</si>
  <si>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</si>
  <si>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</si>
  <si>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</si>
  <si>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</si>
  <si>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</si>
  <si>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</si>
  <si>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</si>
  <si>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</si>
  <si>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</si>
  <si>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</si>
  <si>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</si>
  <si>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</si>
  <si>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</si>
  <si>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</si>
  <si>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</si>
  <si>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</si>
  <si>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</si>
  <si>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</si>
  <si>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</si>
  <si>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</si>
  <si>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</si>
  <si>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</si>
  <si>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</si>
  <si>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</si>
  <si>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</si>
  <si>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</si>
  <si>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</si>
  <si>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</si>
  <si>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</si>
  <si>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</si>
  <si>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</si>
  <si>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</si>
  <si>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</si>
  <si>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</si>
  <si>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</si>
  <si>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</si>
  <si>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</si>
  <si>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</si>
  <si>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</si>
  <si>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</si>
  <si>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</si>
  <si>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</si>
  <si>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</si>
  <si>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</si>
  <si>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</si>
  <si>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</si>
  <si>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</si>
  <si>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</si>
  <si>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</si>
  <si>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</si>
  <si>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</si>
  <si>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</si>
  <si>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</si>
  <si>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</si>
  <si>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</si>
  <si>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</si>
  <si>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</si>
  <si>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</si>
  <si>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</si>
  <si>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</si>
  <si>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</si>
  <si>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</si>
  <si>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</si>
  <si>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</si>
  <si>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</si>
  <si>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</si>
  <si>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</si>
  <si>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</si>
  <si>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</si>
  <si>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</si>
  <si>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</si>
  <si>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</si>
  <si>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</si>
  <si>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</si>
  <si>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</si>
  <si>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</si>
  <si>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</si>
  <si>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</si>
  <si>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</si>
  <si>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</si>
  <si>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</si>
  <si>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</si>
  <si>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</si>
  <si>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</si>
  <si>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</si>
  <si>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</si>
  <si>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</si>
  <si>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</si>
  <si>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</si>
  <si>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</si>
  <si>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</si>
  <si>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</si>
  <si>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</si>
  <si>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</si>
  <si>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</si>
  <si>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</si>
  <si>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</si>
  <si>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</si>
  <si>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</si>
  <si>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</si>
  <si>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</si>
  <si>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</si>
  <si>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</si>
  <si>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</si>
  <si>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</si>
  <si>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</si>
  <si>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</si>
  <si>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</si>
  <si>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</si>
  <si>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</si>
  <si>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</si>
  <si>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</si>
  <si>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</si>
  <si>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</si>
  <si>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</si>
  <si>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</si>
  <si>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</si>
  <si>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</si>
  <si>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</si>
  <si>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</si>
  <si>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</si>
  <si>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</si>
  <si>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</si>
  <si>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</si>
  <si>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</si>
  <si>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</si>
  <si>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</si>
  <si>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</si>
  <si>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</si>
  <si>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</si>
  <si>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</si>
  <si>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</si>
  <si>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</si>
  <si>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</si>
  <si>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</si>
  <si>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</si>
  <si>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</si>
  <si>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</si>
  <si>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</si>
  <si>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</si>
  <si>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</si>
  <si>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</si>
  <si>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</si>
  <si>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</si>
  <si>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</si>
  <si>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</si>
  <si>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</si>
  <si>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</si>
  <si>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</si>
  <si>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</si>
  <si>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</si>
  <si>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</si>
  <si>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</si>
  <si>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</si>
  <si>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</si>
  <si>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</si>
  <si>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</si>
  <si>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</si>
  <si>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</si>
  <si>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</si>
  <si>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</si>
  <si>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</si>
  <si>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</si>
  <si>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</si>
  <si>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</si>
  <si>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</si>
  <si>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</si>
  <si>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</si>
  <si>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</si>
  <si>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</si>
  <si>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</si>
  <si>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</si>
  <si>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</si>
  <si>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</si>
  <si>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</si>
  <si>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</si>
  <si>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</si>
  <si>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</si>
  <si>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</si>
  <si>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</si>
  <si>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</si>
  <si>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</si>
  <si>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</si>
  <si>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</si>
  <si>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</si>
  <si>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</si>
  <si>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</si>
  <si>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</si>
  <si>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</si>
  <si>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</si>
  <si>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</si>
  <si>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</si>
  <si>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</si>
  <si>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</si>
  <si>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</si>
  <si>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</si>
  <si>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</si>
  <si>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</si>
  <si>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</si>
  <si>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</si>
  <si>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</si>
  <si>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</si>
  <si>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</si>
  <si>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</si>
  <si>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</si>
  <si>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</si>
  <si>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</si>
  <si>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</si>
  <si>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</si>
  <si>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</si>
  <si>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Bureau</t>
  </si>
  <si>
    <t>800 W Erie Street</t>
  </si>
  <si>
    <t>Spring Valley</t>
  </si>
  <si>
    <t>jbrandt@hallhighschool502.com</t>
  </si>
  <si>
    <t>Jesse Brandt</t>
  </si>
  <si>
    <t>815-664-2100</t>
  </si>
  <si>
    <t>815-664-2300</t>
  </si>
  <si>
    <t>Hopkins &amp; Associates, CPAs</t>
  </si>
  <si>
    <t>Kim Bird</t>
  </si>
  <si>
    <t>314 S McCoy St</t>
  </si>
  <si>
    <t>Granville</t>
  </si>
  <si>
    <t>IL</t>
  </si>
  <si>
    <t>815-339-6630</t>
  </si>
  <si>
    <t>815-339-6643</t>
  </si>
  <si>
    <t>kim@hopkinsoffice.com</t>
  </si>
  <si>
    <t>GASB 75 disclosures</t>
  </si>
  <si>
    <t>Refunding Bonds</t>
  </si>
  <si>
    <t>Building Bonds</t>
  </si>
  <si>
    <t>WC Bonds</t>
  </si>
  <si>
    <t>Lease</t>
  </si>
  <si>
    <t>GO Bonds</t>
  </si>
  <si>
    <t>20-2540-300</t>
  </si>
  <si>
    <t>Kendrick Pest Control</t>
  </si>
  <si>
    <t>Illinois Valley Waste</t>
  </si>
  <si>
    <t>Republic Services</t>
  </si>
  <si>
    <t>Princeton Redi Storage</t>
  </si>
  <si>
    <t>Illinois Fiber Resources</t>
  </si>
  <si>
    <t>AT&amp;T</t>
  </si>
  <si>
    <t>MTCO</t>
  </si>
  <si>
    <t>Frontier</t>
  </si>
  <si>
    <t>O&amp;M - Operation and Maint Servies</t>
  </si>
  <si>
    <t>LP High School</t>
  </si>
  <si>
    <t>Spring Valley Elementary</t>
  </si>
  <si>
    <t>Bureau Valley Alternative High School</t>
  </si>
  <si>
    <t>20-1999 Other - E-rate</t>
  </si>
  <si>
    <t>70-8990 Investment fees</t>
  </si>
  <si>
    <t>30-8990 - See footnote 7.  Debt refunding proceeds.</t>
  </si>
  <si>
    <t>Bus Lease</t>
  </si>
  <si>
    <t>Long-Term Debt - Payments and Debt Issuance that don't run through the Debt Service Fund are being included on the Debt</t>
  </si>
  <si>
    <t>Schedule.  This is causing errors on the Audit Check Screen.  We have included capital leases related to the transportation fund</t>
  </si>
  <si>
    <t>on this schedule and technology loans from ISBE on this schedule that are generating the errors.  The debt activity reported on</t>
  </si>
  <si>
    <t>the debt schedule is accurate and reported correctly.</t>
  </si>
  <si>
    <t>Putnam County (wrestling), DePue (soccer)</t>
  </si>
  <si>
    <t>BMP</t>
  </si>
  <si>
    <t>Fund Balance - Interfund payable/recievable was recorded in FY16 and should have been a permanent transfer.  Interfund payable/receivable was removed in the current fiscal year.  Original transfer was in compliance with 105ILCS 5/17-2A.</t>
  </si>
  <si>
    <t>Hall HSD 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</si>
</sst>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55" fillId="0" borderId="0" xfId="0" applyFont="1" applyAlignment="1">
      <alignment horizontal="left" wrapText="1"/>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5BFB053-81EA-4212-8D92-2D44C36DC3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28006502017</v>
      </c>
      <c r="B13" s="2035"/>
      <c r="C13" s="2035"/>
      <c r="D13" s="2035"/>
      <c r="E13" s="2035"/>
      <c r="F13" s="2035"/>
      <c r="G13" s="2035"/>
      <c r="H13" s="2036"/>
      <c r="I13" s="31"/>
      <c r="J13" s="30"/>
      <c r="K13" s="28"/>
      <c r="L13" s="30"/>
      <c r="M13" s="30"/>
      <c r="N13" s="30"/>
      <c r="O13" s="30"/>
      <c r="P13" s="30"/>
      <c r="Q13" s="30"/>
      <c r="R13" s="30"/>
      <c r="S13" s="30"/>
      <c r="T13" s="2039" t="s">
        <v>2085</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2078</v>
      </c>
      <c r="B15" s="2037"/>
      <c r="C15" s="2037"/>
      <c r="D15" s="2037"/>
      <c r="E15" s="2037"/>
      <c r="F15" s="2037"/>
      <c r="G15" s="2037"/>
      <c r="H15" s="2038"/>
      <c r="T15" s="2043" t="s">
        <v>2086</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2123</v>
      </c>
      <c r="B17" s="1994"/>
      <c r="C17" s="1994"/>
      <c r="D17" s="1994"/>
      <c r="E17" s="1994"/>
      <c r="F17" s="1994"/>
      <c r="G17" s="1994"/>
      <c r="H17" s="2019"/>
      <c r="T17" s="2050" t="s">
        <v>2087</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2079</v>
      </c>
      <c r="B19" s="1979"/>
      <c r="C19" s="1979"/>
      <c r="D19" s="1979"/>
      <c r="E19" s="1979"/>
      <c r="F19" s="1979"/>
      <c r="G19" s="1979"/>
      <c r="H19" s="1959"/>
      <c r="I19" s="30"/>
      <c r="J19" s="99"/>
      <c r="K19" s="40"/>
      <c r="L19" s="38"/>
      <c r="M19" s="112" t="s">
        <v>333</v>
      </c>
      <c r="P19" s="27"/>
      <c r="Q19" s="27"/>
      <c r="R19" s="27"/>
      <c r="S19" s="31"/>
      <c r="T19" s="2033" t="s">
        <v>2088</v>
      </c>
      <c r="U19" s="1958"/>
      <c r="V19" s="1958"/>
      <c r="W19" s="1959"/>
      <c r="X19" s="2048" t="s">
        <v>2089</v>
      </c>
      <c r="Y19" s="2049"/>
      <c r="Z19" s="2046">
        <v>61326</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2080</v>
      </c>
      <c r="B21" s="1958"/>
      <c r="C21" s="1958"/>
      <c r="D21" s="1958"/>
      <c r="E21" s="1958"/>
      <c r="F21" s="1958"/>
      <c r="G21" s="1958"/>
      <c r="H21" s="1959"/>
      <c r="I21" s="2013" t="s">
        <v>699</v>
      </c>
      <c r="J21" s="2008"/>
      <c r="K21" s="2008"/>
      <c r="L21" s="2008"/>
      <c r="M21" s="2008"/>
      <c r="N21" s="2008"/>
      <c r="O21" s="2008"/>
      <c r="P21" s="2008"/>
      <c r="Q21" s="2008"/>
      <c r="R21" s="2008"/>
      <c r="S21" s="2014"/>
      <c r="T21" s="2057" t="s">
        <v>2090</v>
      </c>
      <c r="U21" s="2058"/>
      <c r="V21" s="2058"/>
      <c r="W21" s="2058"/>
      <c r="X21" s="2063" t="s">
        <v>2091</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2081</v>
      </c>
      <c r="B23" s="2011"/>
      <c r="C23" s="2011"/>
      <c r="D23" s="2011"/>
      <c r="E23" s="2011"/>
      <c r="F23" s="2011"/>
      <c r="G23" s="2011"/>
      <c r="H23" s="2012"/>
      <c r="T23" s="1993">
        <v>66.004501000000005</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61362</v>
      </c>
      <c r="B25" s="1958"/>
      <c r="C25" s="1958"/>
      <c r="D25" s="1958"/>
      <c r="E25" s="1958"/>
      <c r="F25" s="1958"/>
      <c r="G25" s="1958"/>
      <c r="H25" s="1959"/>
      <c r="I25" s="113"/>
      <c r="J25" s="1982"/>
      <c r="K25" s="1982"/>
      <c r="L25" s="1982"/>
      <c r="M25" s="1982"/>
      <c r="N25" s="1982"/>
      <c r="O25" s="1982"/>
      <c r="P25" s="1982"/>
      <c r="Q25" s="1982"/>
      <c r="R25" s="1982"/>
      <c r="S25" s="1983"/>
      <c r="T25" s="2053" t="s">
        <v>2092</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2082</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2081</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2083</v>
      </c>
      <c r="B42" s="1977"/>
      <c r="C42" s="1978"/>
      <c r="D42" s="1976" t="s">
        <v>2084</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1891660</v>
      </c>
      <c r="C4" s="1546"/>
      <c r="D4" s="1774">
        <f>B4-C4</f>
        <v>1891660</v>
      </c>
      <c r="E4" s="1546">
        <v>1954033</v>
      </c>
      <c r="F4" s="1774">
        <f>E4-C4</f>
        <v>1954033</v>
      </c>
    </row>
    <row r="5" spans="1:6" ht="13.7" customHeight="1" x14ac:dyDescent="0.2">
      <c r="A5" s="716" t="s">
        <v>925</v>
      </c>
      <c r="B5" s="1772">
        <f>'Revenues 9-14'!D5</f>
        <v>293746</v>
      </c>
      <c r="C5" s="585"/>
      <c r="D5" s="1775">
        <f t="shared" ref="D5:D18" si="0">B5-C5</f>
        <v>293746</v>
      </c>
      <c r="E5" s="585">
        <v>303421</v>
      </c>
      <c r="F5" s="1775">
        <f>E5-C5</f>
        <v>303421</v>
      </c>
    </row>
    <row r="6" spans="1:6" ht="13.7" customHeight="1" x14ac:dyDescent="0.2">
      <c r="A6" s="716" t="s">
        <v>431</v>
      </c>
      <c r="B6" s="1772">
        <f>'Revenues 9-14'!E5</f>
        <v>2826787</v>
      </c>
      <c r="C6" s="585"/>
      <c r="D6" s="1775">
        <f t="shared" si="0"/>
        <v>2826787</v>
      </c>
      <c r="E6" s="585">
        <f>516387+2054672</f>
        <v>2571059</v>
      </c>
      <c r="F6" s="1775">
        <f t="shared" ref="F6:F18" si="1">E6-C6</f>
        <v>2571059</v>
      </c>
    </row>
    <row r="7" spans="1:6" ht="13.7" customHeight="1" x14ac:dyDescent="0.2">
      <c r="A7" s="716" t="s">
        <v>157</v>
      </c>
      <c r="B7" s="1772">
        <f>'Revenues 9-14'!F5</f>
        <v>140307</v>
      </c>
      <c r="C7" s="585"/>
      <c r="D7" s="1775">
        <f t="shared" si="0"/>
        <v>140307</v>
      </c>
      <c r="E7" s="585">
        <v>145642</v>
      </c>
      <c r="F7" s="1775">
        <f t="shared" si="1"/>
        <v>145642</v>
      </c>
    </row>
    <row r="8" spans="1:6" ht="13.7" customHeight="1" x14ac:dyDescent="0.2">
      <c r="A8" s="716" t="s">
        <v>1241</v>
      </c>
      <c r="B8" s="1772">
        <f>'Revenues 9-14'!G5</f>
        <v>79764</v>
      </c>
      <c r="C8" s="585"/>
      <c r="D8" s="1775">
        <f t="shared" si="0"/>
        <v>79764</v>
      </c>
      <c r="E8" s="585">
        <v>80006</v>
      </c>
      <c r="F8" s="1775">
        <f t="shared" si="1"/>
        <v>80006</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58751</v>
      </c>
      <c r="C10" s="585"/>
      <c r="D10" s="1775">
        <f t="shared" si="0"/>
        <v>58751</v>
      </c>
      <c r="E10" s="585">
        <v>60684</v>
      </c>
      <c r="F10" s="1775">
        <f t="shared" si="1"/>
        <v>60684</v>
      </c>
    </row>
    <row r="11" spans="1:6" x14ac:dyDescent="0.2">
      <c r="A11" s="716" t="s">
        <v>429</v>
      </c>
      <c r="B11" s="1772">
        <f>'Revenues 9-14'!J5</f>
        <v>388853</v>
      </c>
      <c r="C11" s="585"/>
      <c r="D11" s="1775">
        <f t="shared" si="0"/>
        <v>388853</v>
      </c>
      <c r="E11" s="585">
        <v>390006</v>
      </c>
      <c r="F11" s="1775">
        <f t="shared" si="1"/>
        <v>390006</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58757</v>
      </c>
      <c r="C13" s="585"/>
      <c r="D13" s="1775">
        <f t="shared" si="0"/>
        <v>58757</v>
      </c>
      <c r="E13" s="585">
        <v>60684</v>
      </c>
      <c r="F13" s="1775">
        <f t="shared" si="1"/>
        <v>60684</v>
      </c>
    </row>
    <row r="14" spans="1:6" ht="13.7" customHeight="1" x14ac:dyDescent="0.2">
      <c r="A14" s="716" t="s">
        <v>430</v>
      </c>
      <c r="B14" s="1772">
        <f>SUM('Revenues 9-14'!C7:D7,'Revenues 9-14'!F7:H7)</f>
        <v>23505</v>
      </c>
      <c r="C14" s="585"/>
      <c r="D14" s="1775">
        <f t="shared" si="0"/>
        <v>23505</v>
      </c>
      <c r="E14" s="585">
        <v>24274</v>
      </c>
      <c r="F14" s="1775">
        <f t="shared" si="1"/>
        <v>24274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84758</v>
      </c>
      <c r="C16" s="585"/>
      <c r="D16" s="1775">
        <f t="shared" si="0"/>
        <v>84758</v>
      </c>
      <c r="E16" s="585">
        <v>85019</v>
      </c>
      <c r="F16" s="1775">
        <f t="shared" si="1"/>
        <v>85019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5846888</v>
      </c>
      <c r="C19" s="1773">
        <f>SUM(C4:C18)</f>
        <v>0</v>
      </c>
      <c r="D19" s="1773">
        <f>SUM(D4:D18)</f>
        <v>5846888</v>
      </c>
      <c r="E19" s="1773">
        <f>SUM(E4:E18)</f>
        <v>5674828</v>
      </c>
      <c r="F19" s="1773">
        <f>SUM(F4:F18)</f>
        <v>5674828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J38" sqref="J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41548</v>
      </c>
      <c r="C31" s="735">
        <v>3500000</v>
      </c>
      <c r="D31" s="736">
        <v>3</v>
      </c>
      <c r="E31" s="735">
        <v>3500000</v>
      </c>
      <c r="F31" s="735"/>
      <c r="G31" s="735"/>
      <c r="H31" s="735"/>
      <c r="I31" s="1778">
        <f>((E31+F31)-H31)+G31</f>
        <v>3500000</v>
      </c>
      <c r="J31" s="735">
        <f>3500000-122008</f>
        <v>3377992</v>
      </c>
      <c r="K31" s="737"/>
    </row>
    <row r="32" spans="1:11" ht="12" customHeight="1" x14ac:dyDescent="0.2">
      <c r="A32" s="733" t="s">
        <v>2095</v>
      </c>
      <c r="B32" s="734">
        <v>41548</v>
      </c>
      <c r="C32" s="735">
        <v>32000000</v>
      </c>
      <c r="D32" s="736">
        <v>6</v>
      </c>
      <c r="E32" s="735">
        <v>32000000</v>
      </c>
      <c r="F32" s="735"/>
      <c r="G32" s="735">
        <v>-32000000</v>
      </c>
      <c r="H32" s="735"/>
      <c r="I32" s="1778">
        <f>((E32+F32)-H32)+G32</f>
        <v>0</v>
      </c>
      <c r="J32" s="735"/>
      <c r="K32" s="737"/>
    </row>
    <row r="33" spans="1:11" ht="12" customHeight="1" x14ac:dyDescent="0.2">
      <c r="A33" s="733" t="s">
        <v>2096</v>
      </c>
      <c r="B33" s="734">
        <v>42927</v>
      </c>
      <c r="C33" s="735">
        <v>1000000</v>
      </c>
      <c r="D33" s="736">
        <v>1</v>
      </c>
      <c r="E33" s="735">
        <v>1000000</v>
      </c>
      <c r="F33" s="735"/>
      <c r="G33" s="735"/>
      <c r="H33" s="735">
        <v>490000</v>
      </c>
      <c r="I33" s="1778">
        <f t="shared" ref="I33:I48" si="1">((E33+F33)-H33)+G33</f>
        <v>510000</v>
      </c>
      <c r="J33" s="735">
        <v>510000</v>
      </c>
      <c r="K33" s="737"/>
    </row>
    <row r="34" spans="1:11" ht="12" customHeight="1" x14ac:dyDescent="0.2">
      <c r="A34" s="733" t="s">
        <v>2098</v>
      </c>
      <c r="B34" s="734">
        <v>43006</v>
      </c>
      <c r="C34" s="735">
        <v>40440000</v>
      </c>
      <c r="D34" s="736">
        <v>3</v>
      </c>
      <c r="E34" s="735"/>
      <c r="F34" s="735">
        <v>40440000</v>
      </c>
      <c r="G34" s="735"/>
      <c r="H34" s="735">
        <v>965000</v>
      </c>
      <c r="I34" s="1778">
        <f t="shared" si="1"/>
        <v>39475000</v>
      </c>
      <c r="J34" s="735">
        <v>39475000</v>
      </c>
      <c r="K34" s="738"/>
    </row>
    <row r="35" spans="1:11" ht="12" customHeight="1" x14ac:dyDescent="0.2">
      <c r="A35" s="733" t="s">
        <v>2115</v>
      </c>
      <c r="B35" s="734">
        <v>41861</v>
      </c>
      <c r="C35" s="739">
        <v>41967</v>
      </c>
      <c r="D35" s="736">
        <v>7</v>
      </c>
      <c r="E35" s="739">
        <v>23351</v>
      </c>
      <c r="F35" s="739"/>
      <c r="G35" s="739">
        <v>-23351</v>
      </c>
      <c r="H35" s="739"/>
      <c r="I35" s="1778">
        <f t="shared" si="1"/>
        <v>0</v>
      </c>
      <c r="J35" s="739"/>
      <c r="K35" s="738"/>
    </row>
    <row r="36" spans="1:11" ht="12" customHeight="1" x14ac:dyDescent="0.2">
      <c r="A36" s="733" t="s">
        <v>2115</v>
      </c>
      <c r="B36" s="734">
        <v>42571</v>
      </c>
      <c r="C36" s="735">
        <v>52006</v>
      </c>
      <c r="D36" s="736">
        <v>7</v>
      </c>
      <c r="E36" s="735">
        <v>44031</v>
      </c>
      <c r="F36" s="735"/>
      <c r="G36" s="735"/>
      <c r="H36" s="735">
        <v>6786</v>
      </c>
      <c r="I36" s="1778">
        <f t="shared" si="1"/>
        <v>37245</v>
      </c>
      <c r="J36" s="735">
        <v>37245</v>
      </c>
      <c r="K36" s="740"/>
    </row>
    <row r="37" spans="1:11" ht="12" customHeight="1" x14ac:dyDescent="0.2">
      <c r="A37" s="733" t="s">
        <v>2115</v>
      </c>
      <c r="B37" s="734">
        <v>42927</v>
      </c>
      <c r="C37" s="467">
        <v>52006</v>
      </c>
      <c r="D37" s="741">
        <v>7</v>
      </c>
      <c r="E37" s="467">
        <v>44799</v>
      </c>
      <c r="F37" s="467"/>
      <c r="G37" s="467"/>
      <c r="H37" s="467"/>
      <c r="I37" s="1778">
        <f t="shared" si="1"/>
        <v>44799</v>
      </c>
      <c r="J37" s="467">
        <v>44799</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77085979</v>
      </c>
      <c r="D49" s="746"/>
      <c r="E49" s="1778">
        <f t="shared" ref="E49:J49" si="2">SUM(E31:E48)</f>
        <v>36612181</v>
      </c>
      <c r="F49" s="1778">
        <f t="shared" si="2"/>
        <v>40440000</v>
      </c>
      <c r="G49" s="1778">
        <f t="shared" si="2"/>
        <v>-32023351</v>
      </c>
      <c r="H49" s="1778">
        <f t="shared" si="2"/>
        <v>1461786</v>
      </c>
      <c r="I49" s="1778">
        <f t="shared" si="2"/>
        <v>43567044</v>
      </c>
      <c r="J49" s="1778">
        <f t="shared" si="2"/>
        <v>43445036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2097</v>
      </c>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R36" sqref="R3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23505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30834</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19870</v>
      </c>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23505</v>
      </c>
      <c r="I12" s="1780">
        <f>SUM(I5:I11)</f>
        <v>0</v>
      </c>
      <c r="J12" s="1780">
        <f>SUM(J5:J11)</f>
        <v>0</v>
      </c>
      <c r="K12" s="1780">
        <f>SUM(K5:K11)</f>
        <v>50704</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23505</v>
      </c>
      <c r="I14" s="772"/>
      <c r="J14" s="774"/>
      <c r="K14" s="766">
        <v>50704</v>
      </c>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23505</v>
      </c>
      <c r="I23" s="1780">
        <f>SUM(I14:I16,I21,I22)</f>
        <v>0</v>
      </c>
      <c r="J23" s="1780">
        <f>SUM(J14:J16,J21,J22)</f>
        <v>0</v>
      </c>
      <c r="K23" s="1780">
        <f>SUM(K14:K16,K21,K22)</f>
        <v>50704</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51157</v>
      </c>
      <c r="D5" s="842"/>
      <c r="E5" s="842"/>
      <c r="F5" s="1782">
        <f>(C5+D5)-E5</f>
        <v>51157</v>
      </c>
      <c r="G5" s="838"/>
      <c r="H5" s="843"/>
      <c r="I5" s="843"/>
      <c r="J5" s="843"/>
      <c r="K5" s="794"/>
      <c r="L5" s="1791">
        <f>F5-K5</f>
        <v>51157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31985115</v>
      </c>
      <c r="D8" s="845"/>
      <c r="E8" s="845"/>
      <c r="F8" s="1782">
        <f>(C8+D8)-E8</f>
        <v>31985115</v>
      </c>
      <c r="G8" s="844">
        <v>50</v>
      </c>
      <c r="H8" s="766">
        <v>1276130</v>
      </c>
      <c r="I8" s="766">
        <v>639702</v>
      </c>
      <c r="J8" s="766"/>
      <c r="K8" s="1791">
        <f>(H8+I8)-J8</f>
        <v>1915832</v>
      </c>
      <c r="L8" s="1791">
        <f>F8-K8</f>
        <v>30069283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139952</v>
      </c>
      <c r="D10" s="847">
        <v>33100</v>
      </c>
      <c r="E10" s="847"/>
      <c r="F10" s="1786">
        <f>(C10+D10)-E10</f>
        <v>173052</v>
      </c>
      <c r="G10" s="844">
        <v>20</v>
      </c>
      <c r="H10" s="848">
        <v>31605</v>
      </c>
      <c r="I10" s="848">
        <v>8653</v>
      </c>
      <c r="J10" s="848"/>
      <c r="K10" s="1791">
        <f>(H10+I10)-J10</f>
        <v>40258</v>
      </c>
      <c r="L10" s="1791">
        <f>F10-K10</f>
        <v>132794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457398</v>
      </c>
      <c r="D12" s="845">
        <v>1800</v>
      </c>
      <c r="E12" s="845"/>
      <c r="F12" s="1782">
        <f>(C12+D12)-E12</f>
        <v>459198</v>
      </c>
      <c r="G12" s="844">
        <v>10</v>
      </c>
      <c r="H12" s="766">
        <v>187939</v>
      </c>
      <c r="I12" s="766">
        <v>45920</v>
      </c>
      <c r="J12" s="766"/>
      <c r="K12" s="1791">
        <f>(H12+I12)-J12</f>
        <v>233859</v>
      </c>
      <c r="L12" s="1791">
        <f>F12-K12</f>
        <v>225339</v>
      </c>
    </row>
    <row r="13" spans="1:14" ht="14.25" thickTop="1" thickBot="1" x14ac:dyDescent="0.25">
      <c r="A13" s="849" t="s">
        <v>1184</v>
      </c>
      <c r="B13" s="841">
        <v>252</v>
      </c>
      <c r="C13" s="845">
        <v>318344</v>
      </c>
      <c r="D13" s="845">
        <v>20253</v>
      </c>
      <c r="E13" s="845"/>
      <c r="F13" s="1782">
        <f>(C13+D13)-E13</f>
        <v>338597</v>
      </c>
      <c r="G13" s="844">
        <v>5</v>
      </c>
      <c r="H13" s="766">
        <v>218346</v>
      </c>
      <c r="I13" s="766">
        <v>33246</v>
      </c>
      <c r="J13" s="766"/>
      <c r="K13" s="1791">
        <f>(H13+I13)-J13</f>
        <v>251592</v>
      </c>
      <c r="L13" s="1791">
        <f>F13-K13</f>
        <v>87005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32951966</v>
      </c>
      <c r="D16" s="1782">
        <f>SUM(D3,D5:D6,D8:D10,D12:D15)</f>
        <v>55153</v>
      </c>
      <c r="E16" s="1782">
        <f>SUM(E3,E5:E6,E8:E10,E12:E15)</f>
        <v>0</v>
      </c>
      <c r="F16" s="1782">
        <f>SUM(F3,F5:F6,F8:F10,F12:F15)</f>
        <v>33007119</v>
      </c>
      <c r="G16" s="844"/>
      <c r="H16" s="1782">
        <f>SUM(H3,H6,H8:H10,H12:H14,)</f>
        <v>1714020</v>
      </c>
      <c r="I16" s="1782">
        <f>SUM(I3,I6,I8:I10,I12:I14,)</f>
        <v>727521</v>
      </c>
      <c r="J16" s="1782">
        <f>SUM(J3,J6,J8:J10,J12:J14,)</f>
        <v>0</v>
      </c>
      <c r="K16" s="1782">
        <f>(H16+I16)-J16</f>
        <v>2441541</v>
      </c>
      <c r="L16" s="1782">
        <f>F16-K16</f>
        <v>30565578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727521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3754567</v>
      </c>
      <c r="G8" s="866"/>
    </row>
    <row r="9" spans="1:7" x14ac:dyDescent="0.2">
      <c r="A9" s="870" t="s">
        <v>480</v>
      </c>
      <c r="B9" s="871" t="s">
        <v>1989</v>
      </c>
      <c r="C9" s="872"/>
      <c r="D9" s="870" t="s">
        <v>522</v>
      </c>
      <c r="E9" s="869"/>
      <c r="F9" s="1935">
        <f>'Expenditures 15-22'!K151</f>
        <v>496395</v>
      </c>
      <c r="G9" s="873"/>
    </row>
    <row r="10" spans="1:7" x14ac:dyDescent="0.2">
      <c r="A10" s="870" t="s">
        <v>520</v>
      </c>
      <c r="B10" s="871" t="s">
        <v>1990</v>
      </c>
      <c r="C10" s="872"/>
      <c r="D10" s="870" t="s">
        <v>522</v>
      </c>
      <c r="E10" s="869"/>
      <c r="F10" s="1935">
        <f>'Expenditures 15-22'!K174</f>
        <v>2776159</v>
      </c>
      <c r="G10" s="873"/>
    </row>
    <row r="11" spans="1:7" x14ac:dyDescent="0.2">
      <c r="A11" s="870" t="s">
        <v>481</v>
      </c>
      <c r="B11" s="871" t="s">
        <v>1991</v>
      </c>
      <c r="C11" s="872"/>
      <c r="D11" s="870" t="s">
        <v>522</v>
      </c>
      <c r="E11" s="869"/>
      <c r="F11" s="1935">
        <f>'Expenditures 15-22'!K210</f>
        <v>180636</v>
      </c>
      <c r="G11" s="873"/>
    </row>
    <row r="12" spans="1:7" x14ac:dyDescent="0.2">
      <c r="A12" s="870" t="s">
        <v>482</v>
      </c>
      <c r="B12" s="871" t="s">
        <v>1992</v>
      </c>
      <c r="C12" s="872"/>
      <c r="D12" s="870" t="s">
        <v>522</v>
      </c>
      <c r="E12" s="869"/>
      <c r="F12" s="1935">
        <f>'Expenditures 15-22'!K295</f>
        <v>144122</v>
      </c>
      <c r="G12" s="873"/>
    </row>
    <row r="13" spans="1:7" x14ac:dyDescent="0.2">
      <c r="A13" s="870" t="s">
        <v>108</v>
      </c>
      <c r="B13" s="871" t="s">
        <v>1993</v>
      </c>
      <c r="C13" s="872"/>
      <c r="D13" s="870" t="s">
        <v>522</v>
      </c>
      <c r="E13" s="869"/>
      <c r="F13" s="1935">
        <f>'Expenditures 15-22'!K342</f>
        <v>328913</v>
      </c>
      <c r="G13" s="874"/>
    </row>
    <row r="14" spans="1:7" ht="12" customHeight="1" thickBot="1" x14ac:dyDescent="0.25">
      <c r="A14" s="1792"/>
      <c r="B14" s="1793"/>
      <c r="C14" s="1794"/>
      <c r="D14" s="1795" t="s">
        <v>522</v>
      </c>
      <c r="E14" s="1796" t="s">
        <v>1015</v>
      </c>
      <c r="F14" s="1797">
        <f>SUM(F8:F13)</f>
        <v>7680792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16139</v>
      </c>
      <c r="G52" s="866"/>
    </row>
    <row r="53" spans="1:7" x14ac:dyDescent="0.2">
      <c r="A53" s="870" t="s">
        <v>479</v>
      </c>
      <c r="B53" s="870" t="s">
        <v>1551</v>
      </c>
      <c r="C53" s="890">
        <f>'Expenditures 15-22'!B102</f>
        <v>4000</v>
      </c>
      <c r="D53" s="889" t="str">
        <f>'Expenditures 15-22'!A102</f>
        <v>Total Payments to Other Govt Units</v>
      </c>
      <c r="E53" s="869"/>
      <c r="F53" s="1939">
        <f>'Expenditures 15-22'!K102</f>
        <v>144427</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34900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1455000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6786</v>
      </c>
      <c r="G64" s="866"/>
    </row>
    <row r="65" spans="1:8" x14ac:dyDescent="0.2">
      <c r="A65" s="870" t="s">
        <v>481</v>
      </c>
      <c r="B65" s="870" t="s">
        <v>2002</v>
      </c>
      <c r="C65" s="887" t="s">
        <v>1039</v>
      </c>
      <c r="D65" s="886" t="s">
        <v>1157</v>
      </c>
      <c r="E65" s="869"/>
      <c r="F65" s="1939">
        <f>'Expenditures 15-22'!G210</f>
        <v>20253</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1677505</v>
      </c>
      <c r="G76" s="866"/>
    </row>
    <row r="77" spans="1:8" s="894" customFormat="1" ht="12" customHeight="1" thickTop="1" thickBot="1" x14ac:dyDescent="0.25">
      <c r="A77" s="1801"/>
      <c r="B77" s="1798"/>
      <c r="C77" s="1794"/>
      <c r="D77" s="1799" t="s">
        <v>2012</v>
      </c>
      <c r="E77" s="1796"/>
      <c r="F77" s="1802">
        <f>(F14-F76)</f>
        <v>6003287</v>
      </c>
      <c r="G77" s="870"/>
    </row>
    <row r="78" spans="1:8" s="894" customFormat="1" ht="12" customHeight="1" thickTop="1" x14ac:dyDescent="0.2">
      <c r="A78" s="1803"/>
      <c r="B78" s="1798"/>
      <c r="C78" s="1794"/>
      <c r="D78" s="1799" t="s">
        <v>2059</v>
      </c>
      <c r="E78" s="1796"/>
      <c r="F78" s="899">
        <v>405.63799999999998</v>
      </c>
      <c r="G78" s="900"/>
      <c r="H78" s="870"/>
    </row>
    <row r="79" spans="1:8" s="894" customFormat="1" ht="12" customHeight="1" thickBot="1" x14ac:dyDescent="0.25">
      <c r="A79" s="1804"/>
      <c r="B79" s="1798"/>
      <c r="C79" s="1794"/>
      <c r="D79" s="1799" t="s">
        <v>2013</v>
      </c>
      <c r="E79" s="1796" t="s">
        <v>1015</v>
      </c>
      <c r="F79" s="1805">
        <f>IF(F78&gt;0,F77/F78," Complete Line 78")</f>
        <v>14799.616899797356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107433</v>
      </c>
      <c r="G94" s="913"/>
    </row>
    <row r="95" spans="1:7" x14ac:dyDescent="0.2">
      <c r="A95" s="909" t="s">
        <v>142</v>
      </c>
      <c r="B95" s="909" t="s">
        <v>177</v>
      </c>
      <c r="C95" s="911">
        <v>1700</v>
      </c>
      <c r="D95" s="919" t="str">
        <f>'Revenues 9-14'!A82</f>
        <v>Total District/School Activity Income</v>
      </c>
      <c r="E95" s="907"/>
      <c r="F95" s="1811">
        <f>SUM('Revenues 9-14'!C82,'Revenues 9-14'!D82)</f>
        <v>73134</v>
      </c>
      <c r="G95" s="913"/>
    </row>
    <row r="96" spans="1:7" x14ac:dyDescent="0.2">
      <c r="A96" s="909" t="s">
        <v>479</v>
      </c>
      <c r="B96" s="909" t="s">
        <v>178</v>
      </c>
      <c r="C96" s="911">
        <f>'Revenues 9-14'!B84</f>
        <v>1811</v>
      </c>
      <c r="D96" s="912" t="str">
        <f>'Revenues 9-14'!A84</f>
        <v>Rentals - Regular Textbooks</v>
      </c>
      <c r="E96" s="907"/>
      <c r="F96" s="1811">
        <f>'Revenues 9-14'!C84</f>
        <v>30187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14705</v>
      </c>
      <c r="G100" s="913"/>
    </row>
    <row r="101" spans="1:7" x14ac:dyDescent="0.2">
      <c r="A101" s="909" t="s">
        <v>142</v>
      </c>
      <c r="B101" s="909" t="s">
        <v>183</v>
      </c>
      <c r="C101" s="911">
        <f>'Revenues 9-14'!B95</f>
        <v>1910</v>
      </c>
      <c r="D101" s="912" t="str">
        <f>'Revenues 9-14'!A95</f>
        <v>Rentals</v>
      </c>
      <c r="E101" s="907"/>
      <c r="F101" s="1811">
        <f>SUM('Revenues 9-14'!C95:D95)</f>
        <v>3290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107206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12730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1444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19870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66751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117836</v>
      </c>
      <c r="G129" s="931"/>
    </row>
    <row r="130" spans="1:7" x14ac:dyDescent="0.2">
      <c r="A130" s="928" t="s">
        <v>689</v>
      </c>
      <c r="B130" s="928" t="s">
        <v>804</v>
      </c>
      <c r="C130" s="933">
        <v>4300</v>
      </c>
      <c r="D130" s="934" t="str">
        <f>'Revenues 9-14'!A211</f>
        <v>Total Title I</v>
      </c>
      <c r="E130" s="907"/>
      <c r="F130" s="1811">
        <f>SUM('Revenues 9-14'!C211,'Revenues 9-14'!D211,'Revenues 9-14'!F211,'Revenues 9-14'!G211)</f>
        <v>54369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4399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22192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6411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13752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655709</v>
      </c>
    </row>
    <row r="179" spans="1:7" ht="12" customHeight="1" x14ac:dyDescent="0.2">
      <c r="A179" s="1792"/>
      <c r="B179" s="1806"/>
      <c r="C179" s="1807"/>
      <c r="D179" s="1808" t="s">
        <v>2015</v>
      </c>
      <c r="E179" s="1809"/>
      <c r="F179" s="1811">
        <f>'PCTC-OEPP 27-28'!F77-F178</f>
        <v>5347578</v>
      </c>
    </row>
    <row r="180" spans="1:7" ht="12" customHeight="1" x14ac:dyDescent="0.2">
      <c r="A180" s="1792"/>
      <c r="B180" s="1806"/>
      <c r="C180" s="1807"/>
      <c r="D180" s="1808" t="s">
        <v>1924</v>
      </c>
      <c r="E180" s="1809"/>
      <c r="F180" s="1811">
        <f>'Cap Outlay Deprec 26'!I18</f>
        <v>727521</v>
      </c>
    </row>
    <row r="181" spans="1:7" ht="12" customHeight="1" x14ac:dyDescent="0.2">
      <c r="A181" s="1792"/>
      <c r="B181" s="1806"/>
      <c r="C181" s="1807"/>
      <c r="D181" s="1808" t="s">
        <v>2016</v>
      </c>
      <c r="E181" s="1809"/>
      <c r="F181" s="1811">
        <f>F179+F180</f>
        <v>6075099</v>
      </c>
    </row>
    <row r="182" spans="1:7" ht="12" customHeight="1" x14ac:dyDescent="0.2">
      <c r="A182" s="1792"/>
      <c r="B182" s="1812"/>
      <c r="C182" s="1807"/>
      <c r="D182" s="1808" t="str">
        <f>D78</f>
        <v>9 Month ADA from District Average Daily Attendance/Prior General State Aid Inquiry 2017-2018</v>
      </c>
      <c r="E182" s="1809"/>
      <c r="F182" s="1813">
        <f>'PCTC-OEPP 27-28'!F78</f>
        <v>405.63799999999998</v>
      </c>
      <c r="G182" s="931"/>
    </row>
    <row r="183" spans="1:7" ht="12" customHeight="1" thickBot="1" x14ac:dyDescent="0.25">
      <c r="A183" s="1792"/>
      <c r="B183" s="1812"/>
      <c r="C183" s="1807"/>
      <c r="D183" s="1808" t="s">
        <v>2017</v>
      </c>
      <c r="E183" s="1809" t="s">
        <v>1626</v>
      </c>
      <c r="F183" s="1814">
        <f>F181/F182</f>
        <v>14976.651595757794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8" sqref="A18:A24"/>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2108</v>
      </c>
      <c r="B17" s="1954" t="s">
        <v>2099</v>
      </c>
      <c r="C17" s="1955" t="s">
        <v>2100</v>
      </c>
      <c r="D17" s="1867">
        <f>60+60+60+60+60+60+60+60+60</f>
        <v>540</v>
      </c>
      <c r="E17" s="1562">
        <f t="shared" ref="E17:E141" si="1">IF(D17&lt;=25000,D17,IF(D17&gt;25000,25000,0))</f>
        <v>540</v>
      </c>
      <c r="F17" s="1815">
        <f t="shared" si="0"/>
        <v>540</v>
      </c>
      <c r="G17" s="1816">
        <f>IF(F17=0,0,D17-F17)</f>
        <v>0</v>
      </c>
      <c r="H17" s="1669"/>
    </row>
    <row r="18" spans="1:8" x14ac:dyDescent="0.25">
      <c r="A18" s="1956" t="s">
        <v>2108</v>
      </c>
      <c r="B18" s="1954" t="s">
        <v>2099</v>
      </c>
      <c r="C18" s="1955" t="s">
        <v>2101</v>
      </c>
      <c r="D18" s="1867">
        <f>574+575+578+733</f>
        <v>2460</v>
      </c>
      <c r="E18" s="1562">
        <f t="shared" ref="E18:E140" si="2">IF(D18&lt;=25000,D18,IF(D18&gt;25000,25000,0))</f>
        <v>2460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2460</v>
      </c>
      <c r="G18" s="1816">
        <f t="shared" ref="G18:G140" si="4">IF(F18=0,0,D18-F18)</f>
        <v>0</v>
      </c>
    </row>
    <row r="19" spans="1:8" x14ac:dyDescent="0.25">
      <c r="A19" s="1956" t="s">
        <v>2108</v>
      </c>
      <c r="B19" s="1954" t="s">
        <v>2099</v>
      </c>
      <c r="C19" s="1955" t="s">
        <v>2102</v>
      </c>
      <c r="D19" s="1867">
        <f>1216+606+609+612+609+612+615</f>
        <v>4879</v>
      </c>
      <c r="E19" s="1562">
        <f t="shared" si="2"/>
        <v>4879</v>
      </c>
      <c r="F19" s="1815">
        <f t="shared" si="3"/>
        <v>4879</v>
      </c>
      <c r="G19" s="1816">
        <f t="shared" si="4"/>
        <v>0</v>
      </c>
    </row>
    <row r="20" spans="1:8" x14ac:dyDescent="0.25">
      <c r="A20" s="1956" t="s">
        <v>2108</v>
      </c>
      <c r="B20" s="1954" t="s">
        <v>2099</v>
      </c>
      <c r="C20" s="1955" t="s">
        <v>2103</v>
      </c>
      <c r="D20" s="1867">
        <v>750</v>
      </c>
      <c r="E20" s="1562">
        <f t="shared" si="2"/>
        <v>750</v>
      </c>
      <c r="F20" s="1815">
        <f t="shared" si="3"/>
        <v>750</v>
      </c>
      <c r="G20" s="1816">
        <f t="shared" si="4"/>
        <v>0</v>
      </c>
    </row>
    <row r="21" spans="1:8" x14ac:dyDescent="0.25">
      <c r="A21" s="1956" t="s">
        <v>2108</v>
      </c>
      <c r="B21" s="1954" t="s">
        <v>2099</v>
      </c>
      <c r="C21" s="1955" t="s">
        <v>2104</v>
      </c>
      <c r="D21" s="1867">
        <f>1800+1800+1800+1800</f>
        <v>7200</v>
      </c>
      <c r="E21" s="1562">
        <f t="shared" si="2"/>
        <v>7200</v>
      </c>
      <c r="F21" s="1815">
        <f t="shared" si="3"/>
        <v>7200</v>
      </c>
      <c r="G21" s="1816">
        <f t="shared" si="4"/>
        <v>0</v>
      </c>
    </row>
    <row r="22" spans="1:8" x14ac:dyDescent="0.25">
      <c r="A22" s="1956" t="s">
        <v>2108</v>
      </c>
      <c r="B22" s="1954" t="s">
        <v>2099</v>
      </c>
      <c r="C22" s="1955" t="s">
        <v>2105</v>
      </c>
      <c r="D22" s="1867">
        <f>272+174+218+218+219+219+219+220+220+220+221+163</f>
        <v>2583</v>
      </c>
      <c r="E22" s="1562">
        <f t="shared" si="2"/>
        <v>2583</v>
      </c>
      <c r="F22" s="1815">
        <f t="shared" si="3"/>
        <v>2583</v>
      </c>
      <c r="G22" s="1816">
        <f t="shared" si="4"/>
        <v>0</v>
      </c>
    </row>
    <row r="23" spans="1:8" x14ac:dyDescent="0.25">
      <c r="A23" s="1956" t="s">
        <v>2108</v>
      </c>
      <c r="B23" s="1954" t="s">
        <v>2099</v>
      </c>
      <c r="C23" s="1955" t="s">
        <v>2106</v>
      </c>
      <c r="D23" s="1867">
        <f>221+221+221+221+221+221+221+221+221+221+221+211</f>
        <v>2642</v>
      </c>
      <c r="E23" s="1562">
        <f t="shared" si="2"/>
        <v>2642</v>
      </c>
      <c r="F23" s="1815">
        <f t="shared" si="3"/>
        <v>2642</v>
      </c>
      <c r="G23" s="1816">
        <f t="shared" si="4"/>
        <v>0</v>
      </c>
    </row>
    <row r="24" spans="1:8" x14ac:dyDescent="0.25">
      <c r="A24" s="1956" t="s">
        <v>2108</v>
      </c>
      <c r="B24" s="1954" t="s">
        <v>2099</v>
      </c>
      <c r="C24" s="1955" t="s">
        <v>2107</v>
      </c>
      <c r="D24" s="1867">
        <f>398+394+428+501+461+418+495+427+476+476+468+469</f>
        <v>5411</v>
      </c>
      <c r="E24" s="1562">
        <f t="shared" si="2"/>
        <v>5411</v>
      </c>
      <c r="F24" s="1815">
        <f t="shared" si="3"/>
        <v>5411</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26465</v>
      </c>
      <c r="E141" s="1563">
        <f t="shared" si="1"/>
        <v>25000</v>
      </c>
      <c r="F141" s="1817">
        <f>SUM(F17:F140)</f>
        <v>26465</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17700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2736026</v>
      </c>
      <c r="F19" s="1822"/>
      <c r="G19" s="1824">
        <f>'Expenditures 15-22'!K33-SUM('Expenditures 15-22'!G33,'Expenditures 15-22'!I33)+'Expenditures 15-22'!D229</f>
        <v>2736026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254820</v>
      </c>
      <c r="F21" s="1825"/>
      <c r="G21" s="1828">
        <f>'Expenditures 15-22'!K42-SUM('Expenditures 15-22'!G42,'Expenditures 15-22'!I42)+'Expenditures 15-22'!K120-SUM('Expenditures 15-22'!G120,'Expenditures 15-22'!I120)+'Expenditures 15-22'!K180-SUM('Expenditures 15-22'!G180,'Expenditures 15-22'!I180)+'Expenditures 15-22'!D238</f>
        <v>254820</v>
      </c>
      <c r="H21" s="988"/>
      <c r="I21" s="162"/>
    </row>
    <row r="22" spans="1:9" s="669" customFormat="1" ht="12" customHeight="1" x14ac:dyDescent="0.2">
      <c r="A22" s="995" t="s">
        <v>585</v>
      </c>
      <c r="B22" s="996"/>
      <c r="C22" s="994">
        <v>2200</v>
      </c>
      <c r="D22" s="1825"/>
      <c r="E22" s="1827">
        <f>'Expenditures 15-22'!K47-SUM('Expenditures 15-22'!G47,'Expenditures 15-22'!I47)+'Expenditures 15-22'!D243</f>
        <v>116137</v>
      </c>
      <c r="F22" s="1825"/>
      <c r="G22" s="1828">
        <f>'Expenditures 15-22'!K47-SUM('Expenditures 15-22'!G47,'Expenditures 15-22'!I47)+'Expenditures 15-22'!D243</f>
        <v>116137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451245</v>
      </c>
      <c r="F23" s="1825"/>
      <c r="G23" s="1827">
        <f>'Expenditures 15-22'!K53-SUM('Expenditures 15-22'!G53,'Expenditures 15-22'!I53)+'Expenditures 15-22'!D257+'Expenditures 15-22'!K330-SUM('Expenditures 15-22'!G330,'Expenditures 15-22'!I330)</f>
        <v>451245</v>
      </c>
      <c r="H23" s="988"/>
      <c r="I23" s="162"/>
    </row>
    <row r="24" spans="1:9" s="669" customFormat="1" ht="12" customHeight="1" x14ac:dyDescent="0.2">
      <c r="A24" s="995" t="s">
        <v>587</v>
      </c>
      <c r="B24" s="996"/>
      <c r="C24" s="994">
        <v>2400</v>
      </c>
      <c r="D24" s="1825"/>
      <c r="E24" s="1827">
        <f>'Expenditures 15-22'!K57-SUM('Expenditures 15-22'!G57,'Expenditures 15-22'!I57)+'Expenditures 15-22'!D261</f>
        <v>227625</v>
      </c>
      <c r="F24" s="1825"/>
      <c r="G24" s="1828">
        <f>'Expenditures 15-22'!K57-SUM('Expenditures 15-22'!G57,'Expenditures 15-22'!I57)+'Expenditures 15-22'!D261</f>
        <v>227625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57656</v>
      </c>
      <c r="E27" s="1827">
        <f>E8</f>
        <v>0</v>
      </c>
      <c r="F27" s="1827">
        <f>'Expenditures 15-22'!K60-SUM('Expenditures 15-22'!G60,'Expenditures 15-22'!I60)+'Expenditures 15-22'!D264-E8</f>
        <v>57656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501130</v>
      </c>
      <c r="F28" s="1829">
        <f>'Expenditures 15-22'!K61-SUM('Expenditures 15-22'!G61,'Expenditures 15-22'!I61)+'Expenditures 15-22'!K124-SUM('Expenditures 15-22'!G124,'Expenditures 15-22'!I124)+'Expenditures 15-22'!D266-E9</f>
        <v>501130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152408</v>
      </c>
      <c r="F29" s="1825"/>
      <c r="G29" s="1828">
        <f>'Expenditures 15-22'!K62-SUM('Expenditures 15-22'!G62,'Expenditures 15-22'!I62)+'Expenditures 15-22'!K125-SUM('Expenditures 15-22'!G125,'Expenditures 15-22'!I125)+'Expenditures 15-22'!K182-SUM('Expenditures 15-22'!G182,'Expenditures 15-22'!I182)+'Expenditures 15-22'!D267</f>
        <v>152408</v>
      </c>
      <c r="H29" s="986"/>
    </row>
    <row r="30" spans="1:9" ht="12" customHeight="1" x14ac:dyDescent="0.2">
      <c r="A30" s="995" t="s">
        <v>102</v>
      </c>
      <c r="B30" s="998"/>
      <c r="C30" s="994">
        <v>2560</v>
      </c>
      <c r="D30" s="1825"/>
      <c r="E30" s="1827">
        <f>'Expenditures 15-22'!K63-SUM('Expenditures 15-22'!G63,'Expenditures 15-22'!I63)+'Expenditures 15-22'!D268-E10</f>
        <v>183620</v>
      </c>
      <c r="F30" s="1825"/>
      <c r="G30" s="1827">
        <f>'Expenditures 15-22'!K63-SUM('Expenditures 15-22'!G63,'Expenditures 15-22'!I63)+'Expenditures 15-22'!D268-E10</f>
        <v>183620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272</v>
      </c>
      <c r="F35" s="1825"/>
      <c r="G35" s="1827">
        <f>'Expenditures 15-22'!K69-SUM('Expenditures 15-22'!G69,'Expenditures 15-22'!I69)+'Expenditures 15-22'!D274</f>
        <v>272</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16139</v>
      </c>
      <c r="F39" s="1825"/>
      <c r="G39" s="1827">
        <f>'Expenditures 15-22'!K75-SUM('Expenditures 15-22'!G75,'Expenditures 15-22'!I75)+'Expenditures 15-22'!K130-SUM('Expenditures 15-22'!G130,'Expenditures 15-22'!I130)+'Expenditures 15-22'!K185-SUM('Expenditures 15-22'!G185,'Expenditures 15-22'!I185)+'Expenditures 15-22'!D280</f>
        <v>16139</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57656</v>
      </c>
      <c r="E41" s="1829">
        <f>SUM(E19:E40)</f>
        <v>4639422</v>
      </c>
      <c r="F41" s="1829">
        <f>SUM(F19:F39)</f>
        <v>558786</v>
      </c>
      <c r="G41" s="1829">
        <f>SUM(G19:G40)</f>
        <v>4138292</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57656</v>
      </c>
      <c r="F43" s="1830" t="s">
        <v>495</v>
      </c>
      <c r="G43" s="1831">
        <f>F41</f>
        <v>558786</v>
      </c>
    </row>
    <row r="44" spans="1:7" ht="12" customHeight="1" x14ac:dyDescent="0.2">
      <c r="A44" s="988"/>
      <c r="B44" s="162"/>
      <c r="C44" s="1002"/>
      <c r="D44" s="1830" t="s">
        <v>494</v>
      </c>
      <c r="E44" s="1831">
        <f>E41</f>
        <v>4639422</v>
      </c>
      <c r="F44" s="1830" t="s">
        <v>494</v>
      </c>
      <c r="G44" s="1831">
        <f>G41</f>
        <v>4138292</v>
      </c>
    </row>
    <row r="45" spans="1:7" ht="12" customHeight="1" x14ac:dyDescent="0.2">
      <c r="A45" s="988"/>
      <c r="B45" s="162"/>
      <c r="C45" s="162"/>
      <c r="D45" s="1832" t="s">
        <v>1063</v>
      </c>
      <c r="E45" s="1833">
        <f>(E43/E44)</f>
        <v>1.242741013859054E-2</v>
      </c>
      <c r="F45" s="1832" t="s">
        <v>1063</v>
      </c>
      <c r="G45" s="1833">
        <f>(G43/G44)</f>
        <v>0.13502817104254605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41" sqref="A41:F4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Hall HSD 502</v>
      </c>
      <c r="D6" s="2326"/>
      <c r="E6" s="2326"/>
      <c r="F6" s="1877"/>
    </row>
    <row r="7" spans="1:10" ht="11.25" customHeight="1" thickBot="1" x14ac:dyDescent="0.3">
      <c r="A7" s="1875"/>
      <c r="B7" s="1876"/>
      <c r="C7" s="2327">
        <f>COVER!A13</f>
        <v>28006502017</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2121</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c r="F30" s="1892" t="s">
        <v>2110</v>
      </c>
      <c r="H30" s="1903">
        <f t="shared" si="0"/>
        <v>5</v>
      </c>
      <c r="I30" s="1903">
        <f t="shared" si="1"/>
        <v>5</v>
      </c>
      <c r="J30" s="1903">
        <f t="shared" si="2"/>
        <v>0</v>
      </c>
    </row>
    <row r="31" spans="1:12" ht="12" customHeight="1" x14ac:dyDescent="0.2">
      <c r="A31" s="1888" t="s">
        <v>1620</v>
      </c>
      <c r="B31" s="1889"/>
      <c r="C31" s="1890" t="s">
        <v>2077</v>
      </c>
      <c r="D31" s="1890" t="s">
        <v>2077</v>
      </c>
      <c r="E31" s="1893"/>
      <c r="F31" s="1892" t="s">
        <v>2109</v>
      </c>
      <c r="H31" s="1903">
        <f t="shared" si="0"/>
        <v>5</v>
      </c>
      <c r="I31" s="1903">
        <f t="shared" si="1"/>
        <v>5</v>
      </c>
      <c r="J31" s="1903">
        <f t="shared" si="2"/>
        <v>0</v>
      </c>
      <c r="L31" s="1894"/>
    </row>
    <row r="32" spans="1:12" ht="12" customHeight="1" x14ac:dyDescent="0.2">
      <c r="A32" s="1888" t="s">
        <v>1621</v>
      </c>
      <c r="B32" s="1889"/>
      <c r="C32" s="1890" t="s">
        <v>2077</v>
      </c>
      <c r="D32" s="1890"/>
      <c r="E32" s="1893"/>
      <c r="F32" s="1892" t="s">
        <v>2111</v>
      </c>
      <c r="H32" s="1903">
        <f t="shared" si="0"/>
        <v>5</v>
      </c>
      <c r="I32" s="1903">
        <f t="shared" si="1"/>
        <v>0</v>
      </c>
      <c r="J32" s="1903">
        <f t="shared" si="2"/>
        <v>0</v>
      </c>
    </row>
    <row r="33" spans="1:11" ht="12" customHeight="1" x14ac:dyDescent="0.2">
      <c r="A33" s="1888" t="s">
        <v>1622</v>
      </c>
      <c r="B33" s="1889"/>
      <c r="C33" s="1890" t="s">
        <v>2077</v>
      </c>
      <c r="D33" s="1890" t="s">
        <v>2077</v>
      </c>
      <c r="E33" s="1893"/>
      <c r="F33" s="1892" t="s">
        <v>2120</v>
      </c>
      <c r="H33" s="1903">
        <f t="shared" si="0"/>
        <v>5</v>
      </c>
      <c r="I33" s="1903">
        <f t="shared" si="1"/>
        <v>5</v>
      </c>
      <c r="J33" s="1903">
        <f t="shared" si="2"/>
        <v>0</v>
      </c>
    </row>
    <row r="34" spans="1:11" ht="12" customHeight="1" x14ac:dyDescent="0.25">
      <c r="A34" s="1895"/>
      <c r="B34" s="1895"/>
      <c r="C34" s="1895"/>
      <c r="D34" s="1895"/>
      <c r="E34" s="1895"/>
      <c r="F34" s="1895"/>
      <c r="H34" s="1903">
        <f>SUM(H11:H32)</f>
        <v>20</v>
      </c>
      <c r="I34" s="1903">
        <f>SUM(I11:I32)</f>
        <v>15</v>
      </c>
      <c r="J34" s="1903">
        <f>SUM(J11:J32)</f>
        <v>0</v>
      </c>
      <c r="K34" s="1903">
        <f>SUM(H34:J34)</f>
        <v>35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J32" sqref="J3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Hall HSD 502</v>
      </c>
      <c r="J6" s="2336"/>
      <c r="Q6" s="1686"/>
    </row>
    <row r="7" spans="1:17" x14ac:dyDescent="0.2">
      <c r="A7" s="2337" t="s">
        <v>924</v>
      </c>
      <c r="B7" s="2338"/>
      <c r="C7" s="2338"/>
      <c r="D7" s="2338"/>
      <c r="E7" s="2339"/>
      <c r="F7" s="1018"/>
      <c r="G7" s="1010"/>
      <c r="H7" s="1017" t="s">
        <v>390</v>
      </c>
      <c r="I7" s="2340">
        <f>COVER!A13</f>
        <v>28006502017</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86434</v>
      </c>
      <c r="F12" s="1040"/>
      <c r="G12" s="1834">
        <f t="shared" ref="G12:G18" si="0">SUM(E12:F12)</f>
        <v>86434</v>
      </c>
      <c r="H12" s="1041">
        <f>31500+15832+13038+27377+2000+200+400</f>
        <v>90347</v>
      </c>
      <c r="I12" s="1040"/>
      <c r="J12" s="1834">
        <f t="shared" ref="J12:J18" si="1">SUM(H12:I12)</f>
        <v>90347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86434</v>
      </c>
      <c r="F19" s="1836">
        <f t="shared" si="2"/>
        <v>0</v>
      </c>
      <c r="G19" s="1836">
        <f t="shared" si="2"/>
        <v>86434</v>
      </c>
      <c r="H19" s="1836">
        <f t="shared" si="2"/>
        <v>90347</v>
      </c>
      <c r="I19" s="1836">
        <f t="shared" si="2"/>
        <v>0</v>
      </c>
      <c r="J19" s="1836">
        <f t="shared" si="2"/>
        <v>90347</v>
      </c>
    </row>
    <row r="20" spans="1:10" ht="13.5" thickTop="1" x14ac:dyDescent="0.2">
      <c r="A20" s="1036">
        <v>9</v>
      </c>
      <c r="B20" s="2347" t="s">
        <v>1703</v>
      </c>
      <c r="C20" s="2347"/>
      <c r="D20" s="2348"/>
      <c r="E20" s="1047"/>
      <c r="F20" s="1047"/>
      <c r="G20" s="1047"/>
      <c r="H20" s="1047"/>
      <c r="I20" s="1047"/>
      <c r="J20" s="1837">
        <f>IF(AND(G19&gt;0,J19&gt;0),(((J19-G19)/G19)),"Enter Budget Data")</f>
        <v>4.5271536663812853E-2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2112</v>
      </c>
    </row>
    <row r="6" spans="1:2" x14ac:dyDescent="0.2">
      <c r="A6" s="1069">
        <v>2</v>
      </c>
      <c r="B6" s="329" t="s">
        <v>2113</v>
      </c>
    </row>
    <row r="7" spans="1:2" x14ac:dyDescent="0.2">
      <c r="A7" s="1069">
        <v>3</v>
      </c>
      <c r="B7" s="329" t="s">
        <v>2114</v>
      </c>
    </row>
    <row r="8" spans="1:2" x14ac:dyDescent="0.2">
      <c r="A8" s="1069">
        <v>4</v>
      </c>
      <c r="B8" s="329" t="s">
        <v>2116</v>
      </c>
    </row>
    <row r="9" spans="1:2" x14ac:dyDescent="0.2">
      <c r="A9" s="1070"/>
      <c r="B9" s="329" t="s">
        <v>2117</v>
      </c>
    </row>
    <row r="10" spans="1:2" x14ac:dyDescent="0.2">
      <c r="A10" s="1070"/>
      <c r="B10" s="329" t="s">
        <v>2118</v>
      </c>
    </row>
    <row r="11" spans="1:2" x14ac:dyDescent="0.2">
      <c r="A11" s="1070"/>
      <c r="B11" s="329" t="s">
        <v>2119</v>
      </c>
    </row>
    <row r="12" spans="1:2" x14ac:dyDescent="0.2">
      <c r="A12" s="1070">
        <v>5</v>
      </c>
      <c r="B12" s="2354" t="s">
        <v>2122</v>
      </c>
    </row>
    <row r="13" spans="1:2" x14ac:dyDescent="0.2">
      <c r="A13" s="1070"/>
      <c r="B13" s="2354"/>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Hall HSD 502</v>
      </c>
    </row>
    <row r="65" spans="2:2" x14ac:dyDescent="0.2">
      <c r="B65" s="1071">
        <f>COVER!A13</f>
        <v>28006502017</v>
      </c>
    </row>
  </sheetData>
  <mergeCells count="1">
    <mergeCell ref="B12:B13"/>
  </mergeCells>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B97" sqref="B9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J12" sqref="J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4073750</v>
      </c>
      <c r="C8" s="1838">
        <f>'Acct Summary 7-8'!D8</f>
        <v>593204</v>
      </c>
      <c r="D8" s="1838">
        <f>'Acct Summary 7-8'!F8</f>
        <v>207289</v>
      </c>
      <c r="E8" s="1838">
        <f>'Acct Summary 7-8'!I8</f>
        <v>65983</v>
      </c>
      <c r="F8" s="1838">
        <f>SUM(B8:E8)</f>
        <v>4940226</v>
      </c>
    </row>
    <row r="9" spans="1:8" s="1080" customFormat="1" ht="14.25" customHeight="1" thickBot="1" x14ac:dyDescent="0.25">
      <c r="A9" s="1079" t="s">
        <v>1436</v>
      </c>
      <c r="B9" s="1839">
        <f>'Acct Summary 7-8'!C17</f>
        <v>3754567</v>
      </c>
      <c r="C9" s="1839">
        <f>'Acct Summary 7-8'!D17</f>
        <v>496395</v>
      </c>
      <c r="D9" s="1839">
        <f>'Acct Summary 7-8'!F17</f>
        <v>180636</v>
      </c>
      <c r="E9" s="1838"/>
      <c r="F9" s="1838">
        <f>SUM(B9:E9)</f>
        <v>4431598</v>
      </c>
    </row>
    <row r="10" spans="1:8" s="1080" customFormat="1" ht="14.25" thickTop="1" thickBot="1" x14ac:dyDescent="0.25">
      <c r="A10" s="1081" t="s">
        <v>1437</v>
      </c>
      <c r="B10" s="1840">
        <f>(B8-B9)</f>
        <v>319183</v>
      </c>
      <c r="C10" s="1840">
        <f>(C8-C9)</f>
        <v>96809</v>
      </c>
      <c r="D10" s="1840">
        <f>(D8-D9)</f>
        <v>26653</v>
      </c>
      <c r="E10" s="1839">
        <f>(E8-E9)</f>
        <v>65983</v>
      </c>
      <c r="F10" s="1841">
        <f>SUM(F8-F9)</f>
        <v>508628</v>
      </c>
    </row>
    <row r="11" spans="1:8" s="1080" customFormat="1" ht="14.25" thickTop="1" thickBot="1" x14ac:dyDescent="0.25">
      <c r="A11" s="1082" t="s">
        <v>1785</v>
      </c>
      <c r="B11" s="1842">
        <f>'Acct Summary 7-8'!C81</f>
        <v>658060</v>
      </c>
      <c r="C11" s="1842">
        <f>'Acct Summary 7-8'!D81</f>
        <v>317567</v>
      </c>
      <c r="D11" s="1842">
        <f>'Acct Summary 7-8'!F81</f>
        <v>56419</v>
      </c>
      <c r="E11" s="1842">
        <f>'Acct Summary 7-8'!I81</f>
        <v>1088533</v>
      </c>
      <c r="F11" s="1843">
        <f>SUM(B11:E11)</f>
        <v>2120579</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28006502017</v>
      </c>
    </row>
    <row r="3" spans="1:2" x14ac:dyDescent="0.2">
      <c r="A3" t="s">
        <v>1013</v>
      </c>
      <c r="B3" s="138" t="str">
        <f>COVER!A15</f>
        <v>Bureau</v>
      </c>
    </row>
    <row r="4" spans="1:2" x14ac:dyDescent="0.2">
      <c r="A4" t="s">
        <v>1064</v>
      </c>
      <c r="B4" s="138" t="str">
        <f>COVER!A17</f>
        <v>Hall HSD 502</v>
      </c>
    </row>
    <row r="5" spans="1:2" x14ac:dyDescent="0.2">
      <c r="A5" t="s">
        <v>728</v>
      </c>
      <c r="B5" s="138" t="str">
        <f>COVER!A38</f>
        <v>Jesse Brandt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66.004501000000005</v>
      </c>
    </row>
    <row r="16" spans="1:2" x14ac:dyDescent="0.2">
      <c r="A16" t="s">
        <v>442</v>
      </c>
      <c r="B16" s="138" t="str">
        <f>COVER!T13</f>
        <v>Hopkins &amp; Associates, CPAs</v>
      </c>
    </row>
    <row r="17" spans="1:2" x14ac:dyDescent="0.2">
      <c r="A17" t="s">
        <v>939</v>
      </c>
      <c r="B17" s="138" t="str">
        <f>COVER!T15</f>
        <v>Kim Bird</v>
      </c>
    </row>
    <row r="18" spans="1:2" x14ac:dyDescent="0.2">
      <c r="A18" t="s">
        <v>1212</v>
      </c>
      <c r="B18" s="138" t="str">
        <f>COVER!T17</f>
        <v>314 S McCoy St</v>
      </c>
    </row>
    <row r="19" spans="1:2" x14ac:dyDescent="0.2">
      <c r="A19" t="s">
        <v>941</v>
      </c>
      <c r="B19" s="138" t="str">
        <f>COVER!T25</f>
        <v>kim@hopkinsoffice.com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658060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614027</v>
      </c>
      <c r="D92" s="2" t="str">
        <f t="shared" si="0"/>
        <v>Error?</v>
      </c>
    </row>
    <row r="93" spans="1:4" x14ac:dyDescent="0.2">
      <c r="A93" s="5">
        <v>32</v>
      </c>
      <c r="B93" s="138">
        <f>'Assets-Liab 5-6'!C41</f>
        <v>658060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317567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317567</v>
      </c>
      <c r="D123" s="2" t="str">
        <f t="shared" si="0"/>
        <v>Error?</v>
      </c>
    </row>
    <row r="124" spans="1:4" x14ac:dyDescent="0.2">
      <c r="A124" s="5">
        <v>63</v>
      </c>
      <c r="B124" s="138">
        <f>'Assets-Liab 5-6'!D41</f>
        <v>317567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122008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122008</v>
      </c>
      <c r="D140" s="2" t="str">
        <f t="shared" si="1"/>
        <v>Error?</v>
      </c>
    </row>
    <row r="141" spans="1:4" x14ac:dyDescent="0.2">
      <c r="A141" s="5">
        <v>80</v>
      </c>
      <c r="B141" s="138">
        <f>'Assets-Liab 5-6'!E41</f>
        <v>122008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56419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56419</v>
      </c>
      <c r="D170" s="2" t="str">
        <f t="shared" si="1"/>
        <v>Error?</v>
      </c>
    </row>
    <row r="171" spans="1:4" x14ac:dyDescent="0.2">
      <c r="A171" s="5">
        <v>110</v>
      </c>
      <c r="B171" s="138">
        <f>'Assets-Liab 5-6'!F41</f>
        <v>56419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84057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59308</v>
      </c>
      <c r="D189" s="2" t="str">
        <f t="shared" si="1"/>
        <v>Error?</v>
      </c>
    </row>
    <row r="190" spans="1:4" x14ac:dyDescent="0.2">
      <c r="A190" s="5">
        <v>129</v>
      </c>
      <c r="B190" s="138">
        <f>'Assets-Liab 5-6'!G41</f>
        <v>84057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51157</v>
      </c>
      <c r="D273" s="2" t="str">
        <f t="shared" si="3"/>
        <v>Error?</v>
      </c>
    </row>
    <row r="274" spans="1:4" x14ac:dyDescent="0.2">
      <c r="A274" s="5">
        <v>213</v>
      </c>
      <c r="B274" s="138">
        <f>'Assets-Liab 5-6'!M17</f>
        <v>31985115</v>
      </c>
      <c r="D274" s="2" t="str">
        <f t="shared" si="3"/>
        <v>Error?</v>
      </c>
    </row>
    <row r="275" spans="1:4" x14ac:dyDescent="0.2">
      <c r="A275" s="5">
        <v>214</v>
      </c>
      <c r="B275" s="138">
        <f>'Assets-Liab 5-6'!M18</f>
        <v>173052</v>
      </c>
      <c r="D275" s="2" t="str">
        <f t="shared" si="3"/>
        <v>Error?</v>
      </c>
    </row>
    <row r="276" spans="1:4" x14ac:dyDescent="0.2">
      <c r="A276" s="5">
        <v>215</v>
      </c>
      <c r="B276" s="138">
        <f>'Assets-Liab 5-6'!M19</f>
        <v>797795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33007119</v>
      </c>
      <c r="C279" s="2" t="s">
        <v>594</v>
      </c>
      <c r="D279" s="2" t="str">
        <f t="shared" si="3"/>
        <v>Error?</v>
      </c>
    </row>
    <row r="280" spans="1:4" x14ac:dyDescent="0.2">
      <c r="A280" s="5">
        <v>219</v>
      </c>
      <c r="B280" s="138">
        <f>'Assets-Liab 5-6'!M40</f>
        <v>33007119</v>
      </c>
      <c r="D280" s="2" t="str">
        <f t="shared" si="3"/>
        <v>Error?</v>
      </c>
    </row>
    <row r="281" spans="1:4" x14ac:dyDescent="0.2">
      <c r="A281" s="5">
        <v>220</v>
      </c>
      <c r="B281" s="138">
        <f>'Assets-Liab 5-6'!M41</f>
        <v>33007119</v>
      </c>
      <c r="C281" s="2" t="s">
        <v>594</v>
      </c>
      <c r="D281" s="2" t="str">
        <f t="shared" si="3"/>
        <v>Error?</v>
      </c>
    </row>
    <row r="282" spans="1:4" x14ac:dyDescent="0.2">
      <c r="A282" s="5">
        <v>221</v>
      </c>
      <c r="B282" s="138">
        <f>'Assets-Liab 5-6'!N21</f>
        <v>122008</v>
      </c>
      <c r="D282" s="2" t="str">
        <f t="shared" si="3"/>
        <v>Error?</v>
      </c>
    </row>
    <row r="283" spans="1:4" x14ac:dyDescent="0.2">
      <c r="A283" s="5">
        <v>222</v>
      </c>
      <c r="B283" s="138">
        <f>'Assets-Liab 5-6'!N22</f>
        <v>43445036</v>
      </c>
      <c r="D283" s="2" t="str">
        <f t="shared" si="3"/>
        <v>Error?</v>
      </c>
    </row>
    <row r="284" spans="1:4" x14ac:dyDescent="0.2">
      <c r="A284" s="5">
        <v>223</v>
      </c>
      <c r="B284" s="138">
        <f>'Assets-Liab 5-6'!N23</f>
        <v>43567044</v>
      </c>
      <c r="C284" s="2" t="s">
        <v>594</v>
      </c>
      <c r="D284" s="2" t="str">
        <f t="shared" si="3"/>
        <v>Error?</v>
      </c>
    </row>
    <row r="285" spans="1:4" x14ac:dyDescent="0.2">
      <c r="A285" s="5">
        <v>224</v>
      </c>
      <c r="B285" s="138">
        <f>'Assets-Liab 5-6'!N36</f>
        <v>43567044</v>
      </c>
      <c r="D285" s="2" t="str">
        <f t="shared" si="3"/>
        <v>Error?</v>
      </c>
    </row>
    <row r="286" spans="1:4" x14ac:dyDescent="0.2">
      <c r="A286" s="10">
        <v>225</v>
      </c>
      <c r="D286" s="2" t="str">
        <f t="shared" si="3"/>
        <v>OK</v>
      </c>
    </row>
    <row r="287" spans="1:4" x14ac:dyDescent="0.2">
      <c r="A287" s="5">
        <v>226</v>
      </c>
      <c r="B287" s="138">
        <f>'Assets-Liab 5-6'!N37</f>
        <v>43567044</v>
      </c>
      <c r="C287" s="2" t="s">
        <v>594</v>
      </c>
      <c r="D287" s="2" t="str">
        <f t="shared" si="3"/>
        <v>Error?</v>
      </c>
    </row>
    <row r="288" spans="1:4" x14ac:dyDescent="0.2">
      <c r="A288" s="5">
        <v>227</v>
      </c>
      <c r="B288" s="138">
        <f>'Assets-Liab 5-6'!N41</f>
        <v>43567044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1767583</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1034331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251548</v>
      </c>
      <c r="D717" s="2" t="str">
        <f t="shared" si="10"/>
        <v>Error?</v>
      </c>
    </row>
    <row r="718" spans="1:4" x14ac:dyDescent="0.2">
      <c r="A718" s="5">
        <v>657</v>
      </c>
      <c r="B718" s="138">
        <f>'Expenditures 15-22'!C14</f>
        <v>179799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1895870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159785</v>
      </c>
      <c r="D722" s="2" t="str">
        <f t="shared" si="10"/>
        <v>Error?</v>
      </c>
    </row>
    <row r="723" spans="1:4" x14ac:dyDescent="0.2">
      <c r="A723" s="5">
        <v>662</v>
      </c>
      <c r="B723" s="138">
        <f>'Expenditures 15-22'!C38</f>
        <v>21917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181702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43117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43117</v>
      </c>
      <c r="C731" s="2" t="s">
        <v>594</v>
      </c>
      <c r="D731" s="2" t="str">
        <f t="shared" si="10"/>
        <v>Error?</v>
      </c>
    </row>
    <row r="732" spans="1:4" x14ac:dyDescent="0.2">
      <c r="A732" s="5">
        <v>671</v>
      </c>
      <c r="B732" s="138">
        <f>'Expenditures 15-22'!C49</f>
        <v>2950</v>
      </c>
      <c r="D732" s="2" t="str">
        <f t="shared" si="10"/>
        <v>Error?</v>
      </c>
    </row>
    <row r="733" spans="1:4" x14ac:dyDescent="0.2">
      <c r="A733" s="5">
        <v>672</v>
      </c>
      <c r="B733" s="138">
        <f>'Expenditures 15-22'!C50</f>
        <v>85762</v>
      </c>
      <c r="D733" s="2" t="str">
        <f t="shared" si="10"/>
        <v>Error?</v>
      </c>
    </row>
    <row r="734" spans="1:4" x14ac:dyDescent="0.2">
      <c r="A734" s="5">
        <v>673</v>
      </c>
      <c r="B734" s="138">
        <f>'Expenditures 15-22'!C53</f>
        <v>88712</v>
      </c>
      <c r="C734" s="2" t="s">
        <v>594</v>
      </c>
      <c r="D734" s="2" t="str">
        <f t="shared" si="10"/>
        <v>Error?</v>
      </c>
    </row>
    <row r="735" spans="1:4" x14ac:dyDescent="0.2">
      <c r="A735" s="5">
        <v>674</v>
      </c>
      <c r="B735" s="138">
        <f>'Expenditures 15-22'!C55</f>
        <v>140066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140066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30900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52656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83556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537153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2433023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353926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62875</v>
      </c>
      <c r="D775" s="2" t="str">
        <f t="shared" si="11"/>
        <v>Error?</v>
      </c>
    </row>
    <row r="776" spans="1:4" x14ac:dyDescent="0.2">
      <c r="A776" s="5">
        <v>715</v>
      </c>
      <c r="B776" s="138">
        <f>'Expenditures 15-22'!D14</f>
        <v>25047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607933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40394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40394</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8417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8417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303</v>
      </c>
      <c r="D791" s="2" t="str">
        <f t="shared" si="11"/>
        <v>Error?</v>
      </c>
    </row>
    <row r="792" spans="1:4" x14ac:dyDescent="0.2">
      <c r="A792" s="5">
        <v>731</v>
      </c>
      <c r="B792" s="138">
        <f>'Expenditures 15-22'!D53</f>
        <v>303</v>
      </c>
      <c r="C792" s="2" t="s">
        <v>594</v>
      </c>
      <c r="D792" s="2" t="str">
        <f t="shared" si="11"/>
        <v>Error?</v>
      </c>
    </row>
    <row r="793" spans="1:4" x14ac:dyDescent="0.2">
      <c r="A793" s="5">
        <v>732</v>
      </c>
      <c r="B793" s="138">
        <f>'Expenditures 15-22'!D55</f>
        <v>73129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73129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16877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25294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147537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755470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28815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190</v>
      </c>
      <c r="D833" s="2" t="str">
        <f t="shared" si="12"/>
        <v>Error?</v>
      </c>
    </row>
    <row r="834" spans="1:4" x14ac:dyDescent="0.2">
      <c r="A834" s="5">
        <v>773</v>
      </c>
      <c r="B834" s="138">
        <f>'Expenditures 15-22'!E14</f>
        <v>32585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64422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70</v>
      </c>
      <c r="D838" s="2" t="str">
        <f t="shared" si="12"/>
        <v>Error?</v>
      </c>
    </row>
    <row r="839" spans="1:4" x14ac:dyDescent="0.2">
      <c r="A839" s="5">
        <v>778</v>
      </c>
      <c r="B839" s="138">
        <f>'Expenditures 15-22'!E38</f>
        <v>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12143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12265</v>
      </c>
      <c r="C843" s="2" t="s">
        <v>594</v>
      </c>
      <c r="D843" s="2" t="str">
        <f t="shared" si="12"/>
        <v>Error?</v>
      </c>
    </row>
    <row r="844" spans="1:4" x14ac:dyDescent="0.2">
      <c r="A844" s="5">
        <v>783</v>
      </c>
      <c r="B844" s="138">
        <f>'Expenditures 15-22'!E44</f>
        <v>6970</v>
      </c>
      <c r="D844" s="2" t="str">
        <f t="shared" si="12"/>
        <v>Error?</v>
      </c>
    </row>
    <row r="845" spans="1:4" x14ac:dyDescent="0.2">
      <c r="A845" s="5">
        <v>784</v>
      </c>
      <c r="B845" s="138">
        <f>'Expenditures 15-22'!E45</f>
        <v>23308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30278</v>
      </c>
      <c r="C847" s="2" t="s">
        <v>594</v>
      </c>
      <c r="D847" s="2" t="str">
        <f t="shared" si="12"/>
        <v>Error?</v>
      </c>
    </row>
    <row r="848" spans="1:4" x14ac:dyDescent="0.2">
      <c r="A848" s="5">
        <v>787</v>
      </c>
      <c r="B848" s="138">
        <f>'Expenditures 15-22'!E49</f>
        <v>23280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23280</v>
      </c>
      <c r="C850" s="2" t="s">
        <v>594</v>
      </c>
      <c r="D850" s="2" t="str">
        <f t="shared" si="12"/>
        <v>Error?</v>
      </c>
    </row>
    <row r="851" spans="1:4" x14ac:dyDescent="0.2">
      <c r="A851" s="5">
        <v>790</v>
      </c>
      <c r="B851" s="138">
        <f>'Expenditures 15-22'!E55</f>
        <v>368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10885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10885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272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77348</v>
      </c>
      <c r="C871" s="2" t="s">
        <v>594</v>
      </c>
      <c r="D871" s="2" t="str">
        <f t="shared" si="12"/>
        <v>Error?</v>
      </c>
    </row>
    <row r="872" spans="1:4" x14ac:dyDescent="0.2">
      <c r="A872" s="5">
        <v>811</v>
      </c>
      <c r="B872" s="138">
        <f>'Expenditures 15-22'!E75</f>
        <v>12671</v>
      </c>
      <c r="D872" s="2" t="str">
        <f t="shared" si="12"/>
        <v>Error?</v>
      </c>
    </row>
    <row r="873" spans="1:4" x14ac:dyDescent="0.2">
      <c r="A873" s="5">
        <v>812</v>
      </c>
      <c r="B873" s="138">
        <f>'Expenditures 15-22'!E114</f>
        <v>245993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60921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11874</v>
      </c>
      <c r="D891" s="2" t="str">
        <f t="shared" si="12"/>
        <v>Error?</v>
      </c>
    </row>
    <row r="892" spans="1:4" x14ac:dyDescent="0.2">
      <c r="A892" s="5">
        <v>831</v>
      </c>
      <c r="B892" s="138">
        <f>'Expenditures 15-22'!F14</f>
        <v>5287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110029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4437</v>
      </c>
      <c r="D896" s="2" t="str">
        <f t="shared" si="13"/>
        <v>Error?</v>
      </c>
    </row>
    <row r="897" spans="1:4" x14ac:dyDescent="0.2">
      <c r="A897" s="5">
        <v>836</v>
      </c>
      <c r="B897" s="138">
        <f>'Expenditures 15-22'!F38</f>
        <v>677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5133</v>
      </c>
      <c r="C901" s="2" t="s">
        <v>594</v>
      </c>
      <c r="D901" s="2" t="str">
        <f t="shared" si="13"/>
        <v>Error?</v>
      </c>
    </row>
    <row r="902" spans="1:4" x14ac:dyDescent="0.2">
      <c r="A902" s="5">
        <v>841</v>
      </c>
      <c r="B902" s="138">
        <f>'Expenditures 15-22'!F44</f>
        <v>721</v>
      </c>
      <c r="D902" s="2" t="str">
        <f t="shared" si="13"/>
        <v>Error?</v>
      </c>
    </row>
    <row r="903" spans="1:4" x14ac:dyDescent="0.2">
      <c r="A903" s="5">
        <v>842</v>
      </c>
      <c r="B903" s="138">
        <f>'Expenditures 15-22'!F45</f>
        <v>26173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26894</v>
      </c>
      <c r="C905" s="2" t="s">
        <v>594</v>
      </c>
      <c r="D905" s="2" t="str">
        <f t="shared" si="13"/>
        <v>Error?</v>
      </c>
    </row>
    <row r="906" spans="1:4" x14ac:dyDescent="0.2">
      <c r="A906" s="5">
        <v>845</v>
      </c>
      <c r="B906" s="138">
        <f>'Expenditures 15-22'!F49</f>
        <v>335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335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104818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105175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137537</v>
      </c>
      <c r="C929" s="2" t="s">
        <v>594</v>
      </c>
      <c r="D929" s="2" t="str">
        <f t="shared" si="13"/>
        <v>Error?</v>
      </c>
    </row>
    <row r="930" spans="1:4" x14ac:dyDescent="0.2">
      <c r="A930" s="5">
        <v>869</v>
      </c>
      <c r="B930" s="138">
        <f>'Expenditures 15-22'!F75</f>
        <v>3468</v>
      </c>
      <c r="D930" s="2" t="str">
        <f t="shared" si="13"/>
        <v>Error?</v>
      </c>
    </row>
    <row r="931" spans="1:4" x14ac:dyDescent="0.2">
      <c r="A931" s="5">
        <v>870</v>
      </c>
      <c r="B931" s="138">
        <f>'Expenditures 15-22'!F114</f>
        <v>251034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7077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7077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5109</v>
      </c>
      <c r="D1022" s="2" t="str">
        <f t="shared" si="14"/>
        <v>Error?</v>
      </c>
    </row>
    <row r="1023" spans="1:4" x14ac:dyDescent="0.2">
      <c r="A1023" s="5">
        <v>962</v>
      </c>
      <c r="B1023" s="138">
        <f>'Expenditures 15-22'!H50</f>
        <v>369</v>
      </c>
      <c r="D1023" s="2" t="str">
        <f t="shared" ref="D1023:D1086" si="15">IF(ISBLANK(B1023),"OK",IF(A1023-B1023=0,"OK","Error?"))</f>
        <v>Error?</v>
      </c>
    </row>
    <row r="1024" spans="1:4" x14ac:dyDescent="0.2">
      <c r="A1024" s="5">
        <v>963</v>
      </c>
      <c r="B1024" s="138">
        <f>'Expenditures 15-22'!H53</f>
        <v>5478</v>
      </c>
      <c r="C1024" s="2" t="s">
        <v>594</v>
      </c>
      <c r="D1024" s="2" t="str">
        <f t="shared" si="15"/>
        <v>Error?</v>
      </c>
    </row>
    <row r="1025" spans="1:4" x14ac:dyDescent="0.2">
      <c r="A1025" s="5">
        <v>964</v>
      </c>
      <c r="B1025" s="138">
        <f>'Expenditures 15-22'!H55</f>
        <v>3617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3617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9095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52875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69047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1477993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326487</v>
      </c>
      <c r="C1105" s="2" t="s">
        <v>594</v>
      </c>
      <c r="D1105" s="2" t="str">
        <f t="shared" si="16"/>
        <v>Error?</v>
      </c>
    </row>
    <row r="1106" spans="1:4" x14ac:dyDescent="0.2">
      <c r="A1106" s="5">
        <v>1045</v>
      </c>
      <c r="B1106" s="138">
        <f>'Expenditures 15-22'!K14</f>
        <v>249795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2685331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204686</v>
      </c>
      <c r="C1110" s="2" t="s">
        <v>594</v>
      </c>
      <c r="D1110" s="2" t="str">
        <f t="shared" si="16"/>
        <v>Error?</v>
      </c>
    </row>
    <row r="1111" spans="1:4" x14ac:dyDescent="0.2">
      <c r="A1111" s="5">
        <v>1050</v>
      </c>
      <c r="B1111" s="138">
        <f>'Expenditures 15-22'!K38</f>
        <v>22646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12162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239494</v>
      </c>
      <c r="C1115" s="2" t="s">
        <v>594</v>
      </c>
      <c r="D1115" s="2" t="str">
        <f t="shared" si="16"/>
        <v>Error?</v>
      </c>
    </row>
    <row r="1116" spans="1:4" x14ac:dyDescent="0.2">
      <c r="A1116" s="5">
        <v>1055</v>
      </c>
      <c r="B1116" s="138">
        <f>'Expenditures 15-22'!K44</f>
        <v>7691</v>
      </c>
      <c r="C1116" s="2" t="s">
        <v>594</v>
      </c>
      <c r="D1116" s="2" t="str">
        <f t="shared" si="16"/>
        <v>Error?</v>
      </c>
    </row>
    <row r="1117" spans="1:4" x14ac:dyDescent="0.2">
      <c r="A1117" s="5">
        <v>1056</v>
      </c>
      <c r="B1117" s="138">
        <f>'Expenditures 15-22'!K45</f>
        <v>101015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108706</v>
      </c>
      <c r="C1119" s="2" t="s">
        <v>594</v>
      </c>
      <c r="D1119" s="2" t="str">
        <f t="shared" si="16"/>
        <v>Error?</v>
      </c>
    </row>
    <row r="1120" spans="1:4" x14ac:dyDescent="0.2">
      <c r="A1120" s="5">
        <v>1059</v>
      </c>
      <c r="B1120" s="138">
        <f>'Expenditures 15-22'!K49</f>
        <v>31674</v>
      </c>
      <c r="C1120" s="2" t="s">
        <v>594</v>
      </c>
      <c r="D1120" s="2" t="str">
        <f t="shared" si="16"/>
        <v>Error?</v>
      </c>
    </row>
    <row r="1121" spans="1:4" x14ac:dyDescent="0.2">
      <c r="A1121" s="5">
        <v>1060</v>
      </c>
      <c r="B1121" s="138">
        <f>'Expenditures 15-22'!K50</f>
        <v>86434</v>
      </c>
      <c r="C1121" s="2" t="s">
        <v>594</v>
      </c>
      <c r="D1121" s="2" t="str">
        <f t="shared" si="16"/>
        <v>Error?</v>
      </c>
    </row>
    <row r="1122" spans="1:4" x14ac:dyDescent="0.2">
      <c r="A1122" s="5">
        <v>1061</v>
      </c>
      <c r="B1122" s="138">
        <f>'Expenditures 15-22'!K53</f>
        <v>118108</v>
      </c>
      <c r="C1122" s="2" t="s">
        <v>594</v>
      </c>
      <c r="D1122" s="2" t="str">
        <f t="shared" si="16"/>
        <v>Error?</v>
      </c>
    </row>
    <row r="1123" spans="1:4" x14ac:dyDescent="0.2">
      <c r="A1123" s="5">
        <v>1062</v>
      </c>
      <c r="B1123" s="138">
        <f>'Expenditures 15-22'!K55</f>
        <v>217180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217180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50559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174351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224910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272</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272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908670</v>
      </c>
      <c r="C1143" s="2" t="s">
        <v>594</v>
      </c>
      <c r="D1143" s="2" t="str">
        <f t="shared" si="16"/>
        <v>Error?</v>
      </c>
    </row>
    <row r="1144" spans="1:4" x14ac:dyDescent="0.2">
      <c r="A1144" s="5">
        <v>1083</v>
      </c>
      <c r="B1144" s="138">
        <f>'Expenditures 15-22'!K75</f>
        <v>16139</v>
      </c>
      <c r="C1144" s="2" t="s">
        <v>594</v>
      </c>
      <c r="D1144" s="2" t="str">
        <f t="shared" si="16"/>
        <v>Error?</v>
      </c>
    </row>
    <row r="1145" spans="1:4" x14ac:dyDescent="0.2">
      <c r="A1145" s="5">
        <v>1084</v>
      </c>
      <c r="B1145" s="138">
        <f>'Expenditures 15-22'!K102</f>
        <v>144427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3754567</v>
      </c>
      <c r="C1152" s="2" t="s">
        <v>594</v>
      </c>
      <c r="D1152" s="2" t="str">
        <f t="shared" si="17"/>
        <v>Error?</v>
      </c>
    </row>
    <row r="1153" spans="1:4" x14ac:dyDescent="0.2">
      <c r="A1153" s="5">
        <v>1092</v>
      </c>
      <c r="B1153" s="138">
        <f>'Expenditures 15-22'!K115</f>
        <v>319183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210816</v>
      </c>
      <c r="D1221" s="2" t="str">
        <f t="shared" si="18"/>
        <v>Error?</v>
      </c>
    </row>
    <row r="1222" spans="1:4" x14ac:dyDescent="0.2">
      <c r="A1222" s="10">
        <v>1161</v>
      </c>
      <c r="D1222" s="2" t="str">
        <f t="shared" si="18"/>
        <v>OK</v>
      </c>
    </row>
    <row r="1223" spans="1:4" x14ac:dyDescent="0.2">
      <c r="A1223" s="5">
        <v>1162</v>
      </c>
      <c r="B1223" s="138">
        <f>'Expenditures 15-22'!C127</f>
        <v>210816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210816</v>
      </c>
      <c r="C1225" s="2" t="s">
        <v>594</v>
      </c>
      <c r="D1225" s="2" t="str">
        <f t="shared" si="18"/>
        <v>Error?</v>
      </c>
    </row>
    <row r="1226" spans="1:4" x14ac:dyDescent="0.2">
      <c r="A1226" s="5">
        <v>1165</v>
      </c>
      <c r="B1226" s="138">
        <f>'Expenditures 15-22'!C151</f>
        <v>210816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55445</v>
      </c>
      <c r="D1229" s="2" t="str">
        <f t="shared" si="18"/>
        <v>Error?</v>
      </c>
    </row>
    <row r="1230" spans="1:4" x14ac:dyDescent="0.2">
      <c r="A1230" s="10">
        <v>1169</v>
      </c>
      <c r="D1230" s="2" t="str">
        <f t="shared" si="18"/>
        <v>OK</v>
      </c>
    </row>
    <row r="1231" spans="1:4" x14ac:dyDescent="0.2">
      <c r="A1231" s="5">
        <v>1170</v>
      </c>
      <c r="B1231" s="138">
        <f>'Expenditures 15-22'!D127</f>
        <v>55445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55445</v>
      </c>
      <c r="C1233" s="2" t="s">
        <v>594</v>
      </c>
      <c r="D1233" s="2" t="str">
        <f t="shared" si="18"/>
        <v>Error?</v>
      </c>
    </row>
    <row r="1234" spans="1:4" x14ac:dyDescent="0.2">
      <c r="A1234" s="5">
        <v>1173</v>
      </c>
      <c r="B1234" s="138">
        <f>'Expenditures 15-22'!D151</f>
        <v>55445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54375</v>
      </c>
      <c r="D1237" s="2" t="str">
        <f t="shared" si="18"/>
        <v>Error?</v>
      </c>
    </row>
    <row r="1238" spans="1:4" x14ac:dyDescent="0.2">
      <c r="A1238" s="10">
        <v>1177</v>
      </c>
      <c r="D1238" s="2" t="str">
        <f t="shared" si="18"/>
        <v>OK</v>
      </c>
    </row>
    <row r="1239" spans="1:4" x14ac:dyDescent="0.2">
      <c r="A1239" s="5">
        <v>1178</v>
      </c>
      <c r="B1239" s="138">
        <f>'Expenditures 15-22'!E127</f>
        <v>54375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54375</v>
      </c>
      <c r="C1241" s="2" t="s">
        <v>594</v>
      </c>
      <c r="D1241" s="2" t="str">
        <f t="shared" si="18"/>
        <v>Error?</v>
      </c>
    </row>
    <row r="1242" spans="1:4" x14ac:dyDescent="0.2">
      <c r="A1242" s="5">
        <v>1181</v>
      </c>
      <c r="B1242" s="138">
        <f>'Expenditures 15-22'!E151</f>
        <v>54375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140859</v>
      </c>
      <c r="D1245" s="2" t="str">
        <f t="shared" si="18"/>
        <v>Error?</v>
      </c>
    </row>
    <row r="1246" spans="1:4" x14ac:dyDescent="0.2">
      <c r="A1246" s="10">
        <v>1185</v>
      </c>
      <c r="D1246" s="2" t="str">
        <f t="shared" si="18"/>
        <v>OK</v>
      </c>
    </row>
    <row r="1247" spans="1:4" x14ac:dyDescent="0.2">
      <c r="A1247" s="5">
        <v>1186</v>
      </c>
      <c r="B1247" s="138">
        <f>'Expenditures 15-22'!F127</f>
        <v>140859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140859</v>
      </c>
      <c r="C1249" s="2" t="s">
        <v>594</v>
      </c>
      <c r="D1249" s="2" t="str">
        <f t="shared" si="18"/>
        <v>Error?</v>
      </c>
    </row>
    <row r="1250" spans="1:4" x14ac:dyDescent="0.2">
      <c r="A1250" s="5">
        <v>1189</v>
      </c>
      <c r="B1250" s="138">
        <f>'Expenditures 15-22'!F151</f>
        <v>140859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34900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34900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34900</v>
      </c>
      <c r="C1258" s="2" t="s">
        <v>594</v>
      </c>
      <c r="D1258" s="2" t="str">
        <f t="shared" si="18"/>
        <v>Error?</v>
      </c>
    </row>
    <row r="1259" spans="1:4" x14ac:dyDescent="0.2">
      <c r="A1259" s="5">
        <v>1198</v>
      </c>
      <c r="B1259" s="138">
        <f>'Expenditures 15-22'!G151</f>
        <v>34900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496395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496395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496395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496395</v>
      </c>
      <c r="C1288" s="2" t="s">
        <v>594</v>
      </c>
      <c r="D1288" s="2" t="str">
        <f t="shared" si="19"/>
        <v>Error?</v>
      </c>
    </row>
    <row r="1289" spans="1:4" x14ac:dyDescent="0.2">
      <c r="A1289" s="5">
        <v>1228</v>
      </c>
      <c r="B1289" s="138">
        <f>'Expenditures 15-22'!K152</f>
        <v>96809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1319659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1455000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2776159</v>
      </c>
      <c r="C1317" s="2" t="s">
        <v>594</v>
      </c>
      <c r="D1317" s="2" t="str">
        <f t="shared" si="19"/>
        <v>Error?</v>
      </c>
    </row>
    <row r="1318" spans="1:4" x14ac:dyDescent="0.2">
      <c r="A1318" s="5">
        <v>1257</v>
      </c>
      <c r="B1318" s="138">
        <f>'Expenditures 15-22'!H174</f>
        <v>2776159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1319659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1455000</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2776159</v>
      </c>
      <c r="C1331" s="2" t="s">
        <v>594</v>
      </c>
      <c r="D1331" s="2" t="str">
        <f t="shared" si="19"/>
        <v>Error?</v>
      </c>
    </row>
    <row r="1332" spans="1:4" x14ac:dyDescent="0.2">
      <c r="A1332" s="5">
        <v>1271</v>
      </c>
      <c r="B1332" s="138">
        <f>'Expenditures 15-22'!K174</f>
        <v>2776159</v>
      </c>
      <c r="C1332" s="2" t="s">
        <v>594</v>
      </c>
      <c r="D1332" s="2" t="str">
        <f t="shared" si="19"/>
        <v>Error?</v>
      </c>
    </row>
    <row r="1333" spans="1:4" x14ac:dyDescent="0.2">
      <c r="A1333" s="5">
        <v>1272</v>
      </c>
      <c r="B1333" s="138">
        <f>'Expenditures 15-22'!K175</f>
        <v>53586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147716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147716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147716</v>
      </c>
      <c r="C1353" s="2" t="s">
        <v>594</v>
      </c>
      <c r="D1353" s="2" t="str">
        <f t="shared" si="20"/>
        <v>Error?</v>
      </c>
    </row>
    <row r="1354" spans="1:4" x14ac:dyDescent="0.2">
      <c r="A1354" s="5">
        <v>1293</v>
      </c>
      <c r="B1354" s="138">
        <f>'Expenditures 15-22'!F182</f>
        <v>4692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4692</v>
      </c>
      <c r="C1358" s="2" t="s">
        <v>594</v>
      </c>
      <c r="D1358" s="2" t="str">
        <f t="shared" si="20"/>
        <v>Error?</v>
      </c>
    </row>
    <row r="1359" spans="1:4" x14ac:dyDescent="0.2">
      <c r="A1359" s="5">
        <v>1298</v>
      </c>
      <c r="B1359" s="138">
        <f>'Expenditures 15-22'!F210</f>
        <v>4692</v>
      </c>
      <c r="C1359" s="2" t="s">
        <v>594</v>
      </c>
      <c r="D1359" s="2" t="str">
        <f t="shared" si="20"/>
        <v>Error?</v>
      </c>
    </row>
    <row r="1360" spans="1:4" x14ac:dyDescent="0.2">
      <c r="A1360" s="5">
        <v>1299</v>
      </c>
      <c r="B1360" s="138">
        <f>'Expenditures 15-22'!G182</f>
        <v>20253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20253</v>
      </c>
      <c r="C1364" s="2" t="s">
        <v>594</v>
      </c>
      <c r="D1364" s="2" t="str">
        <f t="shared" si="20"/>
        <v>Error?</v>
      </c>
    </row>
    <row r="1365" spans="1:4" x14ac:dyDescent="0.2">
      <c r="A1365" s="5">
        <v>1304</v>
      </c>
      <c r="B1365" s="138">
        <f>'Expenditures 15-22'!G210</f>
        <v>20253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7975</v>
      </c>
      <c r="C1375" s="2" t="s">
        <v>594</v>
      </c>
      <c r="D1375" s="2" t="str">
        <f t="shared" si="20"/>
        <v>Error?</v>
      </c>
    </row>
    <row r="1376" spans="1:4" x14ac:dyDescent="0.2">
      <c r="A1376" s="5">
        <v>1315</v>
      </c>
      <c r="B1376" s="138">
        <f>'Expenditures 15-22'!H210</f>
        <v>7975</v>
      </c>
      <c r="C1376" s="2" t="s">
        <v>594</v>
      </c>
      <c r="D1376" s="2" t="str">
        <f t="shared" si="20"/>
        <v>Error?</v>
      </c>
    </row>
    <row r="1377" spans="1:4" x14ac:dyDescent="0.2">
      <c r="A1377" s="5">
        <v>1316</v>
      </c>
      <c r="B1377" s="138">
        <f>'Expenditures 15-22'!K182</f>
        <v>172661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172661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7975</v>
      </c>
      <c r="C1387" s="2" t="s">
        <v>594</v>
      </c>
      <c r="D1387" s="2" t="str">
        <f t="shared" si="20"/>
        <v>Error?</v>
      </c>
    </row>
    <row r="1388" spans="1:4" x14ac:dyDescent="0.2">
      <c r="A1388" s="5">
        <v>1327</v>
      </c>
      <c r="B1388" s="138">
        <f>'Expenditures 15-22'!K210</f>
        <v>180636</v>
      </c>
      <c r="C1388" s="2" t="s">
        <v>594</v>
      </c>
      <c r="D1388" s="2" t="str">
        <f t="shared" si="20"/>
        <v>Error?</v>
      </c>
    </row>
    <row r="1389" spans="1:4" x14ac:dyDescent="0.2">
      <c r="A1389" s="5">
        <v>1328</v>
      </c>
      <c r="B1389" s="138">
        <f>'Expenditures 15-22'!K211</f>
        <v>26653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2438</v>
      </c>
      <c r="D1407" s="2" t="str">
        <f t="shared" ref="D1407:D1470" si="21">IF(ISBLANK(B1407),"OK",IF(A1407-B1407=0,"OK","Error?"))</f>
        <v>Error?</v>
      </c>
    </row>
    <row r="1408" spans="1:4" x14ac:dyDescent="0.2">
      <c r="A1408" s="5">
        <v>1347</v>
      </c>
      <c r="B1408" s="138">
        <f>'Expenditures 15-22'!D223</f>
        <v>8867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50695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7747</v>
      </c>
      <c r="D1412" s="2" t="str">
        <f t="shared" si="21"/>
        <v>Error?</v>
      </c>
    </row>
    <row r="1413" spans="1:4" x14ac:dyDescent="0.2">
      <c r="A1413" s="5">
        <v>1352</v>
      </c>
      <c r="B1413" s="138">
        <f>'Expenditures 15-22'!D234</f>
        <v>7579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15326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7431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7431</v>
      </c>
      <c r="C1421" s="2" t="s">
        <v>594</v>
      </c>
      <c r="D1421" s="2" t="str">
        <f t="shared" si="21"/>
        <v>Error?</v>
      </c>
    </row>
    <row r="1422" spans="1:4" x14ac:dyDescent="0.2">
      <c r="A1422" s="5">
        <v>1361</v>
      </c>
      <c r="B1422" s="138">
        <f>'Expenditures 15-22'!D245</f>
        <v>287</v>
      </c>
      <c r="D1422" s="2" t="str">
        <f t="shared" si="21"/>
        <v>Error?</v>
      </c>
    </row>
    <row r="1423" spans="1:4" x14ac:dyDescent="0.2">
      <c r="A1423" s="5">
        <v>1362</v>
      </c>
      <c r="B1423" s="138">
        <f>'Expenditures 15-22'!D246</f>
        <v>3937</v>
      </c>
      <c r="D1423" s="2" t="str">
        <f t="shared" si="21"/>
        <v>Error?</v>
      </c>
    </row>
    <row r="1424" spans="1:4" x14ac:dyDescent="0.2">
      <c r="A1424" s="5">
        <v>1363</v>
      </c>
      <c r="B1424" s="138">
        <f>'Expenditures 15-22'!D257</f>
        <v>4224</v>
      </c>
      <c r="C1424" s="2" t="s">
        <v>594</v>
      </c>
      <c r="D1424" s="2" t="str">
        <f t="shared" si="21"/>
        <v>Error?</v>
      </c>
    </row>
    <row r="1425" spans="1:4" x14ac:dyDescent="0.2">
      <c r="A1425" s="5">
        <v>1364</v>
      </c>
      <c r="B1425" s="138">
        <f>'Expenditures 15-22'!D259</f>
        <v>10445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10445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39635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9269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56001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93427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144122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2438</v>
      </c>
      <c r="C1471" s="2" t="s">
        <v>594</v>
      </c>
      <c r="D1471" s="2" t="str">
        <f t="shared" ref="D1471:D1534" si="22">IF(ISBLANK(B1471),"OK",IF(A1471-B1471=0,"OK","Error?"))</f>
        <v>Error?</v>
      </c>
    </row>
    <row r="1472" spans="1:4" x14ac:dyDescent="0.2">
      <c r="A1472" s="5">
        <v>1411</v>
      </c>
      <c r="B1472" s="138">
        <f>'Expenditures 15-22'!K223</f>
        <v>8867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50695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7747</v>
      </c>
      <c r="C1476" s="2" t="s">
        <v>594</v>
      </c>
      <c r="D1476" s="2" t="str">
        <f t="shared" si="22"/>
        <v>Error?</v>
      </c>
    </row>
    <row r="1477" spans="1:4" x14ac:dyDescent="0.2">
      <c r="A1477" s="5">
        <v>1416</v>
      </c>
      <c r="B1477" s="138">
        <f>'Expenditures 15-22'!K234</f>
        <v>7579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15326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7431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7431</v>
      </c>
      <c r="C1485" s="2" t="s">
        <v>594</v>
      </c>
      <c r="D1485" s="2" t="str">
        <f t="shared" si="22"/>
        <v>Error?</v>
      </c>
    </row>
    <row r="1486" spans="1:4" x14ac:dyDescent="0.2">
      <c r="A1486" s="5">
        <v>1425</v>
      </c>
      <c r="B1486" s="138">
        <f>'Expenditures 15-22'!K245</f>
        <v>287</v>
      </c>
      <c r="C1486" s="2" t="s">
        <v>594</v>
      </c>
      <c r="D1486" s="2" t="str">
        <f t="shared" si="22"/>
        <v>Error?</v>
      </c>
    </row>
    <row r="1487" spans="1:4" x14ac:dyDescent="0.2">
      <c r="A1487" s="5">
        <v>1426</v>
      </c>
      <c r="B1487" s="138">
        <f>'Expenditures 15-22'!K246</f>
        <v>3937</v>
      </c>
      <c r="C1487" s="2" t="s">
        <v>594</v>
      </c>
      <c r="D1487" s="2" t="str">
        <f t="shared" si="22"/>
        <v>Error?</v>
      </c>
    </row>
    <row r="1488" spans="1:4" x14ac:dyDescent="0.2">
      <c r="A1488" s="5">
        <v>1427</v>
      </c>
      <c r="B1488" s="138">
        <f>'Expenditures 15-22'!K257</f>
        <v>4224</v>
      </c>
      <c r="C1488" s="2" t="s">
        <v>594</v>
      </c>
      <c r="D1488" s="2" t="str">
        <f t="shared" si="22"/>
        <v>Error?</v>
      </c>
    </row>
    <row r="1489" spans="1:4" x14ac:dyDescent="0.2">
      <c r="A1489" s="5">
        <v>1428</v>
      </c>
      <c r="B1489" s="138">
        <f>'Expenditures 15-22'!K259</f>
        <v>10445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10445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7097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39635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9269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56001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93427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144122</v>
      </c>
      <c r="C1517" s="2" t="s">
        <v>594</v>
      </c>
      <c r="D1517" s="2" t="str">
        <f t="shared" si="22"/>
        <v>Error?</v>
      </c>
    </row>
    <row r="1518" spans="1:4" x14ac:dyDescent="0.2">
      <c r="A1518" s="5">
        <v>1457</v>
      </c>
      <c r="B1518" s="138">
        <f>'Expenditures 15-22'!K296</f>
        <v>24700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338877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658060</v>
      </c>
      <c r="C1630" s="2" t="s">
        <v>594</v>
      </c>
      <c r="D1630" s="2" t="str">
        <f t="shared" si="24"/>
        <v>Error?</v>
      </c>
    </row>
    <row r="1631" spans="1:4" x14ac:dyDescent="0.2">
      <c r="A1631" s="5">
        <v>1570</v>
      </c>
      <c r="B1631" s="138">
        <f>'Acct Summary 7-8'!D79</f>
        <v>95758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317567</v>
      </c>
      <c r="C1644" s="2" t="s">
        <v>594</v>
      </c>
      <c r="D1644" s="2" t="str">
        <f t="shared" si="24"/>
        <v>Error?</v>
      </c>
    </row>
    <row r="1645" spans="1:4" x14ac:dyDescent="0.2">
      <c r="A1645" s="5">
        <v>1584</v>
      </c>
      <c r="B1645" s="138">
        <f>'Acct Summary 7-8'!E79</f>
        <v>68422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122008</v>
      </c>
      <c r="C1658" s="2" t="s">
        <v>594</v>
      </c>
      <c r="D1658" s="2" t="str">
        <f t="shared" si="24"/>
        <v>Error?</v>
      </c>
    </row>
    <row r="1659" spans="1:4" x14ac:dyDescent="0.2">
      <c r="A1659" s="5">
        <v>1598</v>
      </c>
      <c r="B1659" s="138">
        <f>'Acct Summary 7-8'!F79</f>
        <v>154766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56419</v>
      </c>
      <c r="C1672" s="2" t="s">
        <v>594</v>
      </c>
      <c r="D1672" s="2" t="str">
        <f t="shared" si="25"/>
        <v>Error?</v>
      </c>
    </row>
    <row r="1673" spans="1:4" x14ac:dyDescent="0.2">
      <c r="A1673" s="5">
        <v>1612</v>
      </c>
      <c r="B1673" s="138">
        <f>'Acct Summary 7-8'!G79</f>
        <v>59357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84057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1891660</v>
      </c>
      <c r="C1744" s="2" t="s">
        <v>594</v>
      </c>
      <c r="D1744" s="2" t="str">
        <f t="shared" si="26"/>
        <v>Error?</v>
      </c>
    </row>
    <row r="1745" spans="1:5" x14ac:dyDescent="0.2">
      <c r="A1745" s="5">
        <v>1684</v>
      </c>
      <c r="B1745" s="138">
        <f>'Tax Sched 23'!B5</f>
        <v>293746</v>
      </c>
      <c r="C1745" s="2" t="s">
        <v>594</v>
      </c>
      <c r="D1745" s="2" t="str">
        <f t="shared" si="26"/>
        <v>Error?</v>
      </c>
    </row>
    <row r="1746" spans="1:5" x14ac:dyDescent="0.2">
      <c r="A1746" s="5">
        <v>1685</v>
      </c>
      <c r="B1746" s="138">
        <f>'Tax Sched 23'!B6</f>
        <v>2826787</v>
      </c>
      <c r="C1746" s="2" t="s">
        <v>594</v>
      </c>
      <c r="D1746" s="2" t="str">
        <f t="shared" si="26"/>
        <v>Error?</v>
      </c>
    </row>
    <row r="1747" spans="1:5" x14ac:dyDescent="0.2">
      <c r="A1747" s="5">
        <v>1686</v>
      </c>
      <c r="B1747" s="138">
        <f>'Tax Sched 23'!B7</f>
        <v>140307</v>
      </c>
      <c r="C1747" s="2" t="s">
        <v>594</v>
      </c>
      <c r="D1747" s="2" t="str">
        <f t="shared" si="26"/>
        <v>Error?</v>
      </c>
    </row>
    <row r="1748" spans="1:5" x14ac:dyDescent="0.2">
      <c r="A1748" s="5">
        <v>1687</v>
      </c>
      <c r="B1748" s="138">
        <f>'Tax Sched 23'!B8</f>
        <v>79764</v>
      </c>
      <c r="C1748" s="2" t="s">
        <v>594</v>
      </c>
      <c r="D1748" s="2" t="str">
        <f t="shared" si="26"/>
        <v>Error?</v>
      </c>
    </row>
    <row r="1749" spans="1:5" x14ac:dyDescent="0.2">
      <c r="A1749" s="5">
        <v>1688</v>
      </c>
      <c r="B1749" s="138">
        <f>'Tax Sched 23'!B10</f>
        <v>58751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388853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23505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5846888</v>
      </c>
      <c r="C1759" s="2" t="s">
        <v>594</v>
      </c>
      <c r="D1759" s="2" t="str">
        <f t="shared" si="26"/>
        <v>Error?</v>
      </c>
    </row>
    <row r="1760" spans="1:5" x14ac:dyDescent="0.2">
      <c r="A1760" s="5">
        <v>1699</v>
      </c>
      <c r="B1760" s="138">
        <f>'Tax Sched 23'!D4</f>
        <v>1891660</v>
      </c>
      <c r="C1760" s="2" t="s">
        <v>594</v>
      </c>
      <c r="D1760" s="2" t="str">
        <f t="shared" si="26"/>
        <v>Error?</v>
      </c>
    </row>
    <row r="1761" spans="1:5" x14ac:dyDescent="0.2">
      <c r="A1761" s="5">
        <v>1700</v>
      </c>
      <c r="B1761" s="138">
        <f>'Tax Sched 23'!D5</f>
        <v>293746</v>
      </c>
      <c r="C1761" s="2" t="s">
        <v>594</v>
      </c>
      <c r="D1761" s="2" t="str">
        <f t="shared" si="26"/>
        <v>Error?</v>
      </c>
    </row>
    <row r="1762" spans="1:5" s="8" customFormat="1" x14ac:dyDescent="0.2">
      <c r="A1762" s="5">
        <v>1701</v>
      </c>
      <c r="B1762" s="138">
        <f>'Tax Sched 23'!D6</f>
        <v>2826787</v>
      </c>
      <c r="C1762" s="2" t="s">
        <v>594</v>
      </c>
      <c r="D1762" s="2" t="str">
        <f t="shared" si="26"/>
        <v>Error?</v>
      </c>
      <c r="E1762" s="9"/>
    </row>
    <row r="1763" spans="1:5" x14ac:dyDescent="0.2">
      <c r="A1763" s="5">
        <v>1702</v>
      </c>
      <c r="B1763" s="138">
        <f>'Tax Sched 23'!D7</f>
        <v>140307</v>
      </c>
      <c r="C1763" s="2" t="s">
        <v>594</v>
      </c>
      <c r="D1763" s="2" t="str">
        <f t="shared" si="26"/>
        <v>Error?</v>
      </c>
    </row>
    <row r="1764" spans="1:5" x14ac:dyDescent="0.2">
      <c r="A1764" s="5">
        <v>1703</v>
      </c>
      <c r="B1764" s="138">
        <f>'Tax Sched 23'!D8</f>
        <v>79764</v>
      </c>
      <c r="C1764" s="2" t="s">
        <v>594</v>
      </c>
      <c r="D1764" s="2" t="str">
        <f t="shared" si="26"/>
        <v>Error?</v>
      </c>
    </row>
    <row r="1765" spans="1:5" x14ac:dyDescent="0.2">
      <c r="A1765" s="5">
        <v>1704</v>
      </c>
      <c r="B1765" s="138">
        <f>'Tax Sched 23'!D10</f>
        <v>58751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388853</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23505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5846888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1954033</v>
      </c>
      <c r="C1792" s="2" t="s">
        <v>594</v>
      </c>
      <c r="D1792" s="2" t="str">
        <f t="shared" si="27"/>
        <v>Error?</v>
      </c>
    </row>
    <row r="1793" spans="1:4" x14ac:dyDescent="0.2">
      <c r="A1793" s="5">
        <v>1732</v>
      </c>
      <c r="B1793" s="138">
        <f>'Tax Sched 23'!F5</f>
        <v>303421</v>
      </c>
      <c r="C1793" s="2" t="s">
        <v>594</v>
      </c>
      <c r="D1793" s="2" t="str">
        <f t="shared" si="27"/>
        <v>Error?</v>
      </c>
    </row>
    <row r="1794" spans="1:4" x14ac:dyDescent="0.2">
      <c r="A1794" s="5">
        <v>1733</v>
      </c>
      <c r="B1794" s="138">
        <f>'Tax Sched 23'!F6</f>
        <v>2571059</v>
      </c>
      <c r="C1794" s="2" t="s">
        <v>594</v>
      </c>
      <c r="D1794" s="2" t="str">
        <f t="shared" si="27"/>
        <v>Error?</v>
      </c>
    </row>
    <row r="1795" spans="1:4" x14ac:dyDescent="0.2">
      <c r="A1795" s="5">
        <v>1734</v>
      </c>
      <c r="B1795" s="138">
        <f>'Tax Sched 23'!F7</f>
        <v>145642</v>
      </c>
      <c r="C1795" s="2" t="s">
        <v>594</v>
      </c>
      <c r="D1795" s="2" t="str">
        <f t="shared" si="27"/>
        <v>Error?</v>
      </c>
    </row>
    <row r="1796" spans="1:4" x14ac:dyDescent="0.2">
      <c r="A1796" s="5">
        <v>1735</v>
      </c>
      <c r="B1796" s="138">
        <f>'Tax Sched 23'!F8</f>
        <v>80006</v>
      </c>
      <c r="C1796" s="2" t="s">
        <v>594</v>
      </c>
      <c r="D1796" s="2" t="str">
        <f t="shared" si="27"/>
        <v>Error?</v>
      </c>
    </row>
    <row r="1797" spans="1:4" x14ac:dyDescent="0.2">
      <c r="A1797" s="5">
        <v>1736</v>
      </c>
      <c r="B1797" s="138">
        <f>'Tax Sched 23'!F10</f>
        <v>60684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390006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24274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5674828</v>
      </c>
      <c r="C1807" s="2" t="s">
        <v>594</v>
      </c>
      <c r="D1807" s="2" t="str">
        <f t="shared" si="27"/>
        <v>Error?</v>
      </c>
    </row>
    <row r="1808" spans="1:4" x14ac:dyDescent="0.2">
      <c r="A1808" s="5">
        <v>1747</v>
      </c>
      <c r="B1808" s="138">
        <f>'Tax Sched 23'!E4</f>
        <v>1954033</v>
      </c>
      <c r="D1808" s="2" t="str">
        <f t="shared" si="27"/>
        <v>Error?</v>
      </c>
    </row>
    <row r="1809" spans="1:4" x14ac:dyDescent="0.2">
      <c r="A1809" s="5">
        <v>1748</v>
      </c>
      <c r="B1809" s="138">
        <f>'Tax Sched 23'!E5</f>
        <v>303421</v>
      </c>
      <c r="D1809" s="2" t="str">
        <f t="shared" si="27"/>
        <v>Error?</v>
      </c>
    </row>
    <row r="1810" spans="1:4" x14ac:dyDescent="0.2">
      <c r="A1810" s="5">
        <v>1749</v>
      </c>
      <c r="B1810" s="138">
        <f>'Tax Sched 23'!E6</f>
        <v>2571059</v>
      </c>
      <c r="D1810" s="2" t="str">
        <f t="shared" si="27"/>
        <v>Error?</v>
      </c>
    </row>
    <row r="1811" spans="1:4" x14ac:dyDescent="0.2">
      <c r="A1811" s="5">
        <v>1750</v>
      </c>
      <c r="B1811" s="138">
        <f>'Tax Sched 23'!E7</f>
        <v>145642</v>
      </c>
      <c r="D1811" s="2" t="str">
        <f t="shared" si="27"/>
        <v>Error?</v>
      </c>
    </row>
    <row r="1812" spans="1:4" x14ac:dyDescent="0.2">
      <c r="A1812" s="5">
        <v>1751</v>
      </c>
      <c r="B1812" s="138">
        <f>'Tax Sched 23'!E8</f>
        <v>80006</v>
      </c>
      <c r="D1812" s="2" t="str">
        <f t="shared" si="27"/>
        <v>Error?</v>
      </c>
    </row>
    <row r="1813" spans="1:4" x14ac:dyDescent="0.2">
      <c r="A1813" s="5">
        <v>1752</v>
      </c>
      <c r="B1813" s="138">
        <f>'Tax Sched 23'!E10</f>
        <v>60684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390006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24274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5674828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36612181</v>
      </c>
      <c r="C1939" s="2" t="s">
        <v>594</v>
      </c>
      <c r="D1939" s="2" t="str">
        <f t="shared" si="29"/>
        <v>Error?</v>
      </c>
    </row>
    <row r="1940" spans="1:5" x14ac:dyDescent="0.2">
      <c r="A1940" s="5">
        <v>1879</v>
      </c>
      <c r="B1940" s="138">
        <f>'Short-Term Long-Term Debt 24'!F49</f>
        <v>40440000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23505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23505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23505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51157</v>
      </c>
      <c r="D2008" s="2" t="str">
        <f t="shared" si="30"/>
        <v>Error?</v>
      </c>
    </row>
    <row r="2009" spans="1:4" x14ac:dyDescent="0.2">
      <c r="A2009" s="5">
        <v>1948</v>
      </c>
      <c r="B2009" s="138">
        <f>'Cap Outlay Deprec 26'!C8</f>
        <v>31985115</v>
      </c>
      <c r="D2009" s="2" t="str">
        <f t="shared" si="30"/>
        <v>Error?</v>
      </c>
    </row>
    <row r="2010" spans="1:4" x14ac:dyDescent="0.2">
      <c r="A2010" s="5">
        <v>1949</v>
      </c>
      <c r="B2010" s="138">
        <f>'Cap Outlay Deprec 26'!C10</f>
        <v>139952</v>
      </c>
      <c r="D2010" s="2" t="str">
        <f t="shared" si="30"/>
        <v>Error?</v>
      </c>
    </row>
    <row r="2011" spans="1:4" x14ac:dyDescent="0.2">
      <c r="A2011" s="5">
        <v>1950</v>
      </c>
      <c r="B2011" s="138">
        <f>'Cap Outlay Deprec 26'!C12</f>
        <v>457398</v>
      </c>
      <c r="D2011" s="2" t="str">
        <f t="shared" si="30"/>
        <v>Error?</v>
      </c>
    </row>
    <row r="2012" spans="1:4" x14ac:dyDescent="0.2">
      <c r="A2012" s="5">
        <v>1951</v>
      </c>
      <c r="B2012" s="138">
        <f>'Cap Outlay Deprec 26'!C13</f>
        <v>318344</v>
      </c>
      <c r="D2012" s="2" t="str">
        <f t="shared" si="30"/>
        <v>Error?</v>
      </c>
    </row>
    <row r="2013" spans="1:4" x14ac:dyDescent="0.2">
      <c r="A2013" s="5">
        <v>1952</v>
      </c>
      <c r="B2013" s="138">
        <f>'Cap Outlay Deprec 26'!C16</f>
        <v>32951966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33100</v>
      </c>
      <c r="D2016" s="2" t="str">
        <f t="shared" si="30"/>
        <v>Error?</v>
      </c>
    </row>
    <row r="2017" spans="1:4" x14ac:dyDescent="0.2">
      <c r="A2017" s="5">
        <v>1956</v>
      </c>
      <c r="B2017" s="138">
        <f>'Cap Outlay Deprec 26'!D12</f>
        <v>1800</v>
      </c>
      <c r="D2017" s="2" t="str">
        <f t="shared" si="30"/>
        <v>Error?</v>
      </c>
    </row>
    <row r="2018" spans="1:4" x14ac:dyDescent="0.2">
      <c r="A2018" s="5">
        <v>1957</v>
      </c>
      <c r="B2018" s="138">
        <f>'Cap Outlay Deprec 26'!D13</f>
        <v>20253</v>
      </c>
      <c r="D2018" s="2" t="str">
        <f t="shared" si="30"/>
        <v>Error?</v>
      </c>
    </row>
    <row r="2019" spans="1:4" x14ac:dyDescent="0.2">
      <c r="A2019" s="5">
        <v>1958</v>
      </c>
      <c r="B2019" s="138">
        <f>'Cap Outlay Deprec 26'!D16</f>
        <v>55153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51157</v>
      </c>
      <c r="C2026" s="2" t="s">
        <v>594</v>
      </c>
      <c r="D2026" s="2" t="str">
        <f t="shared" si="30"/>
        <v>Error?</v>
      </c>
    </row>
    <row r="2027" spans="1:4" x14ac:dyDescent="0.2">
      <c r="A2027" s="5">
        <v>1966</v>
      </c>
      <c r="B2027" s="138">
        <f>'Cap Outlay Deprec 26'!F8</f>
        <v>31985115</v>
      </c>
      <c r="C2027" s="2" t="s">
        <v>594</v>
      </c>
      <c r="D2027" s="2" t="str">
        <f t="shared" si="30"/>
        <v>Error?</v>
      </c>
    </row>
    <row r="2028" spans="1:4" x14ac:dyDescent="0.2">
      <c r="A2028" s="5">
        <v>1967</v>
      </c>
      <c r="B2028" s="138">
        <f>'Cap Outlay Deprec 26'!F10</f>
        <v>173052</v>
      </c>
      <c r="C2028" s="2" t="s">
        <v>594</v>
      </c>
      <c r="D2028" s="2" t="str">
        <f t="shared" si="30"/>
        <v>Error?</v>
      </c>
    </row>
    <row r="2029" spans="1:4" x14ac:dyDescent="0.2">
      <c r="A2029" s="5">
        <v>1968</v>
      </c>
      <c r="B2029" s="138">
        <f>'Cap Outlay Deprec 26'!F12</f>
        <v>459198</v>
      </c>
      <c r="C2029" s="2" t="s">
        <v>594</v>
      </c>
      <c r="D2029" s="2" t="str">
        <f t="shared" si="30"/>
        <v>Error?</v>
      </c>
    </row>
    <row r="2030" spans="1:4" x14ac:dyDescent="0.2">
      <c r="A2030" s="5">
        <v>1969</v>
      </c>
      <c r="B2030" s="138">
        <f>'Cap Outlay Deprec 26'!F13</f>
        <v>338597</v>
      </c>
      <c r="C2030" s="2" t="s">
        <v>594</v>
      </c>
      <c r="D2030" s="2" t="str">
        <f t="shared" si="30"/>
        <v>Error?</v>
      </c>
    </row>
    <row r="2031" spans="1:4" x14ac:dyDescent="0.2">
      <c r="A2031" s="5">
        <v>1970</v>
      </c>
      <c r="B2031" s="138">
        <f>'Cap Outlay Deprec 26'!F16</f>
        <v>33007119</v>
      </c>
      <c r="C2031" s="2" t="s">
        <v>594</v>
      </c>
      <c r="D2031" s="2" t="str">
        <f t="shared" si="30"/>
        <v>Error?</v>
      </c>
    </row>
    <row r="2032" spans="1:4" x14ac:dyDescent="0.2">
      <c r="A2032" s="10">
        <v>1971</v>
      </c>
      <c r="D2032" s="2" t="str">
        <f t="shared" si="30"/>
        <v>OK</v>
      </c>
    </row>
    <row r="2033" spans="1:4" x14ac:dyDescent="0.2">
      <c r="A2033" s="5">
        <v>1972</v>
      </c>
      <c r="B2033" s="138">
        <f>'Cap Outlay Deprec 26'!H8</f>
        <v>1276130</v>
      </c>
      <c r="D2033" s="2" t="str">
        <f t="shared" si="30"/>
        <v>Error?</v>
      </c>
    </row>
    <row r="2034" spans="1:4" x14ac:dyDescent="0.2">
      <c r="A2034" s="5">
        <v>1973</v>
      </c>
      <c r="B2034" s="138">
        <f>'Cap Outlay Deprec 26'!H10</f>
        <v>31605</v>
      </c>
      <c r="D2034" s="2" t="str">
        <f t="shared" si="30"/>
        <v>Error?</v>
      </c>
    </row>
    <row r="2035" spans="1:4" x14ac:dyDescent="0.2">
      <c r="A2035" s="5">
        <v>1974</v>
      </c>
      <c r="B2035" s="138">
        <f>'Cap Outlay Deprec 26'!H12</f>
        <v>187939</v>
      </c>
      <c r="D2035" s="2" t="str">
        <f t="shared" si="30"/>
        <v>Error?</v>
      </c>
    </row>
    <row r="2036" spans="1:4" x14ac:dyDescent="0.2">
      <c r="A2036" s="5">
        <v>1975</v>
      </c>
      <c r="B2036" s="138">
        <f>'Cap Outlay Deprec 26'!H13</f>
        <v>218346</v>
      </c>
      <c r="D2036" s="2" t="str">
        <f t="shared" si="30"/>
        <v>Error?</v>
      </c>
    </row>
    <row r="2037" spans="1:4" x14ac:dyDescent="0.2">
      <c r="A2037" s="5">
        <v>1976</v>
      </c>
      <c r="B2037" s="138">
        <f>'Cap Outlay Deprec 26'!H16</f>
        <v>1714020</v>
      </c>
      <c r="C2037" s="2" t="s">
        <v>594</v>
      </c>
      <c r="D2037" s="2" t="str">
        <f t="shared" si="30"/>
        <v>Error?</v>
      </c>
    </row>
    <row r="2038" spans="1:4" x14ac:dyDescent="0.2">
      <c r="A2038" s="10">
        <v>1977</v>
      </c>
      <c r="D2038" s="2" t="str">
        <f t="shared" si="30"/>
        <v>OK</v>
      </c>
    </row>
    <row r="2039" spans="1:4" x14ac:dyDescent="0.2">
      <c r="A2039" s="5">
        <v>1978</v>
      </c>
      <c r="B2039" s="138">
        <f>'Cap Outlay Deprec 26'!I8</f>
        <v>639702</v>
      </c>
      <c r="D2039" s="2" t="str">
        <f t="shared" si="30"/>
        <v>Error?</v>
      </c>
    </row>
    <row r="2040" spans="1:4" x14ac:dyDescent="0.2">
      <c r="A2040" s="5">
        <v>1979</v>
      </c>
      <c r="B2040" s="138">
        <f>'Cap Outlay Deprec 26'!I10</f>
        <v>8653</v>
      </c>
      <c r="D2040" s="2" t="str">
        <f t="shared" si="30"/>
        <v>Error?</v>
      </c>
    </row>
    <row r="2041" spans="1:4" x14ac:dyDescent="0.2">
      <c r="A2041" s="5">
        <v>1980</v>
      </c>
      <c r="B2041" s="138">
        <f>'Cap Outlay Deprec 26'!I12</f>
        <v>45920</v>
      </c>
      <c r="D2041" s="2" t="str">
        <f t="shared" si="30"/>
        <v>Error?</v>
      </c>
    </row>
    <row r="2042" spans="1:4" x14ac:dyDescent="0.2">
      <c r="A2042" s="5">
        <v>1981</v>
      </c>
      <c r="B2042" s="138">
        <f>'Cap Outlay Deprec 26'!I13</f>
        <v>33246</v>
      </c>
      <c r="D2042" s="2" t="str">
        <f t="shared" si="30"/>
        <v>Error?</v>
      </c>
    </row>
    <row r="2043" spans="1:4" x14ac:dyDescent="0.2">
      <c r="A2043" s="5">
        <v>1982</v>
      </c>
      <c r="B2043" s="138">
        <f>'Cap Outlay Deprec 26'!I16</f>
        <v>727521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1915832</v>
      </c>
      <c r="C2051" s="2" t="s">
        <v>594</v>
      </c>
      <c r="D2051" s="2" t="str">
        <f t="shared" si="31"/>
        <v>Error?</v>
      </c>
    </row>
    <row r="2052" spans="1:4" x14ac:dyDescent="0.2">
      <c r="A2052" s="5">
        <v>1991</v>
      </c>
      <c r="B2052" s="138">
        <f>'Cap Outlay Deprec 26'!K10</f>
        <v>40258</v>
      </c>
      <c r="C2052" s="2" t="s">
        <v>594</v>
      </c>
      <c r="D2052" s="2" t="str">
        <f t="shared" si="31"/>
        <v>Error?</v>
      </c>
    </row>
    <row r="2053" spans="1:4" x14ac:dyDescent="0.2">
      <c r="A2053" s="5">
        <v>1992</v>
      </c>
      <c r="B2053" s="138">
        <f>'Cap Outlay Deprec 26'!K12</f>
        <v>233859</v>
      </c>
      <c r="C2053" s="2" t="s">
        <v>594</v>
      </c>
      <c r="D2053" s="2" t="str">
        <f t="shared" si="31"/>
        <v>Error?</v>
      </c>
    </row>
    <row r="2054" spans="1:4" x14ac:dyDescent="0.2">
      <c r="A2054" s="5">
        <v>1993</v>
      </c>
      <c r="B2054" s="138">
        <f>'Cap Outlay Deprec 26'!K13</f>
        <v>251592</v>
      </c>
      <c r="C2054" s="2" t="s">
        <v>594</v>
      </c>
      <c r="D2054" s="2" t="str">
        <f t="shared" si="31"/>
        <v>Error?</v>
      </c>
    </row>
    <row r="2055" spans="1:4" x14ac:dyDescent="0.2">
      <c r="A2055" s="5">
        <v>1994</v>
      </c>
      <c r="B2055" s="138">
        <f>'Cap Outlay Deprec 26'!K16</f>
        <v>2441541</v>
      </c>
      <c r="C2055" s="2" t="s">
        <v>594</v>
      </c>
      <c r="D2055" s="2" t="str">
        <f t="shared" si="31"/>
        <v>Error?</v>
      </c>
    </row>
    <row r="2056" spans="1:4" x14ac:dyDescent="0.2">
      <c r="A2056" s="5">
        <v>1995</v>
      </c>
      <c r="B2056" s="138">
        <f>'Cap Outlay Deprec 26'!L5</f>
        <v>51157</v>
      </c>
      <c r="C2056" s="2" t="s">
        <v>594</v>
      </c>
      <c r="D2056" s="2" t="str">
        <f t="shared" si="31"/>
        <v>Error?</v>
      </c>
    </row>
    <row r="2057" spans="1:4" x14ac:dyDescent="0.2">
      <c r="A2057" s="5">
        <v>1996</v>
      </c>
      <c r="B2057" s="138">
        <f>'Cap Outlay Deprec 26'!L8</f>
        <v>30069283</v>
      </c>
      <c r="C2057" s="2" t="s">
        <v>594</v>
      </c>
      <c r="D2057" s="2" t="str">
        <f t="shared" si="31"/>
        <v>Error?</v>
      </c>
    </row>
    <row r="2058" spans="1:4" x14ac:dyDescent="0.2">
      <c r="A2058" s="5">
        <v>1997</v>
      </c>
      <c r="B2058" s="138">
        <f>'Cap Outlay Deprec 26'!L10</f>
        <v>132794</v>
      </c>
      <c r="C2058" s="2" t="s">
        <v>594</v>
      </c>
      <c r="D2058" s="2" t="str">
        <f t="shared" si="31"/>
        <v>Error?</v>
      </c>
    </row>
    <row r="2059" spans="1:4" x14ac:dyDescent="0.2">
      <c r="A2059" s="5">
        <v>1998</v>
      </c>
      <c r="B2059" s="138">
        <f>'Cap Outlay Deprec 26'!L12</f>
        <v>225339</v>
      </c>
      <c r="C2059" s="2" t="s">
        <v>594</v>
      </c>
      <c r="D2059" s="2" t="str">
        <f t="shared" si="31"/>
        <v>Error?</v>
      </c>
    </row>
    <row r="2060" spans="1:4" x14ac:dyDescent="0.2">
      <c r="A2060" s="5">
        <v>1999</v>
      </c>
      <c r="B2060" s="138">
        <f>'Cap Outlay Deprec 26'!L13</f>
        <v>87005</v>
      </c>
      <c r="C2060" s="2" t="s">
        <v>594</v>
      </c>
      <c r="D2060" s="2" t="str">
        <f t="shared" si="31"/>
        <v>Error?</v>
      </c>
    </row>
    <row r="2061" spans="1:4" x14ac:dyDescent="0.2">
      <c r="A2061" s="5">
        <v>2000</v>
      </c>
      <c r="B2061" s="138">
        <f>'Cap Outlay Deprec 26'!L16</f>
        <v>30565578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91552</v>
      </c>
      <c r="C2088" s="2" t="s">
        <v>594</v>
      </c>
      <c r="D2088" s="2" t="str">
        <f t="shared" si="31"/>
        <v>Error?</v>
      </c>
    </row>
    <row r="2089" spans="1:4" x14ac:dyDescent="0.2">
      <c r="A2089" s="5">
        <v>2028</v>
      </c>
      <c r="B2089" s="138">
        <f>'Expenditures 15-22'!K92</f>
        <v>52875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44033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24749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2580146</v>
      </c>
      <c r="C2551" s="2" t="s">
        <v>594</v>
      </c>
      <c r="D2551" s="2" t="str">
        <f t="shared" si="38"/>
        <v>Error?</v>
      </c>
    </row>
    <row r="2552" spans="1:4" x14ac:dyDescent="0.2">
      <c r="A2552" s="10">
        <v>2491</v>
      </c>
      <c r="D2552" s="2" t="str">
        <f t="shared" si="38"/>
        <v>OK</v>
      </c>
    </row>
    <row r="2553" spans="1:4" x14ac:dyDescent="0.2">
      <c r="A2553" s="5">
        <v>2492</v>
      </c>
      <c r="B2553" s="138">
        <f>'Acct Summary 7-8'!C6</f>
        <v>1274645</v>
      </c>
      <c r="C2553" s="2" t="s">
        <v>594</v>
      </c>
      <c r="D2553" s="2" t="str">
        <f t="shared" si="38"/>
        <v>Error?</v>
      </c>
    </row>
    <row r="2554" spans="1:4" x14ac:dyDescent="0.2">
      <c r="A2554" s="5">
        <v>2493</v>
      </c>
      <c r="B2554" s="138">
        <f>'Acct Summary 7-8'!C7</f>
        <v>218959</v>
      </c>
      <c r="C2554" s="2" t="s">
        <v>594</v>
      </c>
      <c r="D2554" s="2" t="str">
        <f t="shared" si="38"/>
        <v>Error?</v>
      </c>
    </row>
    <row r="2555" spans="1:4" x14ac:dyDescent="0.2">
      <c r="A2555" s="5">
        <v>2494</v>
      </c>
      <c r="B2555" s="138">
        <f>'Acct Summary 7-8'!C8</f>
        <v>4073750</v>
      </c>
      <c r="C2555" s="2" t="s">
        <v>594</v>
      </c>
      <c r="D2555" s="2" t="str">
        <f t="shared" si="38"/>
        <v>Error?</v>
      </c>
    </row>
    <row r="2556" spans="1:4" x14ac:dyDescent="0.2">
      <c r="A2556" s="5">
        <v>2495</v>
      </c>
      <c r="B2556" s="138">
        <f>'Acct Summary 7-8'!C12</f>
        <v>2685331</v>
      </c>
      <c r="C2556" s="2" t="s">
        <v>594</v>
      </c>
      <c r="D2556" s="2" t="str">
        <f t="shared" si="38"/>
        <v>Error?</v>
      </c>
    </row>
    <row r="2557" spans="1:4" x14ac:dyDescent="0.2">
      <c r="A2557" s="5">
        <v>2496</v>
      </c>
      <c r="B2557" s="138">
        <f>'Acct Summary 7-8'!C13</f>
        <v>908670</v>
      </c>
      <c r="C2557" s="2" t="s">
        <v>594</v>
      </c>
      <c r="D2557" s="2" t="str">
        <f t="shared" si="38"/>
        <v>Error?</v>
      </c>
    </row>
    <row r="2558" spans="1:4" x14ac:dyDescent="0.2">
      <c r="A2558" s="5">
        <v>2497</v>
      </c>
      <c r="B2558" s="138">
        <f>'Acct Summary 7-8'!C14</f>
        <v>16139</v>
      </c>
      <c r="C2558" s="2" t="s">
        <v>594</v>
      </c>
      <c r="D2558" s="2" t="str">
        <f t="shared" si="38"/>
        <v>Error?</v>
      </c>
    </row>
    <row r="2559" spans="1:4" x14ac:dyDescent="0.2">
      <c r="A2559" s="5">
        <v>2498</v>
      </c>
      <c r="B2559" s="138">
        <f>'Acct Summary 7-8'!C15</f>
        <v>144427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3754567</v>
      </c>
      <c r="C2561" s="2" t="s">
        <v>594</v>
      </c>
      <c r="D2561" s="2" t="str">
        <f t="shared" si="39"/>
        <v>Error?</v>
      </c>
    </row>
    <row r="2562" spans="1:4" x14ac:dyDescent="0.2">
      <c r="A2562" s="5">
        <v>2501</v>
      </c>
      <c r="B2562" s="138">
        <f>'Acct Summary 7-8'!C20</f>
        <v>319183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308817</v>
      </c>
      <c r="C2564" s="2" t="s">
        <v>594</v>
      </c>
      <c r="D2564" s="2" t="str">
        <f t="shared" si="39"/>
        <v>Error?</v>
      </c>
    </row>
    <row r="2565" spans="1:4" x14ac:dyDescent="0.2">
      <c r="A2565" s="10">
        <v>2504</v>
      </c>
      <c r="D2565" s="2" t="str">
        <f t="shared" si="39"/>
        <v>OK</v>
      </c>
    </row>
    <row r="2566" spans="1:4" x14ac:dyDescent="0.2">
      <c r="A2566" s="5">
        <v>2505</v>
      </c>
      <c r="B2566" s="138">
        <f>'Acct Summary 7-8'!D6</f>
        <v>284387</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593204</v>
      </c>
      <c r="C2568" s="2" t="s">
        <v>594</v>
      </c>
      <c r="D2568" s="2" t="str">
        <f t="shared" si="39"/>
        <v>Error?</v>
      </c>
    </row>
    <row r="2569" spans="1:4" x14ac:dyDescent="0.2">
      <c r="A2569" s="5">
        <v>2508</v>
      </c>
      <c r="B2569" s="138">
        <f>'Acct Summary 7-8'!D13</f>
        <v>496395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496395</v>
      </c>
      <c r="C2573" s="2" t="s">
        <v>594</v>
      </c>
      <c r="D2573" s="2" t="str">
        <f t="shared" si="39"/>
        <v>Error?</v>
      </c>
    </row>
    <row r="2574" spans="1:4" x14ac:dyDescent="0.2">
      <c r="A2574" s="5">
        <v>2513</v>
      </c>
      <c r="B2574" s="138">
        <f>'Acct Summary 7-8'!D20</f>
        <v>96809</v>
      </c>
      <c r="C2574" s="2" t="s">
        <v>594</v>
      </c>
      <c r="D2574" s="2" t="str">
        <f t="shared" si="39"/>
        <v>Error?</v>
      </c>
    </row>
    <row r="2575" spans="1:4" x14ac:dyDescent="0.2">
      <c r="A2575" s="5">
        <v>2514</v>
      </c>
      <c r="B2575" s="138">
        <f>'Acct Summary 7-8'!D80</f>
        <v>125000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140538</v>
      </c>
      <c r="C2591" s="2" t="s">
        <v>594</v>
      </c>
      <c r="D2591" s="2" t="str">
        <f t="shared" si="39"/>
        <v>Error?</v>
      </c>
    </row>
    <row r="2592" spans="1:4" x14ac:dyDescent="0.2">
      <c r="A2592" s="10">
        <v>2531</v>
      </c>
      <c r="D2592" s="2" t="str">
        <f t="shared" si="39"/>
        <v>OK</v>
      </c>
    </row>
    <row r="2593" spans="1:4" x14ac:dyDescent="0.2">
      <c r="A2593" s="5">
        <v>2532</v>
      </c>
      <c r="B2593" s="138">
        <f>'Acct Summary 7-8'!F6</f>
        <v>66751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207289</v>
      </c>
      <c r="C2595" s="2" t="s">
        <v>594</v>
      </c>
      <c r="D2595" s="2" t="str">
        <f t="shared" si="39"/>
        <v>Error?</v>
      </c>
    </row>
    <row r="2596" spans="1:4" x14ac:dyDescent="0.2">
      <c r="A2596" s="5">
        <v>2535</v>
      </c>
      <c r="B2596" s="138">
        <f>'Acct Summary 7-8'!F13</f>
        <v>172661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7975</v>
      </c>
      <c r="C2599" s="2" t="s">
        <v>594</v>
      </c>
      <c r="D2599" s="2" t="str">
        <f t="shared" si="39"/>
        <v>Error?</v>
      </c>
    </row>
    <row r="2600" spans="1:4" x14ac:dyDescent="0.2">
      <c r="A2600" s="5">
        <v>2539</v>
      </c>
      <c r="B2600" s="138">
        <f>'Acct Summary 7-8'!F17</f>
        <v>180636</v>
      </c>
      <c r="C2600" s="2" t="s">
        <v>594</v>
      </c>
      <c r="D2600" s="2" t="str">
        <f t="shared" si="39"/>
        <v>Error?</v>
      </c>
    </row>
    <row r="2601" spans="1:4" x14ac:dyDescent="0.2">
      <c r="A2601" s="5">
        <v>2540</v>
      </c>
      <c r="B2601" s="138">
        <f>'Acct Summary 7-8'!F20</f>
        <v>26653</v>
      </c>
      <c r="C2601" s="2" t="s">
        <v>594</v>
      </c>
      <c r="D2601" s="2" t="str">
        <f t="shared" si="39"/>
        <v>Error?</v>
      </c>
    </row>
    <row r="2602" spans="1:4" x14ac:dyDescent="0.2">
      <c r="A2602" s="5">
        <v>2541</v>
      </c>
      <c r="B2602" s="138">
        <f>'Acct Summary 7-8'!F80</f>
        <v>-125000</v>
      </c>
      <c r="D2602" s="2" t="str">
        <f t="shared" si="39"/>
        <v>Error?</v>
      </c>
    </row>
    <row r="2603" spans="1:4" x14ac:dyDescent="0.2">
      <c r="A2603" s="5">
        <v>2542</v>
      </c>
      <c r="B2603" s="138">
        <f>'Acct Summary 7-8'!G4</f>
        <v>168822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168822</v>
      </c>
      <c r="C2606" s="2" t="s">
        <v>594</v>
      </c>
      <c r="D2606" s="2" t="str">
        <f t="shared" si="39"/>
        <v>Error?</v>
      </c>
    </row>
    <row r="2607" spans="1:4" x14ac:dyDescent="0.2">
      <c r="A2607" s="5">
        <v>2546</v>
      </c>
      <c r="B2607" s="138">
        <f>'Acct Summary 7-8'!G12</f>
        <v>50695</v>
      </c>
      <c r="C2607" s="2" t="s">
        <v>594</v>
      </c>
      <c r="D2607" s="2" t="str">
        <f t="shared" si="39"/>
        <v>Error?</v>
      </c>
    </row>
    <row r="2608" spans="1:4" x14ac:dyDescent="0.2">
      <c r="A2608" s="5">
        <v>2547</v>
      </c>
      <c r="B2608" s="138">
        <f>'Acct Summary 7-8'!G13</f>
        <v>93427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144122</v>
      </c>
      <c r="C2612" s="2" t="s">
        <v>594</v>
      </c>
      <c r="D2612" s="2" t="str">
        <f t="shared" si="39"/>
        <v>Error?</v>
      </c>
    </row>
    <row r="2613" spans="1:4" x14ac:dyDescent="0.2">
      <c r="A2613" s="5">
        <v>2552</v>
      </c>
      <c r="B2613" s="138">
        <f>'Acct Summary 7-8'!G20</f>
        <v>24700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2829745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2829745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2776159</v>
      </c>
      <c r="C2634" s="2" t="s">
        <v>594</v>
      </c>
      <c r="D2634" s="2" t="str">
        <f t="shared" si="40"/>
        <v>Error?</v>
      </c>
    </row>
    <row r="2635" spans="1:4" x14ac:dyDescent="0.2">
      <c r="A2635" s="5">
        <v>2574</v>
      </c>
      <c r="B2635" s="138">
        <f>'Acct Summary 7-8'!E17</f>
        <v>2776159</v>
      </c>
      <c r="C2635" s="2" t="s">
        <v>594</v>
      </c>
      <c r="D2635" s="2" t="str">
        <f t="shared" si="40"/>
        <v>Error?</v>
      </c>
    </row>
    <row r="2636" spans="1:4" x14ac:dyDescent="0.2">
      <c r="A2636" s="5">
        <v>2575</v>
      </c>
      <c r="B2636" s="138">
        <f>'Acct Summary 7-8'!E20</f>
        <v>53586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91552</v>
      </c>
      <c r="C2789" s="2" t="s">
        <v>594</v>
      </c>
      <c r="D2789" s="2" t="str">
        <f t="shared" si="42"/>
        <v>Error?</v>
      </c>
    </row>
    <row r="2790" spans="1:4" x14ac:dyDescent="0.2">
      <c r="A2790" s="5">
        <v>2729</v>
      </c>
      <c r="B2790" s="138">
        <f>'Expenditures 15-22'!E102</f>
        <v>91552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1004712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1088533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434953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1088533</v>
      </c>
      <c r="D2912" s="2" t="str">
        <f t="shared" si="44"/>
        <v>Error?</v>
      </c>
    </row>
    <row r="2913" spans="1:4" x14ac:dyDescent="0.2">
      <c r="A2913" s="5">
        <v>2852</v>
      </c>
      <c r="B2913" s="138">
        <f>'Assets-Liab 5-6'!I41</f>
        <v>1088533</v>
      </c>
      <c r="C2913" s="2" t="s">
        <v>594</v>
      </c>
      <c r="D2913" s="2" t="str">
        <f t="shared" si="44"/>
        <v>Error?</v>
      </c>
    </row>
    <row r="2914" spans="1:4" x14ac:dyDescent="0.2">
      <c r="A2914" s="5">
        <v>2853</v>
      </c>
      <c r="B2914" s="138">
        <f>'Assets-Liab 5-6'!L33</f>
        <v>83902</v>
      </c>
      <c r="D2914" s="2" t="str">
        <f t="shared" si="44"/>
        <v>Error?</v>
      </c>
    </row>
    <row r="2915" spans="1:4" x14ac:dyDescent="0.2">
      <c r="A2915" s="10">
        <v>2854</v>
      </c>
      <c r="D2915" s="2" t="str">
        <f t="shared" si="44"/>
        <v>OK</v>
      </c>
    </row>
    <row r="2916" spans="1:4" x14ac:dyDescent="0.2">
      <c r="A2916" s="5">
        <v>2855</v>
      </c>
      <c r="B2916" s="138">
        <f>'Assets-Liab 5-6'!L34</f>
        <v>83902</v>
      </c>
      <c r="C2916" s="2" t="s">
        <v>594</v>
      </c>
      <c r="D2916" s="2" t="str">
        <f t="shared" si="44"/>
        <v>Error?</v>
      </c>
    </row>
    <row r="2917" spans="1:4" x14ac:dyDescent="0.2">
      <c r="A2917" s="5">
        <v>2856</v>
      </c>
      <c r="B2917" s="138">
        <f>'Assets-Liab 5-6'!L41</f>
        <v>434953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24413</v>
      </c>
      <c r="D2949" s="2" t="str">
        <f t="shared" si="45"/>
        <v>Error?</v>
      </c>
    </row>
    <row r="2950" spans="1:4" x14ac:dyDescent="0.2">
      <c r="A2950" s="5">
        <v>2889</v>
      </c>
      <c r="B2950" s="138">
        <f>'Expenditures 15-22'!E79</f>
        <v>62346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1456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3337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24413</v>
      </c>
      <c r="C2973" s="2" t="s">
        <v>594</v>
      </c>
      <c r="D2973" s="2" t="str">
        <f t="shared" si="45"/>
        <v>Error?</v>
      </c>
    </row>
    <row r="2974" spans="1:4" x14ac:dyDescent="0.2">
      <c r="A2974" s="5">
        <v>2913</v>
      </c>
      <c r="B2974" s="138">
        <f>'Expenditures 15-22'!K79</f>
        <v>62346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1456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3337</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42205</v>
      </c>
      <c r="D3055" s="2" t="str">
        <f t="shared" si="46"/>
        <v>Error?</v>
      </c>
    </row>
    <row r="3056" spans="1:4" x14ac:dyDescent="0.2">
      <c r="A3056" s="5">
        <v>2995</v>
      </c>
      <c r="B3056" s="138">
        <f>'Expenditures 15-22'!D10</f>
        <v>8061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29266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79532</v>
      </c>
      <c r="C3062" s="2" t="s">
        <v>594</v>
      </c>
      <c r="D3062" s="2" t="str">
        <f t="shared" si="46"/>
        <v>Error?</v>
      </c>
    </row>
    <row r="3063" spans="1:4" x14ac:dyDescent="0.2">
      <c r="A3063" s="10">
        <v>3002</v>
      </c>
      <c r="D3063" s="2" t="str">
        <f t="shared" si="46"/>
        <v>OK</v>
      </c>
    </row>
    <row r="3064" spans="1:4" x14ac:dyDescent="0.2">
      <c r="A3064" s="5">
        <v>3003</v>
      </c>
      <c r="B3064" s="138">
        <f>'Expenditures 15-22'!D219</f>
        <v>525</v>
      </c>
      <c r="D3064" s="2" t="str">
        <f t="shared" si="46"/>
        <v>Error?</v>
      </c>
    </row>
    <row r="3065" spans="1:4" x14ac:dyDescent="0.2">
      <c r="A3065" s="5">
        <v>3004</v>
      </c>
      <c r="B3065" s="138">
        <f>'Expenditures 15-22'!K219</f>
        <v>525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351051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40440000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65983</v>
      </c>
      <c r="C3225" s="2" t="s">
        <v>594</v>
      </c>
      <c r="D3225" s="2" t="str">
        <f t="shared" si="49"/>
        <v>Error?</v>
      </c>
    </row>
    <row r="3226" spans="1:4" x14ac:dyDescent="0.2">
      <c r="A3226" s="5">
        <v>3165</v>
      </c>
      <c r="B3226" s="138">
        <f>'Acct Summary 7-8'!I8</f>
        <v>65983</v>
      </c>
      <c r="C3226" s="2" t="s">
        <v>594</v>
      </c>
      <c r="D3226" s="2" t="str">
        <f t="shared" si="49"/>
        <v>Error?</v>
      </c>
    </row>
    <row r="3227" spans="1:4" x14ac:dyDescent="0.2">
      <c r="A3227" s="5">
        <v>3166</v>
      </c>
      <c r="B3227" s="138">
        <f>'Acct Summary 7-8'!I20</f>
        <v>65983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319183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96809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26653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24700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42207583</v>
      </c>
      <c r="C3274" s="2" t="s">
        <v>594</v>
      </c>
      <c r="D3274" s="2" t="str">
        <f t="shared" si="50"/>
        <v>Error?</v>
      </c>
    </row>
    <row r="3275" spans="1:4" x14ac:dyDescent="0.2">
      <c r="A3275" s="5">
        <v>3214</v>
      </c>
      <c r="B3275" s="138">
        <f>'Acct Summary 7-8'!E75</f>
        <v>42207583</v>
      </c>
      <c r="D3275" s="2" t="str">
        <f t="shared" si="50"/>
        <v>Error?</v>
      </c>
    </row>
    <row r="3276" spans="1:4" x14ac:dyDescent="0.2">
      <c r="A3276" s="5">
        <v>3215</v>
      </c>
      <c r="B3276" s="138">
        <f>'Acct Summary 7-8'!E76</f>
        <v>42207583</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53586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687</v>
      </c>
      <c r="C3318" s="2" t="s">
        <v>594</v>
      </c>
      <c r="D3318" s="2" t="str">
        <f t="shared" si="50"/>
        <v>Error?</v>
      </c>
    </row>
    <row r="3319" spans="1:4" x14ac:dyDescent="0.2">
      <c r="A3319" s="5">
        <v>3258</v>
      </c>
      <c r="B3319" s="138">
        <f>'Acct Summary 7-8'!I77</f>
        <v>-687</v>
      </c>
      <c r="C3319" s="2" t="s">
        <v>594</v>
      </c>
      <c r="D3319" s="2" t="str">
        <f t="shared" si="50"/>
        <v>Error?</v>
      </c>
    </row>
    <row r="3320" spans="1:4" x14ac:dyDescent="0.2">
      <c r="A3320" s="5">
        <v>3259</v>
      </c>
      <c r="B3320" s="138">
        <f>'Acct Summary 7-8'!I78</f>
        <v>65296</v>
      </c>
      <c r="C3320" s="2" t="s">
        <v>594</v>
      </c>
      <c r="D3320" s="2" t="str">
        <f t="shared" si="50"/>
        <v>Error?</v>
      </c>
    </row>
    <row r="3321" spans="1:4" x14ac:dyDescent="0.2">
      <c r="A3321" s="5">
        <v>3260</v>
      </c>
      <c r="B3321" s="138">
        <f>'Acct Summary 7-8'!I79</f>
        <v>1023237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1088533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315864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132966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451356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20149</v>
      </c>
      <c r="D3387" s="2" t="str">
        <f t="shared" si="51"/>
        <v>Error?</v>
      </c>
    </row>
    <row r="3388" spans="1:4" x14ac:dyDescent="0.2">
      <c r="A3388" s="5">
        <v>3327</v>
      </c>
      <c r="B3388" s="138">
        <f>'Expenditures 15-22'!D217</f>
        <v>17791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20149</v>
      </c>
      <c r="C3390" s="2" t="s">
        <v>594</v>
      </c>
      <c r="D3390" s="2" t="str">
        <f t="shared" si="51"/>
        <v>Error?</v>
      </c>
    </row>
    <row r="3391" spans="1:4" x14ac:dyDescent="0.2">
      <c r="A3391" s="5">
        <v>3330</v>
      </c>
      <c r="B3391" s="138">
        <f>'Expenditures 15-22'!K217</f>
        <v>17791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658060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317567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122008</v>
      </c>
      <c r="D3417" s="2" t="str">
        <f t="shared" si="52"/>
        <v>Error?</v>
      </c>
    </row>
    <row r="3418" spans="1:4" x14ac:dyDescent="0.2">
      <c r="A3418" s="10">
        <v>3357</v>
      </c>
      <c r="D3418" s="2" t="str">
        <f t="shared" si="52"/>
        <v>OK</v>
      </c>
    </row>
    <row r="3419" spans="1:4" x14ac:dyDescent="0.2">
      <c r="A3419" s="5">
        <v>3358</v>
      </c>
      <c r="B3419" s="138">
        <f>'Assets-Liab 5-6'!F4</f>
        <v>56419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84057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83821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434953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84758</v>
      </c>
      <c r="C3446" s="2" t="s">
        <v>594</v>
      </c>
      <c r="D3446" s="2" t="str">
        <f t="shared" si="52"/>
        <v>Error?</v>
      </c>
    </row>
    <row r="3447" spans="1:4" x14ac:dyDescent="0.2">
      <c r="A3447" s="5">
        <v>3386</v>
      </c>
      <c r="B3447" s="138">
        <f>'Tax Sched 23'!D16</f>
        <v>84758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85019</v>
      </c>
      <c r="C3449" s="2" t="s">
        <v>594</v>
      </c>
      <c r="D3449" s="2" t="str">
        <f t="shared" si="52"/>
        <v>Error?</v>
      </c>
    </row>
    <row r="3450" spans="1:4" x14ac:dyDescent="0.2">
      <c r="A3450" s="5">
        <v>3389</v>
      </c>
      <c r="B3450" s="138">
        <f>'Tax Sched 23'!E16</f>
        <v>85019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96</v>
      </c>
      <c r="D3567" s="2" t="str">
        <f t="shared" si="54"/>
        <v>Error?</v>
      </c>
    </row>
    <row r="3568" spans="1:4" x14ac:dyDescent="0.2">
      <c r="A3568" s="5">
        <v>3507</v>
      </c>
      <c r="B3568" s="138">
        <f>'Assets-Liab 5-6'!K41</f>
        <v>96</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58757</v>
      </c>
      <c r="C3725" s="2" t="s">
        <v>594</v>
      </c>
      <c r="D3725" s="2" t="str">
        <f t="shared" si="57"/>
        <v>Error?</v>
      </c>
    </row>
    <row r="3726" spans="1:4" x14ac:dyDescent="0.2">
      <c r="A3726" s="5">
        <v>3665</v>
      </c>
      <c r="B3726" s="138">
        <f>'Tax Sched 23'!D13</f>
        <v>58757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60684</v>
      </c>
      <c r="C3728" s="2" t="s">
        <v>594</v>
      </c>
      <c r="D3728" s="2" t="str">
        <f t="shared" si="57"/>
        <v>Error?</v>
      </c>
    </row>
    <row r="3729" spans="1:4" x14ac:dyDescent="0.2">
      <c r="A3729" s="5">
        <v>3668</v>
      </c>
      <c r="B3729" s="138">
        <f>'Tax Sched 23'!E13</f>
        <v>60684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1684133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5757883</v>
      </c>
      <c r="C4122" s="2" t="s">
        <v>594</v>
      </c>
      <c r="D4122" s="2" t="str">
        <f t="shared" si="63"/>
        <v>Error?</v>
      </c>
    </row>
    <row r="4123" spans="1:4" x14ac:dyDescent="0.2">
      <c r="A4123" s="5">
        <v>4062</v>
      </c>
      <c r="B4123" s="138">
        <f>'Acct Summary 7-8'!D10</f>
        <v>593204</v>
      </c>
      <c r="C4123" s="2" t="s">
        <v>594</v>
      </c>
      <c r="D4123" s="2" t="str">
        <f t="shared" si="63"/>
        <v>Error?</v>
      </c>
    </row>
    <row r="4124" spans="1:4" x14ac:dyDescent="0.2">
      <c r="A4124" s="5">
        <v>4063</v>
      </c>
      <c r="B4124" s="138">
        <f>'Acct Summary 7-8'!E10</f>
        <v>2829745</v>
      </c>
      <c r="C4124" s="2" t="s">
        <v>594</v>
      </c>
      <c r="D4124" s="2" t="str">
        <f t="shared" si="63"/>
        <v>Error?</v>
      </c>
    </row>
    <row r="4125" spans="1:4" x14ac:dyDescent="0.2">
      <c r="A4125" s="5">
        <v>4064</v>
      </c>
      <c r="B4125" s="138">
        <f>'Acct Summary 7-8'!F10</f>
        <v>207289</v>
      </c>
      <c r="C4125" s="2" t="s">
        <v>594</v>
      </c>
      <c r="D4125" s="2" t="str">
        <f t="shared" si="63"/>
        <v>Error?</v>
      </c>
    </row>
    <row r="4126" spans="1:4" x14ac:dyDescent="0.2">
      <c r="A4126" s="5">
        <v>4065</v>
      </c>
      <c r="B4126" s="138">
        <f>'Acct Summary 7-8'!G10</f>
        <v>168822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65983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1684133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5438700</v>
      </c>
      <c r="C4136" s="2" t="s">
        <v>594</v>
      </c>
      <c r="D4136" s="2" t="str">
        <f t="shared" si="63"/>
        <v>Error?</v>
      </c>
    </row>
    <row r="4137" spans="1:4" x14ac:dyDescent="0.2">
      <c r="A4137" s="5">
        <v>4076</v>
      </c>
      <c r="B4137" s="138">
        <f>'Acct Summary 7-8'!D19</f>
        <v>496395</v>
      </c>
      <c r="C4137" s="2" t="s">
        <v>594</v>
      </c>
      <c r="D4137" s="2" t="str">
        <f t="shared" si="63"/>
        <v>Error?</v>
      </c>
    </row>
    <row r="4138" spans="1:4" x14ac:dyDescent="0.2">
      <c r="A4138" s="5">
        <v>4077</v>
      </c>
      <c r="B4138" s="138">
        <f>'Acct Summary 7-8'!E19</f>
        <v>2776159</v>
      </c>
      <c r="C4138" s="2" t="s">
        <v>594</v>
      </c>
      <c r="D4138" s="2" t="str">
        <f t="shared" si="63"/>
        <v>Error?</v>
      </c>
    </row>
    <row r="4139" spans="1:4" x14ac:dyDescent="0.2">
      <c r="A4139" s="5">
        <v>4078</v>
      </c>
      <c r="B4139" s="138">
        <f>'Acct Summary 7-8'!F19</f>
        <v>180636</v>
      </c>
      <c r="C4139" s="2" t="s">
        <v>594</v>
      </c>
      <c r="D4139" s="2" t="str">
        <f t="shared" si="63"/>
        <v>Error?</v>
      </c>
    </row>
    <row r="4140" spans="1:4" x14ac:dyDescent="0.2">
      <c r="A4140" s="5">
        <v>4079</v>
      </c>
      <c r="B4140" s="138">
        <f>'Acct Summary 7-8'!G19</f>
        <v>144122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43567044</v>
      </c>
      <c r="C4171" s="2" t="s">
        <v>594</v>
      </c>
      <c r="D4171" s="2" t="str">
        <f t="shared" si="64"/>
        <v>Error?</v>
      </c>
    </row>
    <row r="4172" spans="1:4" x14ac:dyDescent="0.2">
      <c r="A4172" s="5">
        <v>4111</v>
      </c>
      <c r="B4172" s="138">
        <f>'Short-Term Long-Term Debt 24'!J49</f>
        <v>43445036</v>
      </c>
      <c r="C4172" s="2" t="s">
        <v>594</v>
      </c>
      <c r="D4172" s="2" t="str">
        <f t="shared" si="64"/>
        <v>Error?</v>
      </c>
    </row>
    <row r="4173" spans="1:4" x14ac:dyDescent="0.2">
      <c r="A4173" s="5">
        <v>4112</v>
      </c>
      <c r="B4173" s="138">
        <f>'Short-Term Long-Term Debt 24'!H49</f>
        <v>1461786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-32023351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6786</v>
      </c>
      <c r="D4210" s="2" t="str">
        <f t="shared" si="64"/>
        <v>Error?</v>
      </c>
    </row>
    <row r="4211" spans="1:4" x14ac:dyDescent="0.2">
      <c r="A4211" s="5">
        <v>4150</v>
      </c>
      <c r="B4211" s="138">
        <f>'Expenditures 15-22'!K206</f>
        <v>6786</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1610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1980.0000000000002</v>
      </c>
      <c r="C4268" s="2" t="s">
        <v>594</v>
      </c>
      <c r="D4268" s="2" t="str">
        <f t="shared" si="65"/>
        <v>Error?</v>
      </c>
    </row>
    <row r="4269" spans="1:5" x14ac:dyDescent="0.2">
      <c r="A4269" s="12">
        <v>4208</v>
      </c>
      <c r="B4269" s="138">
        <f>'FP Info 3'!J16</f>
        <v>2120579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6411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13752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22192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121368500</v>
      </c>
      <c r="D4995" s="2" t="str">
        <f t="shared" si="77"/>
        <v>Error?</v>
      </c>
    </row>
    <row r="4996" spans="1:4" x14ac:dyDescent="0.2">
      <c r="A4996" s="12">
        <v>4935</v>
      </c>
      <c r="B4996" s="138">
        <f>'FP Info 3'!H31</f>
        <v>8374426.5000000009</v>
      </c>
      <c r="D4996" s="2" t="str">
        <f t="shared" si="77"/>
        <v>Error?</v>
      </c>
    </row>
    <row r="4997" spans="1:4" x14ac:dyDescent="0.2">
      <c r="A4997" s="12">
        <v>4936</v>
      </c>
      <c r="B4997" s="138">
        <f>'FP Info 3'!H37</f>
        <v>43567044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58757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1891660</v>
      </c>
      <c r="D5061" s="2" t="str">
        <f t="shared" si="78"/>
        <v>Error?</v>
      </c>
    </row>
    <row r="5062" spans="1:4" x14ac:dyDescent="0.2">
      <c r="A5062" s="10">
        <v>5001</v>
      </c>
      <c r="D5062" s="2" t="str">
        <f t="shared" si="78"/>
        <v>OK</v>
      </c>
    </row>
    <row r="5063" spans="1:4" x14ac:dyDescent="0.2">
      <c r="A5063" s="5">
        <v>5002</v>
      </c>
      <c r="B5063" s="138">
        <f>'Revenues 9-14'!C7</f>
        <v>23505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1973922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121003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121003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2708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2708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107433</v>
      </c>
      <c r="C5096" s="2" t="s">
        <v>594</v>
      </c>
      <c r="D5096" s="2" t="str">
        <f t="shared" si="78"/>
        <v>Error?</v>
      </c>
    </row>
    <row r="5097" spans="1:4" x14ac:dyDescent="0.2">
      <c r="A5097" s="5">
        <v>5036</v>
      </c>
      <c r="B5097" s="138">
        <f>'Revenues 9-14'!C77</f>
        <v>36500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36634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73134</v>
      </c>
      <c r="C5102" s="2" t="s">
        <v>594</v>
      </c>
      <c r="D5102" s="2" t="str">
        <f t="shared" si="78"/>
        <v>Error?</v>
      </c>
    </row>
    <row r="5103" spans="1:4" x14ac:dyDescent="0.2">
      <c r="A5103" s="5">
        <v>5042</v>
      </c>
      <c r="B5103" s="138">
        <f>'Revenues 9-14'!C84</f>
        <v>30187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14705</v>
      </c>
      <c r="D5111" s="2" t="str">
        <f t="shared" si="78"/>
        <v>Error?</v>
      </c>
    </row>
    <row r="5112" spans="1:4" x14ac:dyDescent="0.2">
      <c r="A5112" s="5">
        <v>5051</v>
      </c>
      <c r="B5112" s="138">
        <f>'Revenues 9-14'!C93</f>
        <v>44892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62333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v>
      </c>
      <c r="D5119" s="2" t="str">
        <f t="shared" ref="D5119:D5182" si="79">IF(ISBLANK(B5119),"OK",IF(A5119-B5119=0,"OK","Error?"))</f>
        <v>Error?</v>
      </c>
    </row>
    <row r="5120" spans="1:4" x14ac:dyDescent="0.2">
      <c r="A5120" s="5">
        <v>5059</v>
      </c>
      <c r="B5120" s="138">
        <f>'Revenues 9-14'!C108</f>
        <v>257054</v>
      </c>
      <c r="C5120" s="2" t="s">
        <v>594</v>
      </c>
      <c r="D5120" s="2" t="str">
        <f t="shared" si="79"/>
        <v>Error?</v>
      </c>
    </row>
    <row r="5121" spans="1:4" x14ac:dyDescent="0.2">
      <c r="A5121" s="5">
        <v>5060</v>
      </c>
      <c r="B5121" s="138">
        <f>'Revenues 9-14'!C109</f>
        <v>2580146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1133395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1133395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27019</v>
      </c>
      <c r="D5134" s="2" t="str">
        <f t="shared" si="79"/>
        <v>Error?</v>
      </c>
    </row>
    <row r="5135" spans="1:4" x14ac:dyDescent="0.2">
      <c r="A5135" s="5">
        <v>5074</v>
      </c>
      <c r="B5135" s="138">
        <f>'Revenues 9-14'!C126</f>
        <v>38393</v>
      </c>
      <c r="D5135" s="2" t="str">
        <f t="shared" si="79"/>
        <v>Error?</v>
      </c>
    </row>
    <row r="5136" spans="1:4" x14ac:dyDescent="0.2">
      <c r="A5136" s="10">
        <v>5075</v>
      </c>
      <c r="D5136" s="2" t="str">
        <f t="shared" si="79"/>
        <v>OK</v>
      </c>
    </row>
    <row r="5137" spans="1:4" x14ac:dyDescent="0.2">
      <c r="A5137" s="5">
        <v>5076</v>
      </c>
      <c r="B5137" s="138">
        <f>'Revenues 9-14'!C127</f>
        <v>41794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107206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12730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12730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1444</v>
      </c>
      <c r="D5167" s="2" t="str">
        <f t="shared" si="79"/>
        <v>Error?</v>
      </c>
    </row>
    <row r="5168" spans="1:4" x14ac:dyDescent="0.2">
      <c r="A5168" s="5">
        <v>5107</v>
      </c>
      <c r="B5168" s="138">
        <f>'Revenues 9-14'!C147</f>
        <v>19870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141250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1274645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99662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18174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117836</v>
      </c>
      <c r="C5246" s="2" t="s">
        <v>594</v>
      </c>
      <c r="D5246" s="2" t="str">
        <f t="shared" si="80"/>
        <v>Error?</v>
      </c>
    </row>
    <row r="5247" spans="1:4" x14ac:dyDescent="0.2">
      <c r="A5247" s="5">
        <v>5186</v>
      </c>
      <c r="B5247" s="138">
        <f>'Revenues 9-14'!C203</f>
        <v>54369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54369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4399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4399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218959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218959</v>
      </c>
      <c r="C5326" s="2" t="s">
        <v>594</v>
      </c>
      <c r="D5326" s="2" t="str">
        <f t="shared" si="82"/>
        <v>Error?</v>
      </c>
    </row>
    <row r="5327" spans="1:4" x14ac:dyDescent="0.2">
      <c r="A5327" s="5">
        <v>5266</v>
      </c>
      <c r="B5327" s="138">
        <f>'Revenues 9-14'!C275</f>
        <v>4073750</v>
      </c>
      <c r="C5327" s="2" t="s">
        <v>594</v>
      </c>
      <c r="D5327" s="2" t="str">
        <f t="shared" si="82"/>
        <v>Error?</v>
      </c>
    </row>
    <row r="5328" spans="1:4" x14ac:dyDescent="0.2">
      <c r="A5328" s="5">
        <v>5267</v>
      </c>
      <c r="B5328" s="138">
        <f>'Revenues 9-14'!D5</f>
        <v>293746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293746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3290</v>
      </c>
      <c r="D5349" s="2" t="str">
        <f t="shared" si="82"/>
        <v>Error?</v>
      </c>
    </row>
    <row r="5350" spans="1:4" x14ac:dyDescent="0.2">
      <c r="A5350" s="5">
        <v>5289</v>
      </c>
      <c r="B5350" s="138">
        <f>'Revenues 9-14'!D96</f>
        <v>600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10467</v>
      </c>
      <c r="D5354" s="2" t="str">
        <f t="shared" si="82"/>
        <v>Error?</v>
      </c>
    </row>
    <row r="5355" spans="1:4" x14ac:dyDescent="0.2">
      <c r="A5355" s="5">
        <v>5294</v>
      </c>
      <c r="B5355" s="138">
        <f>'Revenues 9-14'!D108</f>
        <v>14357</v>
      </c>
      <c r="C5355" s="2" t="s">
        <v>594</v>
      </c>
      <c r="D5355" s="2" t="str">
        <f t="shared" si="82"/>
        <v>Error?</v>
      </c>
    </row>
    <row r="5356" spans="1:4" x14ac:dyDescent="0.2">
      <c r="A5356" s="5">
        <v>5295</v>
      </c>
      <c r="B5356" s="138">
        <f>'Revenues 9-14'!D109</f>
        <v>308817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284387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284387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284387</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593204</v>
      </c>
      <c r="C5508" s="2" t="s">
        <v>594</v>
      </c>
      <c r="D5508" s="2" t="str">
        <f t="shared" si="85"/>
        <v>Error?</v>
      </c>
    </row>
    <row r="5509" spans="1:4" x14ac:dyDescent="0.2">
      <c r="A5509" s="5">
        <v>5448</v>
      </c>
      <c r="B5509" s="138">
        <f>'Revenues 9-14'!E5</f>
        <v>2826787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2826787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2786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2786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172</v>
      </c>
      <c r="D5525" s="2" t="str">
        <f t="shared" si="85"/>
        <v>Error?</v>
      </c>
    </row>
    <row r="5526" spans="1:4" x14ac:dyDescent="0.2">
      <c r="A5526" s="5">
        <v>5465</v>
      </c>
      <c r="B5526" s="138">
        <f>'Revenues 9-14'!E108</f>
        <v>172</v>
      </c>
      <c r="C5526" s="2" t="s">
        <v>594</v>
      </c>
      <c r="D5526" s="2" t="str">
        <f t="shared" si="85"/>
        <v>Error?</v>
      </c>
    </row>
    <row r="5527" spans="1:4" x14ac:dyDescent="0.2">
      <c r="A5527" s="5">
        <v>5466</v>
      </c>
      <c r="B5527" s="138">
        <f>'Revenues 9-14'!E109</f>
        <v>2829745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2829745</v>
      </c>
      <c r="C5552" s="2" t="s">
        <v>594</v>
      </c>
      <c r="D5552" s="2" t="str">
        <f t="shared" si="85"/>
        <v>Error?</v>
      </c>
    </row>
    <row r="5553" spans="1:4" x14ac:dyDescent="0.2">
      <c r="A5553" s="5">
        <v>5492</v>
      </c>
      <c r="B5553" s="138">
        <f>'Revenues 9-14'!F5</f>
        <v>140307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140307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140538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11224</v>
      </c>
      <c r="D5615" s="2" t="str">
        <f t="shared" si="86"/>
        <v>Error?</v>
      </c>
    </row>
    <row r="5616" spans="1:4" x14ac:dyDescent="0.2">
      <c r="A5616" s="10">
        <v>5555</v>
      </c>
      <c r="D5616" s="2" t="str">
        <f t="shared" si="86"/>
        <v>OK</v>
      </c>
    </row>
    <row r="5617" spans="1:4" x14ac:dyDescent="0.2">
      <c r="A5617" s="5">
        <v>5556</v>
      </c>
      <c r="B5617" s="138">
        <f>'Revenues 9-14'!F152</f>
        <v>55527</v>
      </c>
      <c r="D5617" s="2" t="str">
        <f t="shared" si="86"/>
        <v>Error?</v>
      </c>
    </row>
    <row r="5618" spans="1:4" x14ac:dyDescent="0.2">
      <c r="A5618" s="5">
        <v>5557</v>
      </c>
      <c r="B5618" s="138">
        <f>'Revenues 9-14'!F154</f>
        <v>66751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66751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66751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207289</v>
      </c>
      <c r="C5720" s="2" t="s">
        <v>594</v>
      </c>
      <c r="D5720" s="2" t="str">
        <f t="shared" si="88"/>
        <v>Error?</v>
      </c>
    </row>
    <row r="5721" spans="1:4" x14ac:dyDescent="0.2">
      <c r="A5721" s="5">
        <v>5660</v>
      </c>
      <c r="B5721" s="138">
        <f>'Revenues 9-14'!G5</f>
        <v>79764</v>
      </c>
      <c r="D5721" s="2" t="str">
        <f t="shared" si="88"/>
        <v>Error?</v>
      </c>
    </row>
    <row r="5722" spans="1:4" x14ac:dyDescent="0.2">
      <c r="A5722" s="5">
        <v>5661</v>
      </c>
      <c r="B5722" s="138">
        <f>'Revenues 9-14'!G7</f>
        <v>0</v>
      </c>
      <c r="D5722" s="2" t="str">
        <f t="shared" si="88"/>
        <v>Error?</v>
      </c>
    </row>
    <row r="5723" spans="1:4" x14ac:dyDescent="0.2">
      <c r="A5723" s="5">
        <v>5662</v>
      </c>
      <c r="B5723" s="138">
        <f>'Revenues 9-14'!G8</f>
        <v>84758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164522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v>
      </c>
      <c r="C5730" s="2" t="s">
        <v>594</v>
      </c>
      <c r="D5730" s="2" t="str">
        <f t="shared" si="88"/>
        <v>Error?</v>
      </c>
    </row>
    <row r="5731" spans="1:4" x14ac:dyDescent="0.2">
      <c r="A5731" s="5">
        <v>5670</v>
      </c>
      <c r="B5731" s="138">
        <f>'Revenues 9-14'!G65</f>
        <v>300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300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168822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58751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58751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7232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7232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65983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168822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65983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107433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17700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405.63799999999998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61436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61436</v>
      </c>
      <c r="D6215" s="2" t="str">
        <f t="shared" si="96"/>
        <v>Error?</v>
      </c>
      <c r="E6215" s="2" t="s">
        <v>199</v>
      </c>
    </row>
    <row r="6216" spans="1:5" x14ac:dyDescent="0.2">
      <c r="A6216">
        <v>6155</v>
      </c>
      <c r="B6216" s="138">
        <f>'Assets-Liab 5-6'!J41</f>
        <v>61436</v>
      </c>
      <c r="D6216" s="2" t="str">
        <f t="shared" si="96"/>
        <v>Error?</v>
      </c>
      <c r="E6216" s="2" t="s">
        <v>199</v>
      </c>
    </row>
    <row r="6217" spans="1:5" x14ac:dyDescent="0.2">
      <c r="A6217">
        <v>6156</v>
      </c>
      <c r="B6217" s="138">
        <f>'Assets-Liab 5-6'!J4</f>
        <v>61436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389499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389499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389499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328913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328913</v>
      </c>
      <c r="D6229" s="2" t="str">
        <f t="shared" si="96"/>
        <v>Error?</v>
      </c>
      <c r="E6229" s="2" t="s">
        <v>199</v>
      </c>
    </row>
    <row r="6230" spans="1:5" x14ac:dyDescent="0.2">
      <c r="A6230">
        <v>6169</v>
      </c>
      <c r="B6230" s="138">
        <f>'Acct Summary 7-8'!J20</f>
        <v>60586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687</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60586</v>
      </c>
      <c r="D6263" s="2" t="str">
        <f t="shared" si="96"/>
        <v>Error?</v>
      </c>
      <c r="E6263" s="2" t="s">
        <v>199</v>
      </c>
    </row>
    <row r="6264" spans="1:5" x14ac:dyDescent="0.2">
      <c r="A6264">
        <v>6203</v>
      </c>
      <c r="B6264" s="138">
        <f>'Acct Summary 7-8'!J79</f>
        <v>850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61436</v>
      </c>
      <c r="D6266" s="2" t="str">
        <f t="shared" si="96"/>
        <v>Error?</v>
      </c>
      <c r="E6266" s="2" t="s">
        <v>199</v>
      </c>
    </row>
    <row r="6267" spans="1:5" x14ac:dyDescent="0.2">
      <c r="A6267">
        <v>6206</v>
      </c>
      <c r="B6267" s="138">
        <f>'Acct Summary 7-8'!C82</f>
        <v>319183</v>
      </c>
      <c r="D6267" s="2" t="str">
        <f t="shared" si="96"/>
        <v>Error?</v>
      </c>
      <c r="E6267" s="2" t="s">
        <v>199</v>
      </c>
    </row>
    <row r="6268" spans="1:5" x14ac:dyDescent="0.2">
      <c r="A6268">
        <v>6207</v>
      </c>
      <c r="B6268" s="138">
        <f>'Acct Summary 7-8'!D82</f>
        <v>221809</v>
      </c>
      <c r="D6268" s="2" t="str">
        <f t="shared" si="96"/>
        <v>Error?</v>
      </c>
      <c r="E6268" s="2" t="s">
        <v>199</v>
      </c>
    </row>
    <row r="6269" spans="1:5" x14ac:dyDescent="0.2">
      <c r="A6269">
        <v>6208</v>
      </c>
      <c r="B6269" s="138">
        <f>'Acct Summary 7-8'!E82</f>
        <v>53586</v>
      </c>
      <c r="D6269" s="2" t="str">
        <f t="shared" si="96"/>
        <v>Error?</v>
      </c>
      <c r="E6269" s="2" t="s">
        <v>199</v>
      </c>
    </row>
    <row r="6270" spans="1:5" x14ac:dyDescent="0.2">
      <c r="A6270">
        <v>6209</v>
      </c>
      <c r="B6270" s="138">
        <f>'Acct Summary 7-8'!F82</f>
        <v>-98347</v>
      </c>
      <c r="D6270" s="2" t="str">
        <f t="shared" si="96"/>
        <v>Error?</v>
      </c>
      <c r="E6270" s="2" t="s">
        <v>199</v>
      </c>
    </row>
    <row r="6271" spans="1:5" x14ac:dyDescent="0.2">
      <c r="A6271">
        <v>6210</v>
      </c>
      <c r="B6271" s="138">
        <f>'Acct Summary 7-8'!G82</f>
        <v>24700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65296</v>
      </c>
      <c r="D6273" s="2" t="str">
        <f t="shared" si="97"/>
        <v>Error?</v>
      </c>
      <c r="E6273" s="2" t="s">
        <v>199</v>
      </c>
    </row>
    <row r="6274" spans="1:5" x14ac:dyDescent="0.2">
      <c r="A6274">
        <v>6213</v>
      </c>
      <c r="B6274" s="138">
        <f>'Acct Summary 7-8'!J82</f>
        <v>60586</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0.48503631887669818</v>
      </c>
      <c r="D6276" s="2" t="str">
        <f t="shared" si="97"/>
        <v>Error?</v>
      </c>
      <c r="E6276" s="2" t="s">
        <v>199</v>
      </c>
    </row>
    <row r="6277" spans="1:5" x14ac:dyDescent="0.2">
      <c r="A6277">
        <v>6216</v>
      </c>
      <c r="B6277" s="138">
        <f>'Acct Summary 7-8'!D83</f>
        <v>0.69846363129670275</v>
      </c>
      <c r="D6277" s="2" t="str">
        <f t="shared" si="97"/>
        <v>Error?</v>
      </c>
      <c r="E6277" s="2" t="s">
        <v>199</v>
      </c>
    </row>
    <row r="6278" spans="1:5" x14ac:dyDescent="0.2">
      <c r="A6278">
        <v>6217</v>
      </c>
      <c r="B6278" s="138">
        <f>'Acct Summary 7-8'!E83</f>
        <v>0.43920070815028522</v>
      </c>
      <c r="D6278" s="2" t="str">
        <f t="shared" si="97"/>
        <v>Error?</v>
      </c>
      <c r="E6278" s="2" t="s">
        <v>199</v>
      </c>
    </row>
    <row r="6279" spans="1:5" x14ac:dyDescent="0.2">
      <c r="A6279">
        <v>6218</v>
      </c>
      <c r="B6279" s="138">
        <f>'Acct Summary 7-8'!F83</f>
        <v>-1.7431539020542726</v>
      </c>
      <c r="D6279" s="2" t="str">
        <f t="shared" si="97"/>
        <v>Error?</v>
      </c>
      <c r="E6279" s="2" t="s">
        <v>199</v>
      </c>
    </row>
    <row r="6280" spans="1:5" x14ac:dyDescent="0.2">
      <c r="A6280">
        <v>6219</v>
      </c>
      <c r="B6280" s="138">
        <f>'Acct Summary 7-8'!G83</f>
        <v>0.29384822203980632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5.9985319691731903E-2</v>
      </c>
      <c r="D6282" s="2" t="str">
        <f t="shared" si="97"/>
        <v>Error?</v>
      </c>
      <c r="E6282" s="2" t="s">
        <v>199</v>
      </c>
    </row>
    <row r="6283" spans="1:5" x14ac:dyDescent="0.2">
      <c r="A6283">
        <v>6222</v>
      </c>
      <c r="B6283" s="138">
        <f>'Acct Summary 7-8'!J83</f>
        <v>0.98616446383228074</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388853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388853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367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367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279</v>
      </c>
      <c r="D6329" s="2" t="str">
        <f t="shared" si="97"/>
        <v>Error?</v>
      </c>
      <c r="E6329" s="2" t="s">
        <v>199</v>
      </c>
    </row>
    <row r="6330" spans="1:5" x14ac:dyDescent="0.2">
      <c r="A6330">
        <v>6269</v>
      </c>
      <c r="B6330" s="138">
        <f>'Revenues 9-14'!C100</f>
        <v>161929</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30834</v>
      </c>
      <c r="D6339" s="2" t="str">
        <f t="shared" si="98"/>
        <v>Error?</v>
      </c>
      <c r="E6339" s="2" t="s">
        <v>199</v>
      </c>
    </row>
    <row r="6340" spans="1:5" x14ac:dyDescent="0.2">
      <c r="A6340">
        <v>6279</v>
      </c>
      <c r="B6340" s="138">
        <f>'Revenues 9-14'!C102</f>
        <v>1951</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279</v>
      </c>
      <c r="D6351" s="2" t="str">
        <f t="shared" si="98"/>
        <v>Error?</v>
      </c>
      <c r="E6351" s="2" t="s">
        <v>199</v>
      </c>
    </row>
    <row r="6352" spans="1:5" x14ac:dyDescent="0.2">
      <c r="A6352">
        <v>6291</v>
      </c>
      <c r="B6352" s="138">
        <f>'Revenues 9-14'!J109</f>
        <v>389499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100168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52875</v>
      </c>
      <c r="D6987" s="2" t="str">
        <f t="shared" si="108"/>
        <v>Error?</v>
      </c>
    </row>
    <row r="6988" spans="1:4" x14ac:dyDescent="0.2">
      <c r="A6988">
        <v>6927</v>
      </c>
      <c r="B6988" s="138">
        <f>'Expenditures 15-22'!K88</f>
        <v>52875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52875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328913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389499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1189</v>
      </c>
      <c r="D7067" s="2" t="str">
        <f t="shared" si="109"/>
        <v>Error?</v>
      </c>
    </row>
    <row r="7068" spans="1:4" x14ac:dyDescent="0.2">
      <c r="A7068">
        <v>7007</v>
      </c>
      <c r="B7068" s="138">
        <f>'Expenditures 15-22'!K205</f>
        <v>1189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925</v>
      </c>
      <c r="D7079" s="2" t="str">
        <f t="shared" si="109"/>
        <v>Error?</v>
      </c>
    </row>
    <row r="7080" spans="1:4" x14ac:dyDescent="0.2">
      <c r="A7080">
        <v>7019</v>
      </c>
      <c r="B7080" s="138">
        <f>'Expenditures 15-22'!K226</f>
        <v>925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13932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13932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11951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11951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242881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51634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294515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8515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8515</v>
      </c>
      <c r="D7198" s="2" t="str">
        <f t="shared" si="111"/>
        <v>Error?</v>
      </c>
    </row>
    <row r="7199" spans="1:4" x14ac:dyDescent="0.2">
      <c r="A7199">
        <v>7138</v>
      </c>
      <c r="B7199" s="138">
        <f>'Expenditures 15-22'!C330</f>
        <v>242881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86032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328913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242881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86032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328913</v>
      </c>
      <c r="D7224" s="2" t="str">
        <f t="shared" si="111"/>
        <v>Error?</v>
      </c>
    </row>
    <row r="7225" spans="1:4" x14ac:dyDescent="0.2">
      <c r="A7225">
        <v>7164</v>
      </c>
      <c r="B7225" s="138">
        <f>'Expenditures 15-22'!K343</f>
        <v>60586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72123</v>
      </c>
      <c r="D7263" s="2" t="str">
        <f t="shared" si="112"/>
        <v>Error?</v>
      </c>
    </row>
    <row r="7264" spans="1:4" x14ac:dyDescent="0.2">
      <c r="A7264">
        <f t="shared" si="113"/>
        <v>7203</v>
      </c>
      <c r="B7264" s="138">
        <f>'Expenditures 15-22'!D17</f>
        <v>25058</v>
      </c>
      <c r="D7264" s="2" t="str">
        <f t="shared" si="112"/>
        <v>Error?</v>
      </c>
    </row>
    <row r="7265" spans="1:5" x14ac:dyDescent="0.2">
      <c r="A7265">
        <f t="shared" si="113"/>
        <v>7204</v>
      </c>
      <c r="B7265" s="138">
        <f>'Expenditures 15-22'!E17</f>
        <v>1519</v>
      </c>
      <c r="D7265" s="2" t="str">
        <f t="shared" si="112"/>
        <v>Error?</v>
      </c>
    </row>
    <row r="7266" spans="1:5" x14ac:dyDescent="0.2">
      <c r="A7266">
        <f t="shared" si="113"/>
        <v>7205</v>
      </c>
      <c r="B7266" s="138">
        <f>'Expenditures 15-22'!F17</f>
        <v>1468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727521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30834</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19870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50704</v>
      </c>
      <c r="D7719" s="2" t="str">
        <f t="shared" si="126"/>
        <v>Error?</v>
      </c>
      <c r="E7719" s="2" t="s">
        <v>881</v>
      </c>
    </row>
    <row r="7720" spans="1:6" x14ac:dyDescent="0.2">
      <c r="A7720">
        <v>7659</v>
      </c>
      <c r="B7720" s="138">
        <f>'Rest Tax Levies-Tort Im 25'!H14</f>
        <v>23505</v>
      </c>
      <c r="D7720" s="2" t="str">
        <f t="shared" si="126"/>
        <v>Error?</v>
      </c>
      <c r="E7720" s="2" t="s">
        <v>881</v>
      </c>
    </row>
    <row r="7721" spans="1:6" x14ac:dyDescent="0.2">
      <c r="A7721">
        <v>7660</v>
      </c>
      <c r="B7721" s="138">
        <f>'Rest Tax Levies-Tort Im 25'!K14</f>
        <v>50704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26465</v>
      </c>
      <c r="D7797" s="2" t="str">
        <f t="shared" si="127"/>
        <v>Error?</v>
      </c>
      <c r="E7797" s="4" t="s">
        <v>2020</v>
      </c>
    </row>
    <row r="7798" spans="1:5" x14ac:dyDescent="0.2">
      <c r="A7798">
        <v>7737</v>
      </c>
      <c r="B7798" s="138">
        <f>'Contracts Paid in CY 29'!F141</f>
        <v>26465</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Hall HSD 502</v>
      </c>
      <c r="B7" s="2404"/>
      <c r="C7" s="2404"/>
      <c r="D7" s="2441"/>
      <c r="E7" s="2442">
        <f>COVER!A13</f>
        <v>28006502017</v>
      </c>
      <c r="F7" s="2443"/>
      <c r="G7" s="2410">
        <f>COVER!T23</f>
        <v>66.004501000000005</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Hopkins &amp; Associates, CPAs</v>
      </c>
      <c r="H9" s="2417"/>
      <c r="I9" s="2417"/>
      <c r="J9" s="2417"/>
      <c r="K9" s="2417"/>
      <c r="L9" s="2418"/>
    </row>
    <row r="10" spans="1:29" ht="13.5" customHeight="1" x14ac:dyDescent="0.2">
      <c r="A10" s="2400" t="str">
        <f>COVER!A38</f>
        <v>Jesse Brandt</v>
      </c>
      <c r="B10" s="2401"/>
      <c r="C10" s="2401"/>
      <c r="D10" s="2401"/>
      <c r="E10" s="2401"/>
      <c r="F10" s="2402"/>
      <c r="G10" s="2416" t="str">
        <f>COVER!T17</f>
        <v>314 S McCoy St</v>
      </c>
      <c r="H10" s="2429"/>
      <c r="I10" s="2429"/>
      <c r="J10" s="2429"/>
      <c r="K10" s="2429"/>
      <c r="L10" s="2430"/>
    </row>
    <row r="11" spans="1:29" ht="13.5" customHeight="1" x14ac:dyDescent="0.2">
      <c r="A11" s="1185" t="s">
        <v>1599</v>
      </c>
      <c r="B11" s="1186"/>
      <c r="C11" s="1187"/>
      <c r="D11" s="1192"/>
      <c r="E11" s="1187"/>
      <c r="F11" s="1191"/>
      <c r="G11" s="2416" t="str">
        <f>COVER!T19</f>
        <v>Granville</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kim@hopkinsoffice.com</v>
      </c>
      <c r="J13" s="2438"/>
      <c r="K13" s="2438"/>
      <c r="L13" s="2439"/>
    </row>
    <row r="14" spans="1:29" ht="13.5" customHeight="1" x14ac:dyDescent="0.2">
      <c r="A14" s="2416" t="str">
        <f>COVER!A19</f>
        <v>800 W Erie Street</v>
      </c>
      <c r="B14" s="2429"/>
      <c r="C14" s="2429"/>
      <c r="D14" s="2429"/>
      <c r="E14" s="2429"/>
      <c r="F14" s="2430"/>
      <c r="G14" s="1196" t="s">
        <v>1247</v>
      </c>
      <c r="H14" s="1194"/>
      <c r="I14" s="1194"/>
      <c r="J14" s="1194"/>
      <c r="K14" s="1194"/>
      <c r="L14" s="1195"/>
    </row>
    <row r="15" spans="1:29" ht="13.5" customHeight="1" x14ac:dyDescent="0.2">
      <c r="A15" s="2416" t="str">
        <f>COVER!A21</f>
        <v>Spring Valley</v>
      </c>
      <c r="B15" s="2429"/>
      <c r="C15" s="2429"/>
      <c r="D15" s="2429"/>
      <c r="E15" s="2429"/>
      <c r="F15" s="2430"/>
      <c r="G15" s="2426" t="str">
        <f>COVER!T15</f>
        <v>Kim Bird</v>
      </c>
      <c r="H15" s="2427"/>
      <c r="I15" s="2427"/>
      <c r="J15" s="2427"/>
      <c r="K15" s="2427"/>
      <c r="L15" s="2428"/>
    </row>
    <row r="16" spans="1:29" ht="12.2" customHeight="1" x14ac:dyDescent="0.2">
      <c r="A16" s="2406">
        <f>COVER!A25</f>
        <v>61362</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815-339-6630</v>
      </c>
      <c r="H18" s="2404"/>
      <c r="I18" s="2404"/>
      <c r="J18" s="2404"/>
      <c r="K18" s="2403" t="str">
        <f>COVER!X21</f>
        <v>815-339-6643</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Hall HSD 502</v>
      </c>
      <c r="B1" s="2440"/>
      <c r="C1" s="2440"/>
      <c r="D1" s="2440"/>
    </row>
    <row r="2" spans="1:11" s="1215" customFormat="1" ht="12.75" x14ac:dyDescent="0.2">
      <c r="A2" s="2445">
        <f>'Single Audit Cover'!E7</f>
        <v>28006502017</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Hall HSD 502</v>
      </c>
      <c r="B1" s="2448"/>
      <c r="C1" s="2448"/>
      <c r="D1" s="2448"/>
      <c r="E1" s="2448"/>
    </row>
    <row r="2" spans="1:5" x14ac:dyDescent="0.2">
      <c r="A2" s="2449">
        <f>'Single Audit Cover'!E7</f>
        <v>28006502017</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218959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17700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-13752</v>
      </c>
    </row>
    <row r="19" spans="1:4" ht="13.5" thickBot="1" x14ac:dyDescent="0.25">
      <c r="A19" s="1265" t="s">
        <v>1297</v>
      </c>
      <c r="D19" s="1266">
        <f>SUM(D10:D17)</f>
        <v>222907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222907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222907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Hall HSD 502</v>
      </c>
      <c r="B1" s="2453"/>
      <c r="C1" s="2453"/>
      <c r="D1" s="2453"/>
      <c r="E1" s="2453"/>
      <c r="F1" s="2453"/>
    </row>
    <row r="2" spans="1:7" ht="13.5" customHeight="1" x14ac:dyDescent="0.2">
      <c r="A2" s="2454">
        <f>'Single Audit Cover'!E7</f>
        <v>28006502017</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Hall HSD 502</v>
      </c>
      <c r="C1" s="2465"/>
      <c r="D1" s="2465"/>
      <c r="E1" s="2465"/>
      <c r="F1" s="2465"/>
      <c r="G1" s="2465"/>
      <c r="H1" s="2465"/>
      <c r="I1" s="2465"/>
      <c r="J1" s="2465"/>
      <c r="K1" s="2465"/>
      <c r="L1" s="2465"/>
      <c r="M1" s="2465"/>
    </row>
    <row r="2" spans="2:14" ht="15" x14ac:dyDescent="0.2">
      <c r="B2" s="2454">
        <f>'Single Audit Cover'!E7</f>
        <v>28006502017</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2093</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2085</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Hall HSD 502</v>
      </c>
      <c r="C1" s="2473"/>
      <c r="D1" s="2473"/>
      <c r="E1" s="2473"/>
      <c r="F1" s="2473"/>
      <c r="G1" s="2473"/>
      <c r="H1" s="2473"/>
      <c r="I1" s="2473"/>
      <c r="J1" s="1422"/>
    </row>
    <row r="2" spans="2:10" s="317" customFormat="1" ht="12.75" customHeight="1" x14ac:dyDescent="0.2">
      <c r="B2" s="2474">
        <f>'Single Audit Cover'!E7</f>
        <v>28006502017</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Hall HSD 502</v>
      </c>
      <c r="C1" s="2472"/>
      <c r="D1" s="2472"/>
      <c r="E1" s="2472"/>
      <c r="F1" s="2472"/>
      <c r="G1" s="2472"/>
      <c r="H1" s="2472"/>
      <c r="I1" s="2472"/>
      <c r="J1" s="2472"/>
      <c r="K1" s="2472"/>
      <c r="L1" s="1374"/>
      <c r="M1" s="1374"/>
    </row>
    <row r="2" spans="1:13" ht="12" customHeight="1" x14ac:dyDescent="0.2">
      <c r="B2" s="2474">
        <f>'Single Audit Cover'!E7</f>
        <v>28006502017</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Hall HSD 502</v>
      </c>
      <c r="C1" s="2499"/>
      <c r="D1" s="2499"/>
      <c r="E1" s="2499"/>
      <c r="F1" s="2499"/>
      <c r="G1" s="2499"/>
      <c r="H1" s="2499"/>
      <c r="I1" s="2499"/>
      <c r="J1" s="2499"/>
      <c r="K1" s="2499"/>
      <c r="L1" s="1465"/>
    </row>
    <row r="2" spans="1:12" ht="12.75" customHeight="1" x14ac:dyDescent="0.2">
      <c r="B2" s="2500">
        <f>'Single Audit Cover'!E7</f>
        <v>28006502017</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Hall HSD 502</v>
      </c>
      <c r="C1" s="2472"/>
      <c r="D1" s="2472"/>
      <c r="E1" s="1491"/>
    </row>
    <row r="2" spans="2:5" s="1282" customFormat="1" ht="12.75" customHeight="1" x14ac:dyDescent="0.2">
      <c r="B2" s="2474">
        <f>'Single Audit Cover'!E7</f>
        <v>28006502017</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121368500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1.61E-2</v>
      </c>
      <c r="E10" s="356" t="s">
        <v>1062</v>
      </c>
      <c r="F10" s="355">
        <v>2.5000000000000001E-3</v>
      </c>
      <c r="G10" s="356" t="s">
        <v>1062</v>
      </c>
      <c r="H10" s="355">
        <v>1.1999999999999999E-3</v>
      </c>
      <c r="I10" s="356" t="s">
        <v>1063</v>
      </c>
      <c r="J10" s="1754">
        <f>ROUND(D10+F10+H10,5)</f>
        <v>1.9800000000000002E-2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4940226</v>
      </c>
      <c r="E16" s="356"/>
      <c r="F16" s="1755">
        <f>SUM('Acct Summary 7-8'!C17,'Acct Summary 7-8'!D17,'Acct Summary 7-8'!F17)</f>
        <v>4431598</v>
      </c>
      <c r="G16" s="356"/>
      <c r="H16" s="1755">
        <f>SUM(D16-F16)</f>
        <v>508628</v>
      </c>
      <c r="I16" s="222"/>
      <c r="J16" s="1755">
        <f>SUM('Acct Summary 7-8'!C81,'Acct Summary 7-8'!D81,'Acct Summary 7-8'!F81,'Acct Summary 7-8'!I81)</f>
        <v>2120579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8374426.5000000009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43567044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Hall HSD 502</v>
      </c>
      <c r="E7" s="391"/>
      <c r="G7" s="252"/>
      <c r="H7" s="387"/>
      <c r="I7" s="387"/>
      <c r="J7" s="387"/>
      <c r="K7" s="387"/>
      <c r="L7" s="329"/>
      <c r="M7" s="329"/>
      <c r="N7" s="329"/>
      <c r="O7" s="329"/>
      <c r="P7" s="329"/>
    </row>
    <row r="8" spans="1:18" ht="12.75" x14ac:dyDescent="0.2">
      <c r="A8" s="329"/>
      <c r="B8" s="329"/>
      <c r="C8" s="389" t="s">
        <v>1187</v>
      </c>
      <c r="D8" s="392">
        <f>COVER!A13</f>
        <v>28006502017</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2120579</v>
      </c>
      <c r="I12" s="404"/>
      <c r="J12" s="404"/>
      <c r="K12" s="405">
        <f>TRUNC((H12/H13*100000),5)/100000</f>
        <v>0.42924736640000005</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4940226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4431598</v>
      </c>
      <c r="I17" s="404"/>
      <c r="J17" s="416"/>
      <c r="K17" s="405">
        <f>TRUNC((H17/H18*100000),5)/100000</f>
        <v>0.89704357650000011</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4940226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2120579</v>
      </c>
      <c r="I24" s="422"/>
      <c r="J24" s="422"/>
      <c r="K24" s="423">
        <f>TRUNC(((H24/H25*100000)/100000),2)</f>
        <v>172.26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12309.99444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2042631.855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43567044</v>
      </c>
      <c r="I32" s="420"/>
      <c r="J32" s="420"/>
      <c r="K32" s="423">
        <f>TRUNC(100-((((H32/H33*100))*100)/100),2)</f>
        <v>-420.23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8374426.5000000009</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7" activePane="bottomLeft" state="frozen"/>
      <selection activeCell="A47" sqref="A47"/>
      <selection pane="bottomLeft" activeCell="F40" sqref="F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658060</v>
      </c>
      <c r="D4" s="466">
        <v>317567</v>
      </c>
      <c r="E4" s="466">
        <v>122008</v>
      </c>
      <c r="F4" s="466">
        <v>56419</v>
      </c>
      <c r="G4" s="466">
        <v>84057</v>
      </c>
      <c r="H4" s="466"/>
      <c r="I4" s="466">
        <v>83821</v>
      </c>
      <c r="J4" s="467">
        <v>61436</v>
      </c>
      <c r="K4" s="466">
        <v>96</v>
      </c>
      <c r="L4" s="466">
        <f>83902+351051</f>
        <v>434953</v>
      </c>
      <c r="M4" s="468"/>
      <c r="N4" s="469"/>
    </row>
    <row r="5" spans="1:14" x14ac:dyDescent="0.2">
      <c r="A5" s="463" t="s">
        <v>1049</v>
      </c>
      <c r="B5" s="470">
        <v>120</v>
      </c>
      <c r="C5" s="465"/>
      <c r="D5" s="466"/>
      <c r="E5" s="466"/>
      <c r="F5" s="466"/>
      <c r="G5" s="466"/>
      <c r="H5" s="466"/>
      <c r="I5" s="466">
        <v>1004712</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658060</v>
      </c>
      <c r="D13" s="1759">
        <f t="shared" ref="D13:L13" si="0">SUM(D4:D12)</f>
        <v>317567</v>
      </c>
      <c r="E13" s="1759">
        <f t="shared" si="0"/>
        <v>122008</v>
      </c>
      <c r="F13" s="1759">
        <f t="shared" si="0"/>
        <v>56419</v>
      </c>
      <c r="G13" s="1759">
        <f t="shared" si="0"/>
        <v>84057</v>
      </c>
      <c r="H13" s="1759">
        <f t="shared" si="0"/>
        <v>0</v>
      </c>
      <c r="I13" s="1759">
        <f t="shared" si="0"/>
        <v>1088533</v>
      </c>
      <c r="J13" s="1759">
        <f t="shared" si="0"/>
        <v>61436</v>
      </c>
      <c r="K13" s="1759">
        <f t="shared" si="0"/>
        <v>96</v>
      </c>
      <c r="L13" s="1759">
        <f t="shared" si="0"/>
        <v>434953</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51157</v>
      </c>
      <c r="N16" s="484"/>
    </row>
    <row r="17" spans="1:14" s="485" customFormat="1" ht="12.75" customHeight="1" x14ac:dyDescent="0.2">
      <c r="A17" s="482" t="s">
        <v>1470</v>
      </c>
      <c r="B17" s="483">
        <v>230</v>
      </c>
      <c r="C17" s="477"/>
      <c r="D17" s="477"/>
      <c r="E17" s="477"/>
      <c r="F17" s="477"/>
      <c r="G17" s="477"/>
      <c r="H17" s="477"/>
      <c r="I17" s="477"/>
      <c r="J17" s="477"/>
      <c r="K17" s="477"/>
      <c r="L17" s="477"/>
      <c r="M17" s="467">
        <v>31985115</v>
      </c>
      <c r="N17" s="484"/>
    </row>
    <row r="18" spans="1:14" s="485" customFormat="1" ht="12.75" customHeight="1" x14ac:dyDescent="0.2">
      <c r="A18" s="482" t="s">
        <v>1471</v>
      </c>
      <c r="B18" s="483">
        <v>240</v>
      </c>
      <c r="C18" s="477"/>
      <c r="D18" s="477"/>
      <c r="E18" s="477"/>
      <c r="F18" s="477"/>
      <c r="G18" s="477"/>
      <c r="H18" s="477"/>
      <c r="I18" s="477"/>
      <c r="J18" s="477"/>
      <c r="K18" s="477"/>
      <c r="L18" s="477"/>
      <c r="M18" s="467">
        <v>173052</v>
      </c>
      <c r="N18" s="484"/>
    </row>
    <row r="19" spans="1:14" s="485" customFormat="1" ht="12.75" customHeight="1" x14ac:dyDescent="0.2">
      <c r="A19" s="482" t="s">
        <v>1472</v>
      </c>
      <c r="B19" s="483">
        <v>250</v>
      </c>
      <c r="C19" s="477"/>
      <c r="D19" s="477"/>
      <c r="E19" s="477"/>
      <c r="F19" s="477"/>
      <c r="G19" s="477"/>
      <c r="H19" s="477"/>
      <c r="I19" s="477"/>
      <c r="J19" s="477"/>
      <c r="K19" s="477"/>
      <c r="L19" s="477"/>
      <c r="M19" s="467">
        <v>797795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122008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43445036</v>
      </c>
    </row>
    <row r="23" spans="1:14" ht="13.5" customHeight="1" thickBot="1" x14ac:dyDescent="0.25">
      <c r="A23" s="1758" t="s">
        <v>664</v>
      </c>
      <c r="B23" s="1763"/>
      <c r="C23" s="468"/>
      <c r="D23" s="468"/>
      <c r="E23" s="468"/>
      <c r="F23" s="468"/>
      <c r="G23" s="468"/>
      <c r="H23" s="468"/>
      <c r="I23" s="468"/>
      <c r="J23" s="468"/>
      <c r="K23" s="468"/>
      <c r="L23" s="468"/>
      <c r="M23" s="1710">
        <f>SUM(M15:M22)</f>
        <v>33007119</v>
      </c>
      <c r="N23" s="1710">
        <f>SUM(N21:N22)</f>
        <v>43567044</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83902</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83902</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43567044</v>
      </c>
    </row>
    <row r="37" spans="1:14" ht="13.5" thickBot="1" x14ac:dyDescent="0.25">
      <c r="A37" s="1758" t="s">
        <v>674</v>
      </c>
      <c r="B37" s="1763"/>
      <c r="C37" s="477"/>
      <c r="D37" s="477"/>
      <c r="E37" s="477"/>
      <c r="F37" s="477"/>
      <c r="G37" s="477"/>
      <c r="H37" s="477"/>
      <c r="I37" s="477"/>
      <c r="J37" s="477"/>
      <c r="K37" s="477"/>
      <c r="L37" s="480"/>
      <c r="M37" s="468"/>
      <c r="N37" s="1710">
        <f>SUM(N36:N36)</f>
        <v>43567044</v>
      </c>
    </row>
    <row r="38" spans="1:14" s="329" customFormat="1" ht="13.5" customHeight="1" thickTop="1" x14ac:dyDescent="0.2">
      <c r="A38" s="496" t="s">
        <v>440</v>
      </c>
      <c r="B38" s="483">
        <v>714</v>
      </c>
      <c r="C38" s="466">
        <f>35157+8876</f>
        <v>44033</v>
      </c>
      <c r="D38" s="466"/>
      <c r="E38" s="466"/>
      <c r="F38" s="466"/>
      <c r="G38" s="466">
        <v>24749</v>
      </c>
      <c r="H38" s="466"/>
      <c r="I38" s="466"/>
      <c r="J38" s="467"/>
      <c r="K38" s="466"/>
      <c r="L38" s="481">
        <v>351051</v>
      </c>
      <c r="M38" s="497"/>
      <c r="N38" s="497"/>
    </row>
    <row r="39" spans="1:14" s="329" customFormat="1" ht="13.5" customHeight="1" x14ac:dyDescent="0.2">
      <c r="A39" s="496" t="s">
        <v>360</v>
      </c>
      <c r="B39" s="483">
        <v>730</v>
      </c>
      <c r="C39" s="466">
        <f>-44033+658060</f>
        <v>614027</v>
      </c>
      <c r="D39" s="466">
        <v>317567</v>
      </c>
      <c r="E39" s="466">
        <v>122008</v>
      </c>
      <c r="F39" s="466">
        <v>56419</v>
      </c>
      <c r="G39" s="466">
        <f>84057-24749</f>
        <v>59308</v>
      </c>
      <c r="H39" s="466"/>
      <c r="I39" s="466">
        <v>1088533</v>
      </c>
      <c r="J39" s="467">
        <v>61436</v>
      </c>
      <c r="K39" s="466">
        <v>96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33007119</v>
      </c>
      <c r="N40" s="497"/>
    </row>
    <row r="41" spans="1:14" ht="13.5" customHeight="1" thickBot="1" x14ac:dyDescent="0.25">
      <c r="A41" s="1758" t="s">
        <v>676</v>
      </c>
      <c r="B41" s="1728"/>
      <c r="C41" s="1710">
        <f>(SUM(C34,C37,C38,C39))</f>
        <v>658060</v>
      </c>
      <c r="D41" s="1710">
        <f t="shared" ref="D41:L41" si="2">SUM(D34,D37,D38:D39)</f>
        <v>317567</v>
      </c>
      <c r="E41" s="1710">
        <f t="shared" si="2"/>
        <v>122008</v>
      </c>
      <c r="F41" s="1710">
        <f t="shared" si="2"/>
        <v>56419</v>
      </c>
      <c r="G41" s="1710">
        <f t="shared" si="2"/>
        <v>84057</v>
      </c>
      <c r="H41" s="1710">
        <f t="shared" si="2"/>
        <v>0</v>
      </c>
      <c r="I41" s="1710">
        <f t="shared" si="2"/>
        <v>1088533</v>
      </c>
      <c r="J41" s="1710">
        <f t="shared" si="2"/>
        <v>61436</v>
      </c>
      <c r="K41" s="1710">
        <f t="shared" si="2"/>
        <v>96</v>
      </c>
      <c r="L41" s="1710">
        <f t="shared" si="2"/>
        <v>434953</v>
      </c>
      <c r="M41" s="1710">
        <f>SUM(M40)</f>
        <v>33007119</v>
      </c>
      <c r="N41" s="1710">
        <f>SUM(N37)</f>
        <v>43567044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D81" sqref="D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8" t="s">
        <v>1237</v>
      </c>
      <c r="B3" s="2149"/>
      <c r="C3" s="1595"/>
      <c r="D3" s="1596"/>
      <c r="E3" s="1596"/>
      <c r="F3" s="1596"/>
      <c r="G3" s="1596"/>
      <c r="H3" s="1596"/>
      <c r="I3" s="1596"/>
      <c r="J3" s="1596"/>
      <c r="K3" s="1597"/>
      <c r="L3" s="506"/>
    </row>
    <row r="4" spans="1:13" ht="15.75" customHeight="1" x14ac:dyDescent="0.2">
      <c r="A4" s="2150" t="s">
        <v>1579</v>
      </c>
      <c r="B4" s="2151"/>
      <c r="C4" s="1764">
        <f>'Revenues 9-14'!C109</f>
        <v>2580146</v>
      </c>
      <c r="D4" s="1764">
        <f>'Revenues 9-14'!D109</f>
        <v>308817</v>
      </c>
      <c r="E4" s="1764">
        <f>'Revenues 9-14'!E109</f>
        <v>2829745</v>
      </c>
      <c r="F4" s="1764">
        <f>'Revenues 9-14'!F109</f>
        <v>140538</v>
      </c>
      <c r="G4" s="1764">
        <f>'Revenues 9-14'!G109</f>
        <v>168822</v>
      </c>
      <c r="H4" s="1764">
        <f>'Revenues 9-14'!H109</f>
        <v>0</v>
      </c>
      <c r="I4" s="1764">
        <f>'Revenues 9-14'!I109</f>
        <v>65983</v>
      </c>
      <c r="J4" s="1764">
        <f>'Revenues 9-14'!J109</f>
        <v>389499</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1274645</v>
      </c>
      <c r="D6" s="1765">
        <f>'Revenues 9-14'!D173</f>
        <v>284387</v>
      </c>
      <c r="E6" s="1765">
        <f>'Revenues 9-14'!E173</f>
        <v>0</v>
      </c>
      <c r="F6" s="1765">
        <f>'Revenues 9-14'!F173</f>
        <v>66751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218959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4073750</v>
      </c>
      <c r="D8" s="1710">
        <f t="shared" ref="D8:K8" si="0">SUM(D4:D7)</f>
        <v>593204</v>
      </c>
      <c r="E8" s="1710">
        <f t="shared" si="0"/>
        <v>2829745</v>
      </c>
      <c r="F8" s="1710">
        <f t="shared" si="0"/>
        <v>207289</v>
      </c>
      <c r="G8" s="1710">
        <f t="shared" si="0"/>
        <v>168822</v>
      </c>
      <c r="H8" s="1710">
        <f t="shared" si="0"/>
        <v>0</v>
      </c>
      <c r="I8" s="1710">
        <f t="shared" si="0"/>
        <v>65983</v>
      </c>
      <c r="J8" s="1710">
        <f t="shared" si="0"/>
        <v>389499</v>
      </c>
      <c r="K8" s="1710">
        <f t="shared" si="0"/>
        <v>0</v>
      </c>
      <c r="L8" s="347"/>
    </row>
    <row r="9" spans="1:13" ht="15.75" thickTop="1" x14ac:dyDescent="0.2">
      <c r="A9" s="514" t="s">
        <v>1752</v>
      </c>
      <c r="B9" s="515">
        <v>3998</v>
      </c>
      <c r="C9" s="481">
        <f>27834+1656299</f>
        <v>1684133</v>
      </c>
      <c r="D9" s="516"/>
      <c r="E9" s="481"/>
      <c r="F9" s="481"/>
      <c r="G9" s="517"/>
      <c r="H9" s="481"/>
      <c r="I9" s="509" t="s">
        <v>1231</v>
      </c>
      <c r="J9" s="478"/>
      <c r="K9" s="481"/>
      <c r="L9" s="347"/>
    </row>
    <row r="10" spans="1:13" s="519" customFormat="1" ht="13.5" thickBot="1" x14ac:dyDescent="0.25">
      <c r="A10" s="1758" t="s">
        <v>1235</v>
      </c>
      <c r="B10" s="1731"/>
      <c r="C10" s="1710">
        <f>SUM(C8:C9)</f>
        <v>5757883</v>
      </c>
      <c r="D10" s="1710">
        <f t="shared" ref="D10:K10" si="1">SUM(D8:D9)</f>
        <v>593204</v>
      </c>
      <c r="E10" s="1710">
        <f t="shared" si="1"/>
        <v>2829745</v>
      </c>
      <c r="F10" s="1710">
        <f t="shared" si="1"/>
        <v>207289</v>
      </c>
      <c r="G10" s="1710">
        <f t="shared" si="1"/>
        <v>168822</v>
      </c>
      <c r="H10" s="1710">
        <f t="shared" si="1"/>
        <v>0</v>
      </c>
      <c r="I10" s="1710">
        <f t="shared" si="1"/>
        <v>65983</v>
      </c>
      <c r="J10" s="1710">
        <f t="shared" si="1"/>
        <v>389499</v>
      </c>
      <c r="K10" s="1710">
        <f t="shared" si="1"/>
        <v>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2685331</v>
      </c>
      <c r="D12" s="520" t="s">
        <v>1231</v>
      </c>
      <c r="E12" s="468" t="s">
        <v>1231</v>
      </c>
      <c r="F12" s="468" t="s">
        <v>1231</v>
      </c>
      <c r="G12" s="1764">
        <f>'Expenditures 15-22'!K229</f>
        <v>50695</v>
      </c>
      <c r="H12" s="521"/>
      <c r="I12" s="468" t="s">
        <v>1231</v>
      </c>
      <c r="J12" s="468" t="s">
        <v>1231</v>
      </c>
      <c r="K12" s="521" t="s">
        <v>1231</v>
      </c>
      <c r="L12" s="347"/>
    </row>
    <row r="13" spans="1:13" ht="15.75" customHeight="1" x14ac:dyDescent="0.2">
      <c r="A13" s="1598" t="s">
        <v>477</v>
      </c>
      <c r="B13" s="1600">
        <v>2000</v>
      </c>
      <c r="C13" s="1765">
        <f>'Expenditures 15-22'!K74</f>
        <v>908670</v>
      </c>
      <c r="D13" s="1765">
        <f>'Expenditures 15-22'!K129</f>
        <v>496395</v>
      </c>
      <c r="E13" s="469" t="s">
        <v>1231</v>
      </c>
      <c r="F13" s="1765">
        <f>'Expenditures 15-22'!K184</f>
        <v>172661</v>
      </c>
      <c r="G13" s="1765">
        <f>'Expenditures 15-22'!K279</f>
        <v>93427</v>
      </c>
      <c r="H13" s="1765">
        <f>'Expenditures 15-22'!K303</f>
        <v>0</v>
      </c>
      <c r="I13" s="468" t="s">
        <v>1231</v>
      </c>
      <c r="J13" s="1765">
        <f>'Expenditures 15-22'!K330</f>
        <v>328913</v>
      </c>
      <c r="K13" s="1769">
        <f>'Expenditures 15-22'!K352</f>
        <v>0</v>
      </c>
      <c r="L13" s="347"/>
    </row>
    <row r="14" spans="1:13" ht="15.75" customHeight="1" x14ac:dyDescent="0.2">
      <c r="A14" s="1598" t="s">
        <v>469</v>
      </c>
      <c r="B14" s="1600">
        <v>3000</v>
      </c>
      <c r="C14" s="1765">
        <f>'Expenditures 15-22'!K75</f>
        <v>16139</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144427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2776159</v>
      </c>
      <c r="F16" s="1765">
        <f>'Expenditures 15-22'!K208</f>
        <v>7975</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3754567</v>
      </c>
      <c r="D17" s="1710">
        <f t="shared" si="2"/>
        <v>496395</v>
      </c>
      <c r="E17" s="1710">
        <f t="shared" si="2"/>
        <v>2776159</v>
      </c>
      <c r="F17" s="1710">
        <f t="shared" si="2"/>
        <v>180636</v>
      </c>
      <c r="G17" s="1710">
        <f t="shared" si="2"/>
        <v>144122</v>
      </c>
      <c r="H17" s="1710">
        <f t="shared" si="2"/>
        <v>0</v>
      </c>
      <c r="I17" s="468"/>
      <c r="J17" s="1710">
        <f>SUM(J12:J16)</f>
        <v>328913</v>
      </c>
      <c r="K17" s="1710">
        <f>SUM(K12:K16)</f>
        <v>0</v>
      </c>
      <c r="L17" s="347"/>
    </row>
    <row r="18" spans="1:12" ht="15" customHeight="1" thickTop="1" x14ac:dyDescent="0.2">
      <c r="A18" s="1766" t="s">
        <v>1753</v>
      </c>
      <c r="B18" s="1767">
        <v>4180</v>
      </c>
      <c r="C18" s="1764">
        <f t="shared" ref="C18:H18" si="3">C9</f>
        <v>1684133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5438700</v>
      </c>
      <c r="D19" s="1710">
        <f t="shared" si="4"/>
        <v>496395</v>
      </c>
      <c r="E19" s="1710">
        <f t="shared" si="4"/>
        <v>2776159</v>
      </c>
      <c r="F19" s="1710">
        <f t="shared" si="4"/>
        <v>180636</v>
      </c>
      <c r="G19" s="1710">
        <f t="shared" si="4"/>
        <v>144122</v>
      </c>
      <c r="H19" s="1710">
        <f t="shared" si="4"/>
        <v>0</v>
      </c>
      <c r="I19" s="468"/>
      <c r="J19" s="1710">
        <f>SUM(J17:J18)</f>
        <v>328913</v>
      </c>
      <c r="K19" s="1710">
        <f>SUM(K17:K18)</f>
        <v>0</v>
      </c>
      <c r="L19" s="347"/>
    </row>
    <row r="20" spans="1:12" ht="16.5" thickTop="1" thickBot="1" x14ac:dyDescent="0.25">
      <c r="A20" s="2138" t="s">
        <v>1754</v>
      </c>
      <c r="B20" s="2139"/>
      <c r="C20" s="1768">
        <f>C8-C17</f>
        <v>319183</v>
      </c>
      <c r="D20" s="1768">
        <f t="shared" ref="D20:K20" si="5">D8-D17</f>
        <v>96809</v>
      </c>
      <c r="E20" s="1768">
        <f t="shared" si="5"/>
        <v>53586</v>
      </c>
      <c r="F20" s="1768">
        <f t="shared" si="5"/>
        <v>26653</v>
      </c>
      <c r="G20" s="1768">
        <f t="shared" si="5"/>
        <v>24700</v>
      </c>
      <c r="H20" s="1768">
        <f t="shared" si="5"/>
        <v>0</v>
      </c>
      <c r="I20" s="1768">
        <f t="shared" si="5"/>
        <v>65983</v>
      </c>
      <c r="J20" s="1768">
        <f t="shared" si="5"/>
        <v>60586</v>
      </c>
      <c r="K20" s="1768">
        <f t="shared" si="5"/>
        <v>0</v>
      </c>
      <c r="L20" s="347"/>
    </row>
    <row r="21" spans="1:12" ht="16.7" customHeight="1" thickTop="1" x14ac:dyDescent="0.2">
      <c r="A21" s="2152" t="s">
        <v>616</v>
      </c>
      <c r="B21" s="2153"/>
      <c r="C21" s="1592"/>
      <c r="D21" s="1593"/>
      <c r="E21" s="1593"/>
      <c r="F21" s="1593"/>
      <c r="G21" s="1593"/>
      <c r="H21" s="1593"/>
      <c r="I21" s="1593"/>
      <c r="J21" s="1593"/>
      <c r="K21" s="1594"/>
      <c r="L21" s="524"/>
    </row>
    <row r="22" spans="1:12" ht="15.75" customHeight="1" collapsed="1" x14ac:dyDescent="0.2">
      <c r="A22" s="2146" t="s">
        <v>617</v>
      </c>
      <c r="B22" s="2147"/>
      <c r="C22" s="477"/>
      <c r="D22" s="477"/>
      <c r="E22" s="477"/>
      <c r="F22" s="477"/>
      <c r="G22" s="477"/>
      <c r="H22" s="477"/>
      <c r="I22" s="477"/>
      <c r="J22" s="477"/>
      <c r="K22" s="477"/>
      <c r="L22" s="347"/>
    </row>
    <row r="23" spans="1:12" s="485" customFormat="1" ht="15.75" customHeight="1" x14ac:dyDescent="0.2">
      <c r="A23" s="2142" t="s">
        <v>311</v>
      </c>
      <c r="B23" s="214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4" t="s">
        <v>1038</v>
      </c>
      <c r="B32" s="2145"/>
      <c r="C32" s="477"/>
      <c r="D32" s="477"/>
      <c r="E32" s="475"/>
      <c r="F32" s="477"/>
      <c r="G32" s="477"/>
      <c r="H32" s="477"/>
      <c r="I32" s="477"/>
      <c r="J32" s="477"/>
      <c r="K32" s="477"/>
      <c r="L32" s="524"/>
    </row>
    <row r="33" spans="1:12" s="485" customFormat="1" x14ac:dyDescent="0.2">
      <c r="A33" s="1511" t="s">
        <v>432</v>
      </c>
      <c r="B33" s="525">
        <v>7210</v>
      </c>
      <c r="C33" s="467"/>
      <c r="D33" s="467"/>
      <c r="E33" s="467">
        <v>40440000</v>
      </c>
      <c r="F33" s="467"/>
      <c r="G33" s="477"/>
      <c r="H33" s="467"/>
      <c r="I33" s="467"/>
      <c r="J33" s="467"/>
      <c r="K33" s="467"/>
      <c r="L33" s="524"/>
    </row>
    <row r="34" spans="1:12" s="485" customFormat="1" x14ac:dyDescent="0.2">
      <c r="A34" s="1511" t="s">
        <v>1058</v>
      </c>
      <c r="B34" s="525">
        <v>7220</v>
      </c>
      <c r="C34" s="467"/>
      <c r="D34" s="467"/>
      <c r="E34" s="467">
        <v>1767583</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4" t="s">
        <v>392</v>
      </c>
      <c r="B44" s="2155"/>
      <c r="C44" s="1725">
        <f>SUM(C24:C43)</f>
        <v>0</v>
      </c>
      <c r="D44" s="1725">
        <f t="shared" ref="D44:K44" si="6">SUM(D24:D43)</f>
        <v>0</v>
      </c>
      <c r="E44" s="1725">
        <f t="shared" si="6"/>
        <v>42207583</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6" t="s">
        <v>110</v>
      </c>
      <c r="B45" s="2147"/>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42207583</v>
      </c>
      <c r="F75" s="532"/>
      <c r="G75" s="532"/>
      <c r="H75" s="532"/>
      <c r="I75" s="530">
        <v>687</v>
      </c>
      <c r="J75" s="530"/>
      <c r="K75" s="532"/>
      <c r="L75" s="524"/>
    </row>
    <row r="76" spans="1:12" s="485" customFormat="1" ht="14.25" thickTop="1" thickBot="1" x14ac:dyDescent="0.25">
      <c r="A76" s="2158" t="s">
        <v>460</v>
      </c>
      <c r="B76" s="2159"/>
      <c r="C76" s="1725">
        <f t="shared" ref="C76:K76" si="7">SUM(C47:C75)</f>
        <v>0</v>
      </c>
      <c r="D76" s="1725">
        <f t="shared" si="7"/>
        <v>0</v>
      </c>
      <c r="E76" s="1725">
        <f t="shared" si="7"/>
        <v>42207583</v>
      </c>
      <c r="F76" s="1725">
        <f t="shared" si="7"/>
        <v>0</v>
      </c>
      <c r="G76" s="1725">
        <f t="shared" si="7"/>
        <v>0</v>
      </c>
      <c r="H76" s="1725">
        <f t="shared" si="7"/>
        <v>0</v>
      </c>
      <c r="I76" s="1725">
        <f t="shared" si="7"/>
        <v>687</v>
      </c>
      <c r="J76" s="1725">
        <f t="shared" si="7"/>
        <v>0</v>
      </c>
      <c r="K76" s="1725">
        <f t="shared" si="7"/>
        <v>0</v>
      </c>
      <c r="L76" s="524"/>
    </row>
    <row r="77" spans="1:12" ht="14.25" thickTop="1" thickBot="1" x14ac:dyDescent="0.25">
      <c r="A77" s="2160" t="s">
        <v>1239</v>
      </c>
      <c r="B77" s="2161"/>
      <c r="C77" s="1725">
        <f t="shared" ref="C77:K77" si="8">C44-C76</f>
        <v>0</v>
      </c>
      <c r="D77" s="1725">
        <f t="shared" si="8"/>
        <v>0</v>
      </c>
      <c r="E77" s="1725">
        <f t="shared" si="8"/>
        <v>0</v>
      </c>
      <c r="F77" s="1725">
        <f t="shared" si="8"/>
        <v>0</v>
      </c>
      <c r="G77" s="1725">
        <f t="shared" si="8"/>
        <v>0</v>
      </c>
      <c r="H77" s="1725">
        <f t="shared" si="8"/>
        <v>0</v>
      </c>
      <c r="I77" s="1725">
        <f t="shared" si="8"/>
        <v>-687</v>
      </c>
      <c r="J77" s="1725">
        <f t="shared" si="8"/>
        <v>0</v>
      </c>
      <c r="K77" s="1725">
        <f t="shared" si="8"/>
        <v>0</v>
      </c>
      <c r="L77" s="347"/>
    </row>
    <row r="78" spans="1:12" ht="21.75" customHeight="1" thickTop="1" thickBot="1" x14ac:dyDescent="0.25">
      <c r="A78" s="2134" t="s">
        <v>618</v>
      </c>
      <c r="B78" s="2135"/>
      <c r="C78" s="1724">
        <f t="shared" ref="C78:K78" si="9">C20+C77</f>
        <v>319183</v>
      </c>
      <c r="D78" s="1724">
        <f t="shared" si="9"/>
        <v>96809</v>
      </c>
      <c r="E78" s="1724">
        <f t="shared" si="9"/>
        <v>53586</v>
      </c>
      <c r="F78" s="1724">
        <f t="shared" si="9"/>
        <v>26653</v>
      </c>
      <c r="G78" s="1724">
        <f t="shared" si="9"/>
        <v>24700</v>
      </c>
      <c r="H78" s="1724">
        <f t="shared" si="9"/>
        <v>0</v>
      </c>
      <c r="I78" s="1724">
        <f t="shared" si="9"/>
        <v>65296</v>
      </c>
      <c r="J78" s="1724">
        <f t="shared" si="9"/>
        <v>60586</v>
      </c>
      <c r="K78" s="1724">
        <f t="shared" si="9"/>
        <v>0</v>
      </c>
      <c r="L78" s="533"/>
    </row>
    <row r="79" spans="1:12" ht="13.5" thickTop="1" x14ac:dyDescent="0.2">
      <c r="A79" s="1516" t="s">
        <v>2073</v>
      </c>
      <c r="B79" s="534"/>
      <c r="C79" s="478">
        <v>338877</v>
      </c>
      <c r="D79" s="535">
        <v>95758</v>
      </c>
      <c r="E79" s="535">
        <v>68422</v>
      </c>
      <c r="F79" s="535">
        <v>154766</v>
      </c>
      <c r="G79" s="535">
        <v>59357</v>
      </c>
      <c r="H79" s="535"/>
      <c r="I79" s="535">
        <v>1023237</v>
      </c>
      <c r="J79" s="535">
        <v>850</v>
      </c>
      <c r="K79" s="535">
        <v>96</v>
      </c>
      <c r="L79" s="347"/>
    </row>
    <row r="80" spans="1:12" x14ac:dyDescent="0.2">
      <c r="A80" s="2140" t="s">
        <v>1898</v>
      </c>
      <c r="B80" s="2141"/>
      <c r="C80" s="467"/>
      <c r="D80" s="467">
        <v>125000</v>
      </c>
      <c r="E80" s="467"/>
      <c r="F80" s="467">
        <v>-125000</v>
      </c>
      <c r="G80" s="467"/>
      <c r="H80" s="467"/>
      <c r="I80" s="467"/>
      <c r="J80" s="467"/>
      <c r="K80" s="467"/>
      <c r="L80" s="347"/>
    </row>
    <row r="81" spans="1:12" ht="13.5" thickBot="1" x14ac:dyDescent="0.25">
      <c r="A81" s="2132" t="s">
        <v>2074</v>
      </c>
      <c r="B81" s="2133"/>
      <c r="C81" s="1710">
        <f>(SUM(C78:C80))</f>
        <v>658060</v>
      </c>
      <c r="D81" s="1710">
        <f>SUM(D78:D80)</f>
        <v>317567</v>
      </c>
      <c r="E81" s="1710">
        <f t="shared" ref="E81:K81" si="10">SUM(E78:E80)</f>
        <v>122008</v>
      </c>
      <c r="F81" s="1710">
        <f t="shared" si="10"/>
        <v>56419</v>
      </c>
      <c r="G81" s="1710">
        <f t="shared" si="10"/>
        <v>84057</v>
      </c>
      <c r="H81" s="1710">
        <f t="shared" si="10"/>
        <v>0</v>
      </c>
      <c r="I81" s="1710">
        <f t="shared" si="10"/>
        <v>1088533</v>
      </c>
      <c r="J81" s="1710">
        <f t="shared" si="10"/>
        <v>61436</v>
      </c>
      <c r="K81" s="1710">
        <f t="shared" si="10"/>
        <v>96</v>
      </c>
      <c r="L81" s="347"/>
    </row>
    <row r="82" spans="1:12" ht="0.75" customHeight="1" thickTop="1" thickBot="1" x14ac:dyDescent="0.25">
      <c r="A82" s="536" t="s">
        <v>361</v>
      </c>
      <c r="B82" s="537"/>
      <c r="C82" s="538">
        <f>(C81-C79)</f>
        <v>319183</v>
      </c>
      <c r="D82" s="538">
        <f t="shared" ref="D82:K82" si="11">(D81-D79)</f>
        <v>221809</v>
      </c>
      <c r="E82" s="538">
        <f t="shared" si="11"/>
        <v>53586</v>
      </c>
      <c r="F82" s="538">
        <f t="shared" si="11"/>
        <v>-98347</v>
      </c>
      <c r="G82" s="538">
        <f t="shared" si="11"/>
        <v>24700</v>
      </c>
      <c r="H82" s="538">
        <f t="shared" si="11"/>
        <v>0</v>
      </c>
      <c r="I82" s="538">
        <f t="shared" si="11"/>
        <v>65296</v>
      </c>
      <c r="J82" s="538">
        <f t="shared" si="11"/>
        <v>60586</v>
      </c>
      <c r="K82" s="538">
        <f t="shared" si="11"/>
        <v>0</v>
      </c>
    </row>
    <row r="83" spans="1:12" ht="14.25" hidden="1" thickTop="1" thickBot="1" x14ac:dyDescent="0.25">
      <c r="A83" s="539" t="s">
        <v>362</v>
      </c>
      <c r="B83" s="464"/>
      <c r="C83" s="540">
        <f>C82/C81</f>
        <v>0.48503631887669818</v>
      </c>
      <c r="D83" s="540">
        <f t="shared" ref="D83:K83" si="12">D82/D81</f>
        <v>0.69846363129670275</v>
      </c>
      <c r="E83" s="540">
        <f t="shared" si="12"/>
        <v>0.43920070815028522</v>
      </c>
      <c r="F83" s="540">
        <f t="shared" si="12"/>
        <v>-1.7431539020542726</v>
      </c>
      <c r="G83" s="540">
        <f t="shared" si="12"/>
        <v>0.29384822203980632</v>
      </c>
      <c r="H83" s="540" t="e">
        <f t="shared" si="12"/>
        <v>#DIV/0!</v>
      </c>
      <c r="I83" s="540">
        <f t="shared" si="12"/>
        <v>5.9985319691731903E-2</v>
      </c>
      <c r="J83" s="540">
        <f t="shared" si="12"/>
        <v>0.98616446383228074</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6" t="s">
        <v>1905</v>
      </c>
      <c r="B1" s="452"/>
      <c r="C1" s="453" t="s">
        <v>445</v>
      </c>
      <c r="D1" s="453" t="s">
        <v>446</v>
      </c>
      <c r="E1" s="453" t="s">
        <v>447</v>
      </c>
      <c r="F1" s="453" t="s">
        <v>448</v>
      </c>
      <c r="G1" s="453" t="s">
        <v>449</v>
      </c>
      <c r="H1" s="453" t="s">
        <v>450</v>
      </c>
      <c r="I1" s="453" t="s">
        <v>451</v>
      </c>
      <c r="J1" s="453" t="s">
        <v>452</v>
      </c>
      <c r="K1" s="453" t="s">
        <v>780</v>
      </c>
    </row>
    <row r="2" spans="1:12" ht="36" x14ac:dyDescent="0.2">
      <c r="A2" s="213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1891660</v>
      </c>
      <c r="D5" s="481">
        <v>293746</v>
      </c>
      <c r="E5" s="466">
        <v>2826787</v>
      </c>
      <c r="F5" s="548">
        <v>140307</v>
      </c>
      <c r="G5" s="466">
        <v>79764</v>
      </c>
      <c r="H5" s="466"/>
      <c r="I5" s="466">
        <v>58751</v>
      </c>
      <c r="J5" s="467">
        <v>388853</v>
      </c>
      <c r="K5" s="466"/>
    </row>
    <row r="6" spans="1:12" ht="15" x14ac:dyDescent="0.2">
      <c r="A6" s="463" t="s">
        <v>1761</v>
      </c>
      <c r="B6" s="470">
        <v>1130</v>
      </c>
      <c r="C6" s="466">
        <v>58757</v>
      </c>
      <c r="D6" s="466"/>
      <c r="E6" s="475"/>
      <c r="F6" s="475"/>
      <c r="G6" s="468"/>
      <c r="H6" s="468"/>
      <c r="I6" s="468"/>
      <c r="J6" s="468"/>
      <c r="K6" s="468"/>
    </row>
    <row r="7" spans="1:12" x14ac:dyDescent="0.2">
      <c r="A7" s="463" t="s">
        <v>112</v>
      </c>
      <c r="B7" s="549">
        <v>1140</v>
      </c>
      <c r="C7" s="466">
        <v>23505</v>
      </c>
      <c r="D7" s="466"/>
      <c r="E7" s="468"/>
      <c r="F7" s="467"/>
      <c r="G7" s="467"/>
      <c r="H7" s="467"/>
      <c r="I7" s="468"/>
      <c r="J7" s="468"/>
      <c r="K7" s="468"/>
    </row>
    <row r="8" spans="1:12" x14ac:dyDescent="0.2">
      <c r="A8" s="463" t="s">
        <v>433</v>
      </c>
      <c r="B8" s="470">
        <v>1150</v>
      </c>
      <c r="C8" s="475"/>
      <c r="D8" s="475"/>
      <c r="E8" s="477"/>
      <c r="F8" s="477"/>
      <c r="G8" s="481">
        <v>84758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1973922</v>
      </c>
      <c r="D12" s="1729">
        <f t="shared" si="0"/>
        <v>293746</v>
      </c>
      <c r="E12" s="1729">
        <f t="shared" si="0"/>
        <v>2826787</v>
      </c>
      <c r="F12" s="1729">
        <f t="shared" si="0"/>
        <v>140307</v>
      </c>
      <c r="G12" s="1729">
        <f t="shared" si="0"/>
        <v>164522</v>
      </c>
      <c r="H12" s="1729">
        <f t="shared" si="0"/>
        <v>0</v>
      </c>
      <c r="I12" s="1729">
        <f t="shared" si="0"/>
        <v>58751</v>
      </c>
      <c r="J12" s="1729">
        <f t="shared" si="0"/>
        <v>388853</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121003</v>
      </c>
      <c r="D16" s="466"/>
      <c r="E16" s="466"/>
      <c r="F16" s="466"/>
      <c r="G16" s="466">
        <v>4000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121003</v>
      </c>
      <c r="D18" s="1732">
        <f t="shared" ref="D18:K18" si="1">SUM(D14:D17)</f>
        <v>0</v>
      </c>
      <c r="E18" s="1732">
        <f t="shared" si="1"/>
        <v>0</v>
      </c>
      <c r="F18" s="1732">
        <f t="shared" si="1"/>
        <v>0</v>
      </c>
      <c r="G18" s="1732">
        <f t="shared" si="1"/>
        <v>4000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2708</v>
      </c>
      <c r="D65" s="466">
        <v>714</v>
      </c>
      <c r="E65" s="466">
        <v>2786</v>
      </c>
      <c r="F65" s="467">
        <v>231</v>
      </c>
      <c r="G65" s="466">
        <v>300</v>
      </c>
      <c r="H65" s="466"/>
      <c r="I65" s="466">
        <v>7232</v>
      </c>
      <c r="J65" s="467">
        <v>367</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2708</v>
      </c>
      <c r="D67" s="1710">
        <f t="shared" ref="D67:K67" si="2">SUM(D65:D66)</f>
        <v>714</v>
      </c>
      <c r="E67" s="1710">
        <f t="shared" si="2"/>
        <v>2786</v>
      </c>
      <c r="F67" s="1710">
        <f t="shared" si="2"/>
        <v>231</v>
      </c>
      <c r="G67" s="1710">
        <f t="shared" si="2"/>
        <v>300</v>
      </c>
      <c r="H67" s="1710">
        <f t="shared" si="2"/>
        <v>0</v>
      </c>
      <c r="I67" s="1710">
        <f t="shared" si="2"/>
        <v>7232</v>
      </c>
      <c r="J67" s="1710">
        <f t="shared" si="2"/>
        <v>367</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107433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107433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36500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36634</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73134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30187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14705</v>
      </c>
      <c r="D92" s="468"/>
      <c r="E92" s="468"/>
      <c r="F92" s="468"/>
      <c r="G92" s="468"/>
      <c r="H92" s="468"/>
      <c r="I92" s="468"/>
      <c r="J92" s="468"/>
      <c r="K92" s="468"/>
    </row>
    <row r="93" spans="1:11" ht="12.75" customHeight="1" thickBot="1" x14ac:dyDescent="0.25">
      <c r="A93" s="1730" t="s">
        <v>261</v>
      </c>
      <c r="B93" s="1731"/>
      <c r="C93" s="1710">
        <f>SUM(C84:C92)</f>
        <v>44892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3290</v>
      </c>
      <c r="E95" s="521"/>
      <c r="F95" s="521"/>
      <c r="G95" s="521"/>
      <c r="H95" s="521"/>
      <c r="I95" s="521"/>
      <c r="J95" s="521"/>
      <c r="K95" s="521"/>
    </row>
    <row r="96" spans="1:11" ht="12.75" customHeight="1" x14ac:dyDescent="0.2">
      <c r="A96" s="463" t="s">
        <v>409</v>
      </c>
      <c r="B96" s="470">
        <v>1920</v>
      </c>
      <c r="C96" s="551">
        <v>62333</v>
      </c>
      <c r="D96" s="551">
        <v>600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279</v>
      </c>
      <c r="K99" s="466"/>
    </row>
    <row r="100" spans="1:12" ht="12.75" customHeight="1" x14ac:dyDescent="0.2">
      <c r="A100" s="463" t="s">
        <v>263</v>
      </c>
      <c r="B100" s="470">
        <v>1960</v>
      </c>
      <c r="C100" s="489">
        <v>161929</v>
      </c>
      <c r="D100" s="489"/>
      <c r="E100" s="489"/>
      <c r="F100" s="489"/>
      <c r="G100" s="489"/>
      <c r="H100" s="489"/>
      <c r="I100" s="467"/>
      <c r="J100" s="489"/>
      <c r="K100" s="467"/>
    </row>
    <row r="101" spans="1:12" ht="12.75" customHeight="1" x14ac:dyDescent="0.2">
      <c r="A101" s="463" t="s">
        <v>264</v>
      </c>
      <c r="B101" s="470">
        <v>1970</v>
      </c>
      <c r="C101" s="489">
        <v>30834</v>
      </c>
      <c r="D101" s="526"/>
      <c r="E101" s="480"/>
      <c r="F101" s="526"/>
      <c r="G101" s="475"/>
      <c r="H101" s="526"/>
      <c r="I101" s="468"/>
      <c r="J101" s="475"/>
      <c r="K101" s="475"/>
    </row>
    <row r="102" spans="1:12" ht="12.75" customHeight="1" x14ac:dyDescent="0.2">
      <c r="A102" s="463" t="s">
        <v>265</v>
      </c>
      <c r="B102" s="470">
        <v>1980</v>
      </c>
      <c r="C102" s="489">
        <v>1951</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7</v>
      </c>
      <c r="D107" s="466">
        <v>10467</v>
      </c>
      <c r="E107" s="466">
        <v>172</v>
      </c>
      <c r="F107" s="466"/>
      <c r="G107" s="466"/>
      <c r="H107" s="466"/>
      <c r="I107" s="466"/>
      <c r="J107" s="467"/>
      <c r="K107" s="466"/>
    </row>
    <row r="108" spans="1:12" ht="12.75" customHeight="1" thickBot="1" x14ac:dyDescent="0.25">
      <c r="A108" s="1730" t="s">
        <v>508</v>
      </c>
      <c r="B108" s="1734"/>
      <c r="C108" s="1729">
        <f>SUM(C95:C107)</f>
        <v>257054</v>
      </c>
      <c r="D108" s="1729">
        <f t="shared" ref="D108:K108" si="3">SUM(D95:D107)</f>
        <v>14357</v>
      </c>
      <c r="E108" s="1729">
        <f t="shared" si="3"/>
        <v>172</v>
      </c>
      <c r="F108" s="1729">
        <f t="shared" si="3"/>
        <v>0</v>
      </c>
      <c r="G108" s="1729">
        <f t="shared" si="3"/>
        <v>0</v>
      </c>
      <c r="H108" s="1729">
        <f t="shared" si="3"/>
        <v>0</v>
      </c>
      <c r="I108" s="1729">
        <f t="shared" si="3"/>
        <v>0</v>
      </c>
      <c r="J108" s="1729">
        <f t="shared" si="3"/>
        <v>279</v>
      </c>
      <c r="K108" s="1710">
        <f t="shared" si="3"/>
        <v>0</v>
      </c>
    </row>
    <row r="109" spans="1:12" ht="14.25" thickTop="1" thickBot="1" x14ac:dyDescent="0.25">
      <c r="A109" s="1735" t="s">
        <v>266</v>
      </c>
      <c r="B109" s="1736" t="s">
        <v>591</v>
      </c>
      <c r="C109" s="1737">
        <f t="shared" ref="C109:K109" si="4">SUM(C12,C18,C40,C63,C67,C75,C82,C93,C108,)</f>
        <v>2580146</v>
      </c>
      <c r="D109" s="1737">
        <f t="shared" si="4"/>
        <v>308817</v>
      </c>
      <c r="E109" s="1737">
        <f t="shared" si="4"/>
        <v>2829745</v>
      </c>
      <c r="F109" s="1737">
        <f t="shared" si="4"/>
        <v>140538</v>
      </c>
      <c r="G109" s="1737">
        <f t="shared" si="4"/>
        <v>168822</v>
      </c>
      <c r="H109" s="1737">
        <f t="shared" si="4"/>
        <v>0</v>
      </c>
      <c r="I109" s="1737">
        <f t="shared" si="4"/>
        <v>65983</v>
      </c>
      <c r="J109" s="1737">
        <f t="shared" si="4"/>
        <v>389499</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1133395</v>
      </c>
      <c r="D117" s="481">
        <v>284387</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1133395</v>
      </c>
      <c r="D121" s="1729">
        <f t="shared" si="5"/>
        <v>284387</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27019</v>
      </c>
      <c r="D125" s="561"/>
      <c r="E125" s="468"/>
      <c r="F125" s="466"/>
      <c r="G125" s="468"/>
      <c r="H125" s="468"/>
      <c r="I125" s="468"/>
      <c r="J125" s="468"/>
      <c r="K125" s="468"/>
    </row>
    <row r="126" spans="1:11" ht="12.75" customHeight="1" x14ac:dyDescent="0.2">
      <c r="A126" s="463" t="s">
        <v>922</v>
      </c>
      <c r="B126" s="562">
        <v>3110</v>
      </c>
      <c r="C126" s="551">
        <v>38393</v>
      </c>
      <c r="D126" s="466"/>
      <c r="E126" s="468"/>
      <c r="F126" s="466"/>
      <c r="G126" s="468"/>
      <c r="H126" s="468"/>
      <c r="I126" s="468"/>
      <c r="J126" s="468"/>
      <c r="K126" s="468"/>
    </row>
    <row r="127" spans="1:11" ht="12.75" customHeight="1" x14ac:dyDescent="0.2">
      <c r="A127" s="463" t="s">
        <v>107</v>
      </c>
      <c r="B127" s="562">
        <v>3120</v>
      </c>
      <c r="C127" s="466">
        <v>41794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107206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12730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12730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1444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19870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11224</v>
      </c>
      <c r="G151" s="467"/>
      <c r="H151" s="468"/>
      <c r="I151" s="468"/>
      <c r="J151" s="468"/>
      <c r="K151" s="468"/>
    </row>
    <row r="152" spans="1:11" ht="12.75" customHeight="1" x14ac:dyDescent="0.2">
      <c r="A152" s="463" t="s">
        <v>1117</v>
      </c>
      <c r="B152" s="562">
        <v>3510</v>
      </c>
      <c r="C152" s="551"/>
      <c r="D152" s="466"/>
      <c r="E152" s="561"/>
      <c r="F152" s="466">
        <v>55527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66751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141250</v>
      </c>
      <c r="D172" s="1744">
        <f t="shared" si="6"/>
        <v>0</v>
      </c>
      <c r="E172" s="1744">
        <f t="shared" si="6"/>
        <v>0</v>
      </c>
      <c r="F172" s="1744">
        <f t="shared" si="6"/>
        <v>66751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1274645</v>
      </c>
      <c r="D173" s="1737">
        <f>SUM(D121,D172)</f>
        <v>284387</v>
      </c>
      <c r="E173" s="1737">
        <f>SUM(E121,E172)</f>
        <v>0</v>
      </c>
      <c r="F173" s="1737">
        <f t="shared" ref="F173:K173" si="7">SUM(F121,F172)</f>
        <v>66751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99662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18174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117836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54369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54369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4399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4399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22192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6411</v>
      </c>
      <c r="D270" s="576"/>
      <c r="E270" s="468"/>
      <c r="F270" s="576"/>
      <c r="G270" s="576"/>
      <c r="H270" s="468"/>
      <c r="I270" s="468"/>
      <c r="J270" s="468"/>
      <c r="K270" s="468"/>
    </row>
    <row r="271" spans="1:11" ht="12.75" customHeight="1" thickTop="1" thickBot="1" x14ac:dyDescent="0.25">
      <c r="A271" s="463" t="s">
        <v>395</v>
      </c>
      <c r="B271" s="470">
        <v>4992</v>
      </c>
      <c r="C271" s="575">
        <v>13752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218959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218959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4073750</v>
      </c>
      <c r="D275" s="1737">
        <f t="shared" si="12"/>
        <v>593204</v>
      </c>
      <c r="E275" s="1737">
        <f t="shared" si="12"/>
        <v>2829745</v>
      </c>
      <c r="F275" s="1737">
        <f t="shared" si="12"/>
        <v>207289</v>
      </c>
      <c r="G275" s="1737">
        <f t="shared" si="12"/>
        <v>168822</v>
      </c>
      <c r="H275" s="1737">
        <f t="shared" si="12"/>
        <v>0</v>
      </c>
      <c r="I275" s="1737">
        <f t="shared" si="12"/>
        <v>65983</v>
      </c>
      <c r="J275" s="1737">
        <f t="shared" si="12"/>
        <v>389499</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51" activePane="bottomLeft" state="frozen"/>
      <selection activeCell="A47" sqref="A47"/>
      <selection pane="bottomLeft" activeCell="B277" sqref="B27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1034331</v>
      </c>
      <c r="D5" s="466">
        <v>353926</v>
      </c>
      <c r="E5" s="466">
        <v>28815</v>
      </c>
      <c r="F5" s="466">
        <v>60921</v>
      </c>
      <c r="G5" s="466"/>
      <c r="H5" s="466"/>
      <c r="I5" s="467"/>
      <c r="J5" s="467"/>
      <c r="K5" s="1693">
        <f>SUM(C5:J5)</f>
        <v>1477993</v>
      </c>
      <c r="L5" s="466">
        <v>1446335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315864</v>
      </c>
      <c r="D8" s="466">
        <v>132966</v>
      </c>
      <c r="E8" s="466">
        <v>1313</v>
      </c>
      <c r="F8" s="466">
        <v>1213</v>
      </c>
      <c r="G8" s="466"/>
      <c r="H8" s="466"/>
      <c r="I8" s="467"/>
      <c r="J8" s="467"/>
      <c r="K8" s="1693">
        <f t="shared" si="0"/>
        <v>451356</v>
      </c>
      <c r="L8" s="466">
        <v>473520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42205</v>
      </c>
      <c r="D10" s="466">
        <v>8061</v>
      </c>
      <c r="E10" s="466"/>
      <c r="F10" s="466">
        <v>29266</v>
      </c>
      <c r="G10" s="466"/>
      <c r="H10" s="466"/>
      <c r="I10" s="467"/>
      <c r="J10" s="467"/>
      <c r="K10" s="1693">
        <f t="shared" si="0"/>
        <v>79532</v>
      </c>
      <c r="L10" s="466">
        <v>92299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251548</v>
      </c>
      <c r="D13" s="466">
        <v>62875</v>
      </c>
      <c r="E13" s="466">
        <v>190</v>
      </c>
      <c r="F13" s="466">
        <v>11874</v>
      </c>
      <c r="G13" s="466"/>
      <c r="H13" s="466"/>
      <c r="I13" s="467"/>
      <c r="J13" s="467"/>
      <c r="K13" s="1693">
        <f t="shared" si="0"/>
        <v>326487</v>
      </c>
      <c r="L13" s="466">
        <v>328964</v>
      </c>
    </row>
    <row r="14" spans="1:14" x14ac:dyDescent="0.2">
      <c r="A14" s="1526" t="s">
        <v>1020</v>
      </c>
      <c r="B14" s="615">
        <v>1500</v>
      </c>
      <c r="C14" s="466">
        <v>179799</v>
      </c>
      <c r="D14" s="466">
        <v>25047</v>
      </c>
      <c r="E14" s="466">
        <v>32585</v>
      </c>
      <c r="F14" s="466">
        <v>5287</v>
      </c>
      <c r="G14" s="466"/>
      <c r="H14" s="466">
        <v>7077</v>
      </c>
      <c r="I14" s="467"/>
      <c r="J14" s="467"/>
      <c r="K14" s="1693">
        <f t="shared" si="0"/>
        <v>249795</v>
      </c>
      <c r="L14" s="466">
        <v>241302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72123</v>
      </c>
      <c r="D17" s="467">
        <v>25058</v>
      </c>
      <c r="E17" s="467">
        <v>1519</v>
      </c>
      <c r="F17" s="467">
        <v>1468</v>
      </c>
      <c r="G17" s="467"/>
      <c r="H17" s="467"/>
      <c r="I17" s="467"/>
      <c r="J17" s="467"/>
      <c r="K17" s="1693">
        <f t="shared" si="0"/>
        <v>100168</v>
      </c>
      <c r="L17" s="466">
        <f>64786+23077+500+2100</f>
        <v>90463</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1895870</v>
      </c>
      <c r="D33" s="1692">
        <f t="shared" ref="D33:L33" si="1">SUM(D5:D32)</f>
        <v>607933</v>
      </c>
      <c r="E33" s="1692">
        <f t="shared" si="1"/>
        <v>64422</v>
      </c>
      <c r="F33" s="1692">
        <f t="shared" si="1"/>
        <v>110029</v>
      </c>
      <c r="G33" s="1692">
        <f t="shared" si="1"/>
        <v>0</v>
      </c>
      <c r="H33" s="1692">
        <f t="shared" si="1"/>
        <v>7077</v>
      </c>
      <c r="I33" s="1692">
        <f t="shared" si="1"/>
        <v>0</v>
      </c>
      <c r="J33" s="1692">
        <f t="shared" si="1"/>
        <v>0</v>
      </c>
      <c r="K33" s="1692">
        <f t="shared" si="1"/>
        <v>2685331</v>
      </c>
      <c r="L33" s="1692">
        <f t="shared" si="1"/>
        <v>2672883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159785</v>
      </c>
      <c r="D37" s="466">
        <v>40394</v>
      </c>
      <c r="E37" s="466">
        <v>70</v>
      </c>
      <c r="F37" s="466">
        <v>4437</v>
      </c>
      <c r="G37" s="466"/>
      <c r="H37" s="466"/>
      <c r="I37" s="467"/>
      <c r="J37" s="467"/>
      <c r="K37" s="1693">
        <f t="shared" si="2"/>
        <v>204686</v>
      </c>
      <c r="L37" s="466">
        <v>205432</v>
      </c>
    </row>
    <row r="38" spans="1:14" x14ac:dyDescent="0.2">
      <c r="A38" s="1526" t="s">
        <v>207</v>
      </c>
      <c r="B38" s="615">
        <v>2130</v>
      </c>
      <c r="C38" s="466">
        <v>21917</v>
      </c>
      <c r="D38" s="466"/>
      <c r="E38" s="466">
        <v>52</v>
      </c>
      <c r="F38" s="466">
        <v>677</v>
      </c>
      <c r="G38" s="466"/>
      <c r="H38" s="466"/>
      <c r="I38" s="467"/>
      <c r="J38" s="467"/>
      <c r="K38" s="1693">
        <f t="shared" si="2"/>
        <v>22646</v>
      </c>
      <c r="L38" s="466">
        <v>22803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12143</v>
      </c>
      <c r="F40" s="466">
        <v>19</v>
      </c>
      <c r="G40" s="466"/>
      <c r="H40" s="466"/>
      <c r="I40" s="467"/>
      <c r="J40" s="467"/>
      <c r="K40" s="1693">
        <f t="shared" si="2"/>
        <v>12162</v>
      </c>
      <c r="L40" s="466">
        <v>20000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181702</v>
      </c>
      <c r="D42" s="1692">
        <f t="shared" ref="D42:L42" si="3">SUM(D36:D41)</f>
        <v>40394</v>
      </c>
      <c r="E42" s="1692">
        <f t="shared" si="3"/>
        <v>12265</v>
      </c>
      <c r="F42" s="1692">
        <f t="shared" si="3"/>
        <v>5133</v>
      </c>
      <c r="G42" s="1692">
        <f t="shared" si="3"/>
        <v>0</v>
      </c>
      <c r="H42" s="1692">
        <f t="shared" si="3"/>
        <v>0</v>
      </c>
      <c r="I42" s="1692">
        <f t="shared" si="3"/>
        <v>0</v>
      </c>
      <c r="J42" s="1692">
        <f t="shared" si="3"/>
        <v>0</v>
      </c>
      <c r="K42" s="1692">
        <f t="shared" si="3"/>
        <v>239494</v>
      </c>
      <c r="L42" s="1692">
        <f t="shared" si="3"/>
        <v>248235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6970</v>
      </c>
      <c r="F44" s="481">
        <v>721</v>
      </c>
      <c r="G44" s="481"/>
      <c r="H44" s="481"/>
      <c r="I44" s="467"/>
      <c r="J44" s="467"/>
      <c r="K44" s="1694">
        <f>SUM(C44:J44)</f>
        <v>7691</v>
      </c>
      <c r="L44" s="481">
        <v>15274</v>
      </c>
    </row>
    <row r="45" spans="1:14" x14ac:dyDescent="0.2">
      <c r="A45" s="1526" t="s">
        <v>869</v>
      </c>
      <c r="B45" s="615">
        <v>2220</v>
      </c>
      <c r="C45" s="466">
        <v>43117</v>
      </c>
      <c r="D45" s="466">
        <v>8417</v>
      </c>
      <c r="E45" s="466">
        <v>23308</v>
      </c>
      <c r="F45" s="466">
        <v>26173</v>
      </c>
      <c r="G45" s="466"/>
      <c r="H45" s="466"/>
      <c r="I45" s="467"/>
      <c r="J45" s="467"/>
      <c r="K45" s="1694">
        <f>SUM(C45:J45)</f>
        <v>101015</v>
      </c>
      <c r="L45" s="466">
        <v>101538</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43117</v>
      </c>
      <c r="D47" s="1692">
        <f t="shared" ref="D47:K47" si="4">SUM(D44:D46)</f>
        <v>8417</v>
      </c>
      <c r="E47" s="1692">
        <f t="shared" si="4"/>
        <v>30278</v>
      </c>
      <c r="F47" s="1692">
        <f t="shared" si="4"/>
        <v>26894</v>
      </c>
      <c r="G47" s="1692">
        <f t="shared" si="4"/>
        <v>0</v>
      </c>
      <c r="H47" s="1692">
        <f t="shared" si="4"/>
        <v>0</v>
      </c>
      <c r="I47" s="1692">
        <f t="shared" si="4"/>
        <v>0</v>
      </c>
      <c r="J47" s="1692">
        <f t="shared" si="4"/>
        <v>0</v>
      </c>
      <c r="K47" s="1692">
        <f t="shared" si="4"/>
        <v>108706</v>
      </c>
      <c r="L47" s="1692">
        <f>SUM(L44:L46)</f>
        <v>116812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650+2300</f>
        <v>2950</v>
      </c>
      <c r="D49" s="481"/>
      <c r="E49" s="481">
        <f>8404+10500+4376</f>
        <v>23280</v>
      </c>
      <c r="F49" s="481">
        <v>335</v>
      </c>
      <c r="G49" s="481"/>
      <c r="H49" s="481">
        <v>5109</v>
      </c>
      <c r="I49" s="467"/>
      <c r="J49" s="467"/>
      <c r="K49" s="1694">
        <f>SUM(C49:J49)</f>
        <v>31674</v>
      </c>
      <c r="L49" s="481">
        <v>35900</v>
      </c>
    </row>
    <row r="50" spans="1:14" x14ac:dyDescent="0.2">
      <c r="A50" s="1526" t="s">
        <v>872</v>
      </c>
      <c r="B50" s="615">
        <v>2320</v>
      </c>
      <c r="C50" s="466">
        <f>33331+16431+36000</f>
        <v>85762</v>
      </c>
      <c r="D50" s="466">
        <v>303</v>
      </c>
      <c r="E50" s="466"/>
      <c r="F50" s="466"/>
      <c r="G50" s="466"/>
      <c r="H50" s="466">
        <v>369</v>
      </c>
      <c r="I50" s="467"/>
      <c r="J50" s="467"/>
      <c r="K50" s="1694">
        <f>SUM(C50:J50)</f>
        <v>86434</v>
      </c>
      <c r="L50" s="466">
        <v>35418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88712</v>
      </c>
      <c r="D53" s="1692">
        <f t="shared" ref="D53:L53" si="5">SUM(D49:D52)</f>
        <v>303</v>
      </c>
      <c r="E53" s="1692">
        <f t="shared" si="5"/>
        <v>23280</v>
      </c>
      <c r="F53" s="1692">
        <f t="shared" si="5"/>
        <v>335</v>
      </c>
      <c r="G53" s="1692">
        <f t="shared" si="5"/>
        <v>0</v>
      </c>
      <c r="H53" s="1692">
        <f t="shared" si="5"/>
        <v>5478</v>
      </c>
      <c r="I53" s="1692">
        <f t="shared" si="5"/>
        <v>0</v>
      </c>
      <c r="J53" s="1692">
        <f t="shared" si="5"/>
        <v>0</v>
      </c>
      <c r="K53" s="1692">
        <f t="shared" si="5"/>
        <v>118108</v>
      </c>
      <c r="L53" s="1692">
        <f t="shared" si="5"/>
        <v>71318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134573+41493-36000</f>
        <v>140066</v>
      </c>
      <c r="D55" s="481">
        <v>73129</v>
      </c>
      <c r="E55" s="481">
        <v>368</v>
      </c>
      <c r="F55" s="481"/>
      <c r="G55" s="481"/>
      <c r="H55" s="481">
        <v>3617</v>
      </c>
      <c r="I55" s="467"/>
      <c r="J55" s="467"/>
      <c r="K55" s="1694">
        <f>SUM(C55:J55)</f>
        <v>217180</v>
      </c>
      <c r="L55" s="481">
        <v>251999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140066</v>
      </c>
      <c r="D57" s="1696">
        <f t="shared" ref="D57:K57" si="6">SUM(D55:D56)</f>
        <v>73129</v>
      </c>
      <c r="E57" s="1696">
        <f t="shared" si="6"/>
        <v>368</v>
      </c>
      <c r="F57" s="1696">
        <f t="shared" si="6"/>
        <v>0</v>
      </c>
      <c r="G57" s="1696">
        <f t="shared" si="6"/>
        <v>0</v>
      </c>
      <c r="H57" s="1696">
        <f t="shared" si="6"/>
        <v>3617</v>
      </c>
      <c r="I57" s="1696">
        <f t="shared" si="6"/>
        <v>0</v>
      </c>
      <c r="J57" s="1696">
        <f t="shared" si="6"/>
        <v>0</v>
      </c>
      <c r="K57" s="1696">
        <f t="shared" si="6"/>
        <v>217180</v>
      </c>
      <c r="L57" s="1692">
        <f>SUM(L55:L56)</f>
        <v>251999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30900</v>
      </c>
      <c r="D60" s="466">
        <v>8417</v>
      </c>
      <c r="E60" s="466">
        <v>10885</v>
      </c>
      <c r="F60" s="466">
        <v>357</v>
      </c>
      <c r="G60" s="466"/>
      <c r="H60" s="466"/>
      <c r="I60" s="467"/>
      <c r="J60" s="467"/>
      <c r="K60" s="1694">
        <f t="shared" si="7"/>
        <v>50559</v>
      </c>
      <c r="L60" s="466">
        <v>51821</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52656</v>
      </c>
      <c r="D63" s="466">
        <v>16877</v>
      </c>
      <c r="E63" s="466"/>
      <c r="F63" s="466">
        <v>104818</v>
      </c>
      <c r="G63" s="466"/>
      <c r="H63" s="466"/>
      <c r="I63" s="467"/>
      <c r="J63" s="467"/>
      <c r="K63" s="1694">
        <f t="shared" si="7"/>
        <v>174351</v>
      </c>
      <c r="L63" s="466">
        <v>155201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83556</v>
      </c>
      <c r="D65" s="1692">
        <f t="shared" ref="D65:L65" si="8">SUM(D59:D64)</f>
        <v>25294</v>
      </c>
      <c r="E65" s="1692">
        <f t="shared" si="8"/>
        <v>10885</v>
      </c>
      <c r="F65" s="1692">
        <f t="shared" si="8"/>
        <v>105175</v>
      </c>
      <c r="G65" s="1692">
        <f t="shared" si="8"/>
        <v>0</v>
      </c>
      <c r="H65" s="1692">
        <f t="shared" si="8"/>
        <v>0</v>
      </c>
      <c r="I65" s="1692">
        <f t="shared" si="8"/>
        <v>0</v>
      </c>
      <c r="J65" s="1692">
        <f t="shared" si="8"/>
        <v>0</v>
      </c>
      <c r="K65" s="1692">
        <f t="shared" si="8"/>
        <v>224910</v>
      </c>
      <c r="L65" s="1692">
        <f t="shared" si="8"/>
        <v>207022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272</v>
      </c>
      <c r="F69" s="466"/>
      <c r="G69" s="466"/>
      <c r="H69" s="466"/>
      <c r="I69" s="467"/>
      <c r="J69" s="467"/>
      <c r="K69" s="1694">
        <f>SUM(C69:J69)</f>
        <v>272</v>
      </c>
      <c r="L69" s="466">
        <v>400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272</v>
      </c>
      <c r="F72" s="1692">
        <f t="shared" si="9"/>
        <v>0</v>
      </c>
      <c r="G72" s="1692">
        <f t="shared" si="9"/>
        <v>0</v>
      </c>
      <c r="H72" s="1692">
        <f t="shared" si="9"/>
        <v>0</v>
      </c>
      <c r="I72" s="1692">
        <f t="shared" si="9"/>
        <v>0</v>
      </c>
      <c r="J72" s="1692">
        <f t="shared" si="9"/>
        <v>0</v>
      </c>
      <c r="K72" s="1692">
        <f t="shared" si="9"/>
        <v>272</v>
      </c>
      <c r="L72" s="1692">
        <f>SUM(L67:L71)</f>
        <v>400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537153</v>
      </c>
      <c r="D74" s="1699">
        <f t="shared" ref="D74:K74" si="10">SUM(D42,D47,D53,D57,D65,D72,D73)</f>
        <v>147537</v>
      </c>
      <c r="E74" s="1699">
        <f t="shared" si="10"/>
        <v>77348</v>
      </c>
      <c r="F74" s="1699">
        <f t="shared" si="10"/>
        <v>137537</v>
      </c>
      <c r="G74" s="1699">
        <f t="shared" si="10"/>
        <v>0</v>
      </c>
      <c r="H74" s="1699">
        <f t="shared" si="10"/>
        <v>9095</v>
      </c>
      <c r="I74" s="1699">
        <f t="shared" si="10"/>
        <v>0</v>
      </c>
      <c r="J74" s="1699">
        <f t="shared" si="10"/>
        <v>0</v>
      </c>
      <c r="K74" s="1699">
        <f t="shared" si="10"/>
        <v>908670</v>
      </c>
      <c r="L74" s="1699">
        <f>SUM(L42,L47,L53,L57,L65,L72,L73)</f>
        <v>895786</v>
      </c>
    </row>
    <row r="75" spans="1:14" s="259" customFormat="1" ht="15.75" customHeight="1" thickTop="1" thickBot="1" x14ac:dyDescent="0.25">
      <c r="A75" s="1632" t="s">
        <v>49</v>
      </c>
      <c r="B75" s="1633" t="s">
        <v>596</v>
      </c>
      <c r="C75" s="573"/>
      <c r="D75" s="573"/>
      <c r="E75" s="573">
        <v>12671</v>
      </c>
      <c r="F75" s="573">
        <v>3468</v>
      </c>
      <c r="G75" s="573"/>
      <c r="H75" s="573"/>
      <c r="I75" s="531"/>
      <c r="J75" s="531"/>
      <c r="K75" s="1692">
        <f>SUM(C75:J75)</f>
        <v>16139</v>
      </c>
      <c r="L75" s="576">
        <v>12000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24413</v>
      </c>
      <c r="F78" s="617"/>
      <c r="G78" s="617"/>
      <c r="H78" s="635"/>
      <c r="I78" s="477"/>
      <c r="J78" s="477"/>
      <c r="K78" s="1693">
        <f t="shared" ref="K78:K83" si="11">SUM(C78:J78)</f>
        <v>24413</v>
      </c>
      <c r="L78" s="481">
        <v>17000</v>
      </c>
    </row>
    <row r="79" spans="1:14" x14ac:dyDescent="0.2">
      <c r="A79" s="1526" t="s">
        <v>322</v>
      </c>
      <c r="B79" s="615">
        <v>4120</v>
      </c>
      <c r="C79" s="617"/>
      <c r="D79" s="617"/>
      <c r="E79" s="466">
        <v>62346</v>
      </c>
      <c r="F79" s="617"/>
      <c r="G79" s="617"/>
      <c r="H79" s="466"/>
      <c r="I79" s="477"/>
      <c r="J79" s="477"/>
      <c r="K79" s="1693">
        <f t="shared" si="11"/>
        <v>62346</v>
      </c>
      <c r="L79" s="466">
        <v>65000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1456</v>
      </c>
      <c r="F81" s="617"/>
      <c r="G81" s="617"/>
      <c r="H81" s="466"/>
      <c r="I81" s="477"/>
      <c r="J81" s="477"/>
      <c r="K81" s="1693">
        <f t="shared" si="11"/>
        <v>1456</v>
      </c>
      <c r="L81" s="466">
        <v>1400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3337</v>
      </c>
      <c r="F83" s="617"/>
      <c r="G83" s="617"/>
      <c r="H83" s="466"/>
      <c r="I83" s="477"/>
      <c r="J83" s="477"/>
      <c r="K83" s="1693">
        <f t="shared" si="11"/>
        <v>3337</v>
      </c>
      <c r="L83" s="466">
        <v>2300</v>
      </c>
    </row>
    <row r="84" spans="1:12" ht="13.5" thickBot="1" x14ac:dyDescent="0.25">
      <c r="A84" s="1690" t="s">
        <v>1565</v>
      </c>
      <c r="B84" s="1700">
        <v>4100</v>
      </c>
      <c r="C84" s="617"/>
      <c r="D84" s="617"/>
      <c r="E84" s="1692">
        <f>SUM(E78:E83)</f>
        <v>91552</v>
      </c>
      <c r="F84" s="617"/>
      <c r="G84" s="617"/>
      <c r="H84" s="1692">
        <f>SUM(H78:H83)</f>
        <v>0</v>
      </c>
      <c r="I84" s="477"/>
      <c r="J84" s="477"/>
      <c r="K84" s="1692">
        <f>SUM(K78:K83)</f>
        <v>91552</v>
      </c>
      <c r="L84" s="1692">
        <f>SUM(L78:L83)</f>
        <v>85700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52875</v>
      </c>
      <c r="I88" s="477"/>
      <c r="J88" s="477"/>
      <c r="K88" s="1699">
        <f t="shared" si="12"/>
        <v>52875</v>
      </c>
      <c r="L88" s="530">
        <v>57000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52875</v>
      </c>
      <c r="I92" s="477"/>
      <c r="J92" s="477"/>
      <c r="K92" s="1699">
        <f t="shared" si="12"/>
        <v>52875</v>
      </c>
      <c r="L92" s="1692">
        <f>SUM(L85:L91)</f>
        <v>57000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91552</v>
      </c>
      <c r="F102" s="617"/>
      <c r="G102" s="617"/>
      <c r="H102" s="1699">
        <f>SUM(H84,H92,H100,H101)</f>
        <v>52875</v>
      </c>
      <c r="I102" s="477"/>
      <c r="J102" s="477"/>
      <c r="K102" s="1699">
        <f>SUM(K84,K92,K100,K101)</f>
        <v>144427</v>
      </c>
      <c r="L102" s="1699">
        <f>SUM(L84,L92,L100,L101)</f>
        <v>142700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2433023</v>
      </c>
      <c r="D114" s="1692">
        <f t="shared" ref="D114:K114" si="13">SUM(D33,D74,D75,D102,D112,D113)</f>
        <v>755470</v>
      </c>
      <c r="E114" s="1692">
        <f t="shared" si="13"/>
        <v>245993</v>
      </c>
      <c r="F114" s="1692">
        <f t="shared" si="13"/>
        <v>251034</v>
      </c>
      <c r="G114" s="1692">
        <f t="shared" si="13"/>
        <v>0</v>
      </c>
      <c r="H114" s="1692">
        <f>SUM(H33,H74,H75,H102,H112,H113)</f>
        <v>69047</v>
      </c>
      <c r="I114" s="1692">
        <f t="shared" si="13"/>
        <v>0</v>
      </c>
      <c r="J114" s="1692">
        <f t="shared" si="13"/>
        <v>0</v>
      </c>
      <c r="K114" s="1692">
        <f t="shared" si="13"/>
        <v>3754567</v>
      </c>
      <c r="L114" s="1692">
        <f>SUM(L33,L74,L75,L102,L112,L113)</f>
        <v>3723369</v>
      </c>
    </row>
    <row r="115" spans="1:14" ht="13.5" thickTop="1" x14ac:dyDescent="0.2">
      <c r="A115" s="2174" t="s">
        <v>1053</v>
      </c>
      <c r="B115" s="2175"/>
      <c r="C115" s="619"/>
      <c r="D115" s="619"/>
      <c r="E115" s="619"/>
      <c r="F115" s="619"/>
      <c r="G115" s="619"/>
      <c r="H115" s="619"/>
      <c r="I115" s="619"/>
      <c r="J115" s="619"/>
      <c r="K115" s="1706">
        <f>'Revenues 9-14'!C275-'Expenditures 15-22'!K114</f>
        <v>319183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210816</v>
      </c>
      <c r="D124" s="466">
        <v>55445</v>
      </c>
      <c r="E124" s="466">
        <v>54375</v>
      </c>
      <c r="F124" s="466">
        <f>26697+1478+27541+80109+5034</f>
        <v>140859</v>
      </c>
      <c r="G124" s="466">
        <v>34900</v>
      </c>
      <c r="H124" s="466"/>
      <c r="I124" s="467"/>
      <c r="J124" s="467"/>
      <c r="K124" s="1692">
        <f>SUM(C124:J124)</f>
        <v>496395</v>
      </c>
      <c r="L124" s="466">
        <v>658940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210816</v>
      </c>
      <c r="D127" s="1692">
        <f t="shared" ref="D127:L127" si="14">SUM(D122:D126)</f>
        <v>55445</v>
      </c>
      <c r="E127" s="1692">
        <f t="shared" si="14"/>
        <v>54375</v>
      </c>
      <c r="F127" s="1692">
        <f t="shared" si="14"/>
        <v>140859</v>
      </c>
      <c r="G127" s="1692">
        <f t="shared" si="14"/>
        <v>34900</v>
      </c>
      <c r="H127" s="1692">
        <f t="shared" si="14"/>
        <v>0</v>
      </c>
      <c r="I127" s="1692">
        <f t="shared" si="14"/>
        <v>0</v>
      </c>
      <c r="J127" s="1692">
        <f t="shared" si="14"/>
        <v>0</v>
      </c>
      <c r="K127" s="1692">
        <f t="shared" si="14"/>
        <v>496395</v>
      </c>
      <c r="L127" s="1692">
        <f t="shared" si="14"/>
        <v>658940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210816</v>
      </c>
      <c r="D129" s="1699">
        <f t="shared" ref="D129:L129" si="15">SUM(D120,D127,D128)</f>
        <v>55445</v>
      </c>
      <c r="E129" s="1699">
        <f t="shared" si="15"/>
        <v>54375</v>
      </c>
      <c r="F129" s="1699">
        <f t="shared" si="15"/>
        <v>140859</v>
      </c>
      <c r="G129" s="1699">
        <f t="shared" si="15"/>
        <v>34900</v>
      </c>
      <c r="H129" s="1699">
        <f t="shared" si="15"/>
        <v>0</v>
      </c>
      <c r="I129" s="1699">
        <f t="shared" si="15"/>
        <v>0</v>
      </c>
      <c r="J129" s="1699">
        <f t="shared" si="15"/>
        <v>0</v>
      </c>
      <c r="K129" s="1699">
        <f t="shared" si="15"/>
        <v>496395</v>
      </c>
      <c r="L129" s="1699">
        <f t="shared" si="15"/>
        <v>658940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210816</v>
      </c>
      <c r="D151" s="1692">
        <f t="shared" ref="D151:K151" si="16">SUM(D129,D130,D139,D149,D150)</f>
        <v>55445</v>
      </c>
      <c r="E151" s="1692">
        <f t="shared" si="16"/>
        <v>54375</v>
      </c>
      <c r="F151" s="1692">
        <f t="shared" si="16"/>
        <v>140859</v>
      </c>
      <c r="G151" s="1692">
        <f t="shared" si="16"/>
        <v>34900</v>
      </c>
      <c r="H151" s="1692">
        <f t="shared" si="16"/>
        <v>0</v>
      </c>
      <c r="I151" s="1692">
        <f t="shared" si="16"/>
        <v>0</v>
      </c>
      <c r="J151" s="1692">
        <f t="shared" si="16"/>
        <v>0</v>
      </c>
      <c r="K151" s="1692">
        <f t="shared" si="16"/>
        <v>496395</v>
      </c>
      <c r="L151" s="1692">
        <f>SUM(L129,L130,L139,L149,L150)</f>
        <v>658940</v>
      </c>
    </row>
    <row r="152" spans="1:14" ht="12.75" customHeight="1" thickTop="1" x14ac:dyDescent="0.2">
      <c r="A152" s="2194" t="s">
        <v>1240</v>
      </c>
      <c r="B152" s="2195"/>
      <c r="C152" s="619"/>
      <c r="D152" s="619"/>
      <c r="E152" s="619"/>
      <c r="F152" s="619"/>
      <c r="G152" s="619"/>
      <c r="H152" s="619"/>
      <c r="I152" s="619"/>
      <c r="J152" s="617"/>
      <c r="K152" s="1706">
        <f>'Revenues 9-14'!D275-'Expenditures 15-22'!K151</f>
        <v>96809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1319659</v>
      </c>
      <c r="I169" s="617"/>
      <c r="J169" s="617"/>
      <c r="K169" s="1693">
        <f>SUM(C169:H169)</f>
        <v>1319659</v>
      </c>
      <c r="L169" s="657">
        <v>2319153</v>
      </c>
    </row>
    <row r="170" spans="1:14" ht="33.75" customHeight="1" x14ac:dyDescent="0.2">
      <c r="A170" s="670" t="s">
        <v>1769</v>
      </c>
      <c r="B170" s="672" t="s">
        <v>31</v>
      </c>
      <c r="C170" s="617"/>
      <c r="D170" s="617"/>
      <c r="E170" s="617"/>
      <c r="F170" s="617"/>
      <c r="G170" s="617"/>
      <c r="H170" s="569">
        <f>965000+490000</f>
        <v>1455000</v>
      </c>
      <c r="I170" s="617"/>
      <c r="J170" s="617"/>
      <c r="K170" s="1693">
        <f>SUM(C170:J170)</f>
        <v>1455000</v>
      </c>
      <c r="L170" s="569"/>
    </row>
    <row r="171" spans="1:14" ht="15.75" customHeight="1" x14ac:dyDescent="0.2">
      <c r="A171" s="622" t="s">
        <v>790</v>
      </c>
      <c r="B171" s="673" t="s">
        <v>86</v>
      </c>
      <c r="C171" s="617"/>
      <c r="D171" s="617"/>
      <c r="E171" s="466"/>
      <c r="F171" s="617"/>
      <c r="G171" s="617"/>
      <c r="H171" s="569">
        <v>1500</v>
      </c>
      <c r="I171" s="477"/>
      <c r="J171" s="617"/>
      <c r="K171" s="1693">
        <f>SUM(C171:J171)</f>
        <v>1500</v>
      </c>
      <c r="L171" s="569">
        <v>1000</v>
      </c>
    </row>
    <row r="172" spans="1:14" ht="12.75" customHeight="1" thickBot="1" x14ac:dyDescent="0.25">
      <c r="A172" s="1690" t="s">
        <v>659</v>
      </c>
      <c r="B172" s="1691" t="s">
        <v>513</v>
      </c>
      <c r="C172" s="617"/>
      <c r="D172" s="617"/>
      <c r="E172" s="1699">
        <f>SUM(E168,E169,E170,E171)</f>
        <v>0</v>
      </c>
      <c r="F172" s="617"/>
      <c r="G172" s="617"/>
      <c r="H172" s="1699">
        <f>SUM(H168,H169,H170,H171)</f>
        <v>2776159</v>
      </c>
      <c r="I172" s="639"/>
      <c r="J172" s="617"/>
      <c r="K172" s="1699">
        <f>SUM(K168,K169,K170,K171)</f>
        <v>2776159</v>
      </c>
      <c r="L172" s="1699">
        <f>SUM(L168,L169,L170,L171)</f>
        <v>2320153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2776159</v>
      </c>
      <c r="I174" s="639"/>
      <c r="J174" s="617"/>
      <c r="K174" s="1699">
        <f>SUM(K160,K172,K173)</f>
        <v>2776159</v>
      </c>
      <c r="L174" s="1699">
        <f>SUM(L160,L172,L173)</f>
        <v>2320153</v>
      </c>
    </row>
    <row r="175" spans="1:14" ht="13.5" thickTop="1" x14ac:dyDescent="0.2">
      <c r="A175" s="2174" t="s">
        <v>1053</v>
      </c>
      <c r="B175" s="2175"/>
      <c r="C175" s="617"/>
      <c r="D175" s="617"/>
      <c r="E175" s="617"/>
      <c r="F175" s="617"/>
      <c r="G175" s="617"/>
      <c r="H175" s="619"/>
      <c r="I175" s="617"/>
      <c r="J175" s="617"/>
      <c r="K175" s="1706">
        <f>'Revenues 9-14'!E275-'Expenditures 15-22'!K174</f>
        <v>53586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147716</v>
      </c>
      <c r="F182" s="466">
        <v>4692</v>
      </c>
      <c r="G182" s="466">
        <v>20253</v>
      </c>
      <c r="H182" s="466"/>
      <c r="I182" s="467"/>
      <c r="J182" s="467"/>
      <c r="K182" s="1693">
        <f>SUM(C182:J182)</f>
        <v>172661</v>
      </c>
      <c r="L182" s="466">
        <v>140000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147716</v>
      </c>
      <c r="F184" s="1699">
        <f t="shared" si="17"/>
        <v>4692</v>
      </c>
      <c r="G184" s="1699">
        <f t="shared" si="17"/>
        <v>20253</v>
      </c>
      <c r="H184" s="1699">
        <f t="shared" si="17"/>
        <v>0</v>
      </c>
      <c r="I184" s="1699">
        <f t="shared" si="17"/>
        <v>0</v>
      </c>
      <c r="J184" s="1699">
        <f t="shared" si="17"/>
        <v>0</v>
      </c>
      <c r="K184" s="1699">
        <f>SUM(K180,K182,K183)</f>
        <v>172661</v>
      </c>
      <c r="L184" s="1699">
        <f>SUM(L180, L182:L183)</f>
        <v>140000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1189</v>
      </c>
      <c r="I205" s="617"/>
      <c r="J205" s="617"/>
      <c r="K205" s="1707">
        <f>SUM(H205)</f>
        <v>1189</v>
      </c>
      <c r="L205" s="535">
        <v>700</v>
      </c>
    </row>
    <row r="206" spans="1:14" ht="30" customHeight="1" x14ac:dyDescent="0.2">
      <c r="A206" s="682" t="s">
        <v>1770</v>
      </c>
      <c r="B206" s="673" t="s">
        <v>31</v>
      </c>
      <c r="C206" s="617"/>
      <c r="D206" s="617"/>
      <c r="E206" s="617"/>
      <c r="F206" s="617"/>
      <c r="G206" s="617"/>
      <c r="H206" s="466">
        <v>6786</v>
      </c>
      <c r="I206" s="617"/>
      <c r="J206" s="617"/>
      <c r="K206" s="1693">
        <f>SUM(H206)</f>
        <v>6786</v>
      </c>
      <c r="L206" s="466">
        <v>14000</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7975</v>
      </c>
      <c r="I208" s="617"/>
      <c r="J208" s="617"/>
      <c r="K208" s="1699">
        <f>SUM(K204,K205,K206,K207)</f>
        <v>7975</v>
      </c>
      <c r="L208" s="1699">
        <f>SUM(L204,L205,L206,L207)</f>
        <v>14700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147716</v>
      </c>
      <c r="F210" s="1692">
        <f>SUM(F184,F185)</f>
        <v>4692</v>
      </c>
      <c r="G210" s="1692">
        <f>SUM(G184,G185)</f>
        <v>20253</v>
      </c>
      <c r="H210" s="1692">
        <f>SUM(H184,H185,H196,H208,H209)</f>
        <v>7975</v>
      </c>
      <c r="I210" s="1692">
        <f>SUM(I184,I185)</f>
        <v>0</v>
      </c>
      <c r="J210" s="1692">
        <f>SUM(J184,J185)</f>
        <v>0</v>
      </c>
      <c r="K210" s="1693">
        <f>SUM(K184,K185,K196,K208,K209)</f>
        <v>180636</v>
      </c>
      <c r="L210" s="1692">
        <f>SUM(L184,L185,L196,L208,L209)</f>
        <v>154700</v>
      </c>
    </row>
    <row r="211" spans="1:14" ht="13.5" thickTop="1" x14ac:dyDescent="0.2">
      <c r="A211" s="2174" t="s">
        <v>1053</v>
      </c>
      <c r="B211" s="2175"/>
      <c r="C211" s="619"/>
      <c r="D211" s="619"/>
      <c r="E211" s="619"/>
      <c r="F211" s="619"/>
      <c r="G211" s="619"/>
      <c r="H211" s="619"/>
      <c r="I211" s="617"/>
      <c r="J211" s="617"/>
      <c r="K211" s="1706">
        <f>'Revenues 9-14'!F275-'Expenditures 15-22'!K210</f>
        <v>26653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20149</v>
      </c>
      <c r="E215" s="617"/>
      <c r="F215" s="617"/>
      <c r="G215" s="617"/>
      <c r="H215" s="617"/>
      <c r="I215" s="617"/>
      <c r="J215" s="617"/>
      <c r="K215" s="1693">
        <f>D215</f>
        <v>20149</v>
      </c>
      <c r="L215" s="466">
        <v>21418</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17791</v>
      </c>
      <c r="E217" s="617"/>
      <c r="F217" s="617"/>
      <c r="G217" s="617"/>
      <c r="H217" s="617"/>
      <c r="I217" s="617"/>
      <c r="J217" s="617"/>
      <c r="K217" s="1693">
        <f t="shared" si="19"/>
        <v>17791</v>
      </c>
      <c r="L217" s="466">
        <v>19633</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525</v>
      </c>
      <c r="E219" s="617"/>
      <c r="F219" s="617"/>
      <c r="G219" s="617"/>
      <c r="H219" s="617"/>
      <c r="I219" s="617"/>
      <c r="J219" s="617"/>
      <c r="K219" s="1693">
        <f t="shared" si="19"/>
        <v>525</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2438</v>
      </c>
      <c r="E222" s="617"/>
      <c r="F222" s="617"/>
      <c r="G222" s="617"/>
      <c r="H222" s="617"/>
      <c r="I222" s="617"/>
      <c r="J222" s="617"/>
      <c r="K222" s="1693">
        <f t="shared" si="19"/>
        <v>2438</v>
      </c>
      <c r="L222" s="466">
        <v>3717</v>
      </c>
    </row>
    <row r="223" spans="1:14" x14ac:dyDescent="0.2">
      <c r="A223" s="1526" t="s">
        <v>1020</v>
      </c>
      <c r="B223" s="615">
        <v>1500</v>
      </c>
      <c r="C223" s="617"/>
      <c r="D223" s="466">
        <v>8867</v>
      </c>
      <c r="E223" s="617"/>
      <c r="F223" s="617"/>
      <c r="G223" s="617"/>
      <c r="H223" s="617"/>
      <c r="I223" s="617"/>
      <c r="J223" s="617"/>
      <c r="K223" s="1693">
        <f t="shared" si="19"/>
        <v>8867</v>
      </c>
      <c r="L223" s="466">
        <v>6257</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925</v>
      </c>
      <c r="E226" s="617"/>
      <c r="F226" s="617"/>
      <c r="G226" s="617"/>
      <c r="H226" s="617"/>
      <c r="I226" s="617"/>
      <c r="J226" s="617"/>
      <c r="K226" s="1693">
        <f t="shared" si="19"/>
        <v>925</v>
      </c>
      <c r="L226" s="466">
        <v>940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50695</v>
      </c>
      <c r="E229" s="617"/>
      <c r="F229" s="617"/>
      <c r="G229" s="617"/>
      <c r="H229" s="617"/>
      <c r="I229" s="617"/>
      <c r="J229" s="617"/>
      <c r="K229" s="1692">
        <f>SUM(K215:K228)</f>
        <v>50695</v>
      </c>
      <c r="L229" s="1692">
        <f>SUM(L215:L228)</f>
        <v>51965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7747</v>
      </c>
      <c r="E233" s="617"/>
      <c r="F233" s="617"/>
      <c r="G233" s="617"/>
      <c r="H233" s="617"/>
      <c r="I233" s="617"/>
      <c r="J233" s="617"/>
      <c r="K233" s="1693">
        <f t="shared" si="20"/>
        <v>7747</v>
      </c>
      <c r="L233" s="466">
        <v>7535</v>
      </c>
    </row>
    <row r="234" spans="1:12" x14ac:dyDescent="0.2">
      <c r="A234" s="1526" t="s">
        <v>207</v>
      </c>
      <c r="B234" s="615">
        <v>2130</v>
      </c>
      <c r="C234" s="617"/>
      <c r="D234" s="466">
        <v>7579</v>
      </c>
      <c r="E234" s="617"/>
      <c r="F234" s="617"/>
      <c r="G234" s="617"/>
      <c r="H234" s="617"/>
      <c r="I234" s="617"/>
      <c r="J234" s="617"/>
      <c r="K234" s="1693">
        <f t="shared" si="20"/>
        <v>7579</v>
      </c>
      <c r="L234" s="466">
        <v>7608</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15326</v>
      </c>
      <c r="E238" s="617"/>
      <c r="F238" s="617"/>
      <c r="G238" s="617"/>
      <c r="H238" s="617"/>
      <c r="I238" s="617"/>
      <c r="J238" s="617"/>
      <c r="K238" s="1692">
        <f>SUM(K232:K237)</f>
        <v>15326</v>
      </c>
      <c r="L238" s="1692">
        <f>SUM(L232:L237)</f>
        <v>15143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7431</v>
      </c>
      <c r="E241" s="617"/>
      <c r="F241" s="617"/>
      <c r="G241" s="617"/>
      <c r="H241" s="617"/>
      <c r="I241" s="617"/>
      <c r="J241" s="617"/>
      <c r="K241" s="1694">
        <f>D241</f>
        <v>7431</v>
      </c>
      <c r="L241" s="466">
        <v>7433</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7431</v>
      </c>
      <c r="E243" s="617"/>
      <c r="F243" s="617"/>
      <c r="G243" s="617"/>
      <c r="H243" s="617"/>
      <c r="I243" s="617"/>
      <c r="J243" s="617"/>
      <c r="K243" s="1692">
        <f>SUM(K240:K242)</f>
        <v>7431</v>
      </c>
      <c r="L243" s="1692">
        <f>SUM(L240:L242)</f>
        <v>7433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287</v>
      </c>
      <c r="E245" s="617"/>
      <c r="F245" s="617"/>
      <c r="G245" s="617"/>
      <c r="H245" s="617"/>
      <c r="I245" s="617"/>
      <c r="J245" s="617"/>
      <c r="K245" s="1694">
        <f>D245</f>
        <v>287</v>
      </c>
      <c r="L245" s="481">
        <v>280</v>
      </c>
    </row>
    <row r="246" spans="1:12" x14ac:dyDescent="0.2">
      <c r="A246" s="1526" t="s">
        <v>872</v>
      </c>
      <c r="B246" s="615">
        <v>2320</v>
      </c>
      <c r="C246" s="617"/>
      <c r="D246" s="466">
        <v>3937</v>
      </c>
      <c r="E246" s="617"/>
      <c r="F246" s="617"/>
      <c r="G246" s="617"/>
      <c r="H246" s="617"/>
      <c r="I246" s="617"/>
      <c r="J246" s="617"/>
      <c r="K246" s="1694">
        <f t="shared" ref="K246:K256" si="21">D246</f>
        <v>3937</v>
      </c>
      <c r="L246" s="466">
        <v>3445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4224</v>
      </c>
      <c r="E257" s="617"/>
      <c r="F257" s="617"/>
      <c r="G257" s="617"/>
      <c r="H257" s="617"/>
      <c r="I257" s="617"/>
      <c r="J257" s="617"/>
      <c r="K257" s="1692">
        <f>SUM(K245:K256)</f>
        <v>4224</v>
      </c>
      <c r="L257" s="1692">
        <f>SUM(L245:L256)</f>
        <v>3725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10445</v>
      </c>
      <c r="E259" s="617"/>
      <c r="F259" s="617"/>
      <c r="G259" s="617"/>
      <c r="H259" s="617"/>
      <c r="I259" s="617"/>
      <c r="J259" s="617"/>
      <c r="K259" s="1694">
        <f>D259</f>
        <v>10445</v>
      </c>
      <c r="L259" s="481">
        <v>10208</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10445</v>
      </c>
      <c r="E261" s="617"/>
      <c r="F261" s="617"/>
      <c r="G261" s="617"/>
      <c r="H261" s="617"/>
      <c r="I261" s="617"/>
      <c r="J261" s="617"/>
      <c r="K261" s="1692">
        <f>SUM(K259:K260)</f>
        <v>10445</v>
      </c>
      <c r="L261" s="1692">
        <f>SUM(L259:L260)</f>
        <v>10208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7097</v>
      </c>
      <c r="E264" s="617"/>
      <c r="F264" s="617"/>
      <c r="G264" s="617"/>
      <c r="H264" s="617"/>
      <c r="I264" s="617"/>
      <c r="J264" s="617"/>
      <c r="K264" s="1694">
        <f t="shared" ref="K264:K269" si="22">D264</f>
        <v>7097</v>
      </c>
      <c r="L264" s="466">
        <v>7104</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39635</v>
      </c>
      <c r="E266" s="617"/>
      <c r="F266" s="617"/>
      <c r="G266" s="617"/>
      <c r="H266" s="617"/>
      <c r="I266" s="617"/>
      <c r="J266" s="617"/>
      <c r="K266" s="1694">
        <f t="shared" si="22"/>
        <v>39635</v>
      </c>
      <c r="L266" s="466">
        <v>40734</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f>4810+4459</f>
        <v>9269</v>
      </c>
      <c r="E268" s="617"/>
      <c r="F268" s="617"/>
      <c r="G268" s="617"/>
      <c r="H268" s="617"/>
      <c r="I268" s="617"/>
      <c r="J268" s="617"/>
      <c r="K268" s="1694">
        <f t="shared" si="22"/>
        <v>9269</v>
      </c>
      <c r="L268" s="466">
        <v>9688</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56001</v>
      </c>
      <c r="E270" s="617"/>
      <c r="F270" s="617"/>
      <c r="G270" s="617"/>
      <c r="H270" s="617"/>
      <c r="I270" s="617"/>
      <c r="J270" s="617"/>
      <c r="K270" s="1692">
        <f>SUM(K263:K269)</f>
        <v>56001</v>
      </c>
      <c r="L270" s="1692">
        <f>SUM(L263:L269)</f>
        <v>57526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93427</v>
      </c>
      <c r="E279" s="617"/>
      <c r="F279" s="617"/>
      <c r="G279" s="617"/>
      <c r="H279" s="617"/>
      <c r="I279" s="617"/>
      <c r="J279" s="617"/>
      <c r="K279" s="1699">
        <f>SUM(K238,K243,K257,K261,K270,K277,K278)</f>
        <v>93427</v>
      </c>
      <c r="L279" s="1699">
        <f>SUM(L238,L243,L257,L261,L270,L277,L278)</f>
        <v>94035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144122</v>
      </c>
      <c r="E295" s="617"/>
      <c r="F295" s="617"/>
      <c r="G295" s="617"/>
      <c r="H295" s="1692">
        <f>H293</f>
        <v>0</v>
      </c>
      <c r="I295" s="617"/>
      <c r="J295" s="617"/>
      <c r="K295" s="1692">
        <f>SUM(K229,K279,K280,K285,K293,K294)</f>
        <v>144122</v>
      </c>
      <c r="L295" s="1692">
        <f>SUM(L229,L279,L280,L285,L293,L294)</f>
        <v>146000</v>
      </c>
    </row>
    <row r="296" spans="1:14" ht="13.5" thickTop="1" x14ac:dyDescent="0.2">
      <c r="A296" s="2174" t="s">
        <v>1053</v>
      </c>
      <c r="B296" s="2175"/>
      <c r="C296" s="617"/>
      <c r="D296" s="619"/>
      <c r="E296" s="617"/>
      <c r="F296" s="617"/>
      <c r="G296" s="617"/>
      <c r="H296" s="688"/>
      <c r="I296" s="617"/>
      <c r="J296" s="617"/>
      <c r="K296" s="1706">
        <f>'Revenues 9-14'!G275-'Expenditures 15-22'!K295</f>
        <v>24700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13932</v>
      </c>
      <c r="F320" s="467"/>
      <c r="G320" s="467"/>
      <c r="H320" s="467"/>
      <c r="I320" s="467"/>
      <c r="J320" s="467"/>
      <c r="K320" s="1693">
        <f t="shared" ref="K320:K327" si="24">SUM(C320:J320)</f>
        <v>13932</v>
      </c>
      <c r="L320" s="467">
        <v>13932</v>
      </c>
      <c r="M320" s="666"/>
      <c r="N320" s="666"/>
    </row>
    <row r="321" spans="1:14" s="675" customFormat="1" x14ac:dyDescent="0.2">
      <c r="A321" s="1541" t="s">
        <v>318</v>
      </c>
      <c r="B321" s="698" t="s">
        <v>301</v>
      </c>
      <c r="C321" s="467"/>
      <c r="D321" s="467"/>
      <c r="E321" s="467">
        <v>11951</v>
      </c>
      <c r="F321" s="467"/>
      <c r="G321" s="467"/>
      <c r="H321" s="467"/>
      <c r="I321" s="467"/>
      <c r="J321" s="467"/>
      <c r="K321" s="1693">
        <f t="shared" si="24"/>
        <v>11951</v>
      </c>
      <c r="L321" s="467">
        <v>15000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37760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242881</v>
      </c>
      <c r="D325" s="467"/>
      <c r="E325" s="467">
        <f>13874+37760</f>
        <v>51634</v>
      </c>
      <c r="F325" s="467"/>
      <c r="G325" s="467"/>
      <c r="H325" s="467"/>
      <c r="I325" s="467"/>
      <c r="J325" s="467"/>
      <c r="K325" s="1693">
        <f t="shared" si="24"/>
        <v>294515</v>
      </c>
      <c r="L325" s="467">
        <v>293832</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8515</v>
      </c>
      <c r="F327" s="467"/>
      <c r="G327" s="467"/>
      <c r="H327" s="467"/>
      <c r="I327" s="467"/>
      <c r="J327" s="467"/>
      <c r="K327" s="1693">
        <f t="shared" si="24"/>
        <v>8515</v>
      </c>
      <c r="L327" s="467">
        <v>25000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242881</v>
      </c>
      <c r="D330" s="1692">
        <f t="shared" ref="D330:J330" si="25">SUM(D319:D329)</f>
        <v>0</v>
      </c>
      <c r="E330" s="1692">
        <f t="shared" si="25"/>
        <v>86032</v>
      </c>
      <c r="F330" s="1692">
        <f t="shared" si="25"/>
        <v>0</v>
      </c>
      <c r="G330" s="1692">
        <f t="shared" si="25"/>
        <v>0</v>
      </c>
      <c r="H330" s="1692">
        <f t="shared" si="25"/>
        <v>0</v>
      </c>
      <c r="I330" s="1692">
        <f t="shared" si="25"/>
        <v>0</v>
      </c>
      <c r="J330" s="1692">
        <f t="shared" si="25"/>
        <v>0</v>
      </c>
      <c r="K330" s="1692">
        <f>SUM(K319:K329)</f>
        <v>328913</v>
      </c>
      <c r="L330" s="1692">
        <f>SUM(L319:L329)</f>
        <v>385524</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242881</v>
      </c>
      <c r="D342" s="1692">
        <f>SUM(D330)</f>
        <v>0</v>
      </c>
      <c r="E342" s="1692">
        <f>SUM(E330)</f>
        <v>86032</v>
      </c>
      <c r="F342" s="1692">
        <f>SUM(F330)</f>
        <v>0</v>
      </c>
      <c r="G342" s="1692">
        <f>SUM(G330)</f>
        <v>0</v>
      </c>
      <c r="H342" s="1692">
        <f>SUM(H330,H334,H340)</f>
        <v>0</v>
      </c>
      <c r="I342" s="1692">
        <f>SUM(I330)</f>
        <v>0</v>
      </c>
      <c r="J342" s="1692">
        <f>SUM(J330)</f>
        <v>0</v>
      </c>
      <c r="K342" s="1692">
        <f>SUM(K330,K334,K340)</f>
        <v>328913</v>
      </c>
      <c r="L342" s="1699">
        <f>SUM(L330,L340,L341)</f>
        <v>385524</v>
      </c>
    </row>
    <row r="343" spans="1:14" ht="12.75" customHeight="1" thickTop="1" x14ac:dyDescent="0.2">
      <c r="A343" s="2187" t="s">
        <v>1053</v>
      </c>
      <c r="B343" s="2188"/>
      <c r="C343" s="617"/>
      <c r="D343" s="617"/>
      <c r="E343" s="617"/>
      <c r="F343" s="617"/>
      <c r="G343" s="617"/>
      <c r="H343" s="617"/>
      <c r="I343" s="617"/>
      <c r="J343" s="617"/>
      <c r="K343" s="1706">
        <f>'Revenues 9-14'!J275-'Expenditures 15-22'!K342</f>
        <v>60586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2018-09-18T20:10:33Z</cp:lastPrinted>
  <dcterms:created xsi:type="dcterms:W3CDTF">2003-10-29T19:06:34Z</dcterms:created>
  <dcterms:modified xsi:type="dcterms:W3CDTF">2018-10-15T20:50:29Z</dcterms:modified>
</cp:coreProperties>
</file>