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6500" windowHeight="131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2" i="181" l="1"/>
  <c r="D41" i="181"/>
  <c r="D40" i="181"/>
  <c r="D37" i="181"/>
  <c r="D35" i="181"/>
  <c r="D34" i="181"/>
  <c r="D31" i="181"/>
  <c r="D30" i="181"/>
  <c r="D28" i="181"/>
  <c r="D24" i="181"/>
  <c r="E16" i="7" l="1"/>
  <c r="E14" i="7"/>
  <c r="E13" i="7"/>
  <c r="E12" i="7"/>
  <c r="E11" i="7"/>
  <c r="E10" i="7"/>
  <c r="E8" i="7"/>
  <c r="E7" i="7"/>
  <c r="E6" i="7"/>
  <c r="E5" i="7"/>
  <c r="E4" i="7"/>
  <c r="D267" i="29" l="1"/>
  <c r="D266" i="29"/>
  <c r="D264" i="29"/>
  <c r="D259" i="29"/>
  <c r="D254" i="29"/>
  <c r="D246" i="29"/>
  <c r="D245" i="29"/>
  <c r="D241" i="29"/>
  <c r="D240" i="29"/>
  <c r="D237" i="29"/>
  <c r="D234" i="29"/>
  <c r="D223" i="29"/>
  <c r="D219" i="29"/>
  <c r="D216" i="29"/>
  <c r="D217" i="29"/>
  <c r="D215" i="29"/>
  <c r="G214" i="5"/>
  <c r="G203" i="5"/>
  <c r="G158" i="5"/>
  <c r="G65" i="5"/>
  <c r="G14" i="5"/>
  <c r="C55" i="29"/>
  <c r="E49" i="29"/>
  <c r="D44" i="29"/>
  <c r="G4" i="3"/>
  <c r="E4" i="3"/>
  <c r="M19" i="3"/>
  <c r="C39" i="3"/>
  <c r="C31" i="3"/>
  <c r="C27"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B2805" i="106" s="1"/>
  <c r="D2805" i="106" s="1"/>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K253" i="29"/>
  <c r="B7092" i="106" s="1"/>
  <c r="D7092" i="106" s="1"/>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c r="B6385" i="106"/>
  <c r="D6385" i="106" s="1"/>
  <c r="B6386" i="106"/>
  <c r="D6386" i="106"/>
  <c r="B6387" i="106"/>
  <c r="D6387" i="106" s="1"/>
  <c r="B6388" i="106"/>
  <c r="D6388" i="106" s="1"/>
  <c r="B6389" i="106"/>
  <c r="D6389" i="106" s="1"/>
  <c r="B6390" i="106"/>
  <c r="D6390" i="106"/>
  <c r="B6391" i="106"/>
  <c r="D6391" i="106" s="1"/>
  <c r="B6392" i="106"/>
  <c r="D6392" i="106"/>
  <c r="B6393" i="106"/>
  <c r="D6393" i="106" s="1"/>
  <c r="B6394" i="106"/>
  <c r="D6394" i="106" s="1"/>
  <c r="B6395" i="106"/>
  <c r="D6395" i="106" s="1"/>
  <c r="B6398" i="106"/>
  <c r="D6398" i="106" s="1"/>
  <c r="B6399" i="106"/>
  <c r="D6399" i="106" s="1"/>
  <c r="B6401" i="106"/>
  <c r="D6401" i="106"/>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c r="B6620" i="106"/>
  <c r="D6620" i="106" s="1"/>
  <c r="B6621" i="106"/>
  <c r="D6621" i="106" s="1"/>
  <c r="B6622" i="106"/>
  <c r="D6622" i="106" s="1"/>
  <c r="B6623" i="106"/>
  <c r="D6623" i="106" s="1"/>
  <c r="B6624" i="106"/>
  <c r="D6624" i="106" s="1"/>
  <c r="B6625" i="106"/>
  <c r="D6625" i="106"/>
  <c r="B6626" i="106"/>
  <c r="D6626" i="106" s="1"/>
  <c r="B6627" i="106"/>
  <c r="D6627" i="106"/>
  <c r="B6628" i="106"/>
  <c r="D6628" i="106" s="1"/>
  <c r="B6629" i="106"/>
  <c r="D6629" i="106" s="1"/>
  <c r="B6630" i="106"/>
  <c r="D6630" i="106" s="1"/>
  <c r="B6631" i="106"/>
  <c r="D6631" i="106"/>
  <c r="B6632" i="106"/>
  <c r="D6632" i="106" s="1"/>
  <c r="B6633" i="106"/>
  <c r="D6633" i="106"/>
  <c r="B6634" i="106"/>
  <c r="D6634" i="106" s="1"/>
  <c r="B6635" i="106"/>
  <c r="D6635" i="106" s="1"/>
  <c r="B6636" i="106"/>
  <c r="D6636" i="106" s="1"/>
  <c r="B6637" i="106"/>
  <c r="D6637" i="106" s="1"/>
  <c r="B6638" i="106"/>
  <c r="D6638" i="106" s="1"/>
  <c r="B6639" i="106"/>
  <c r="D6639" i="106"/>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c r="B6652" i="106"/>
  <c r="D6652" i="106" s="1"/>
  <c r="B6653" i="106"/>
  <c r="D6653" i="106" s="1"/>
  <c r="B6654" i="106"/>
  <c r="D6654" i="106" s="1"/>
  <c r="B6655" i="106"/>
  <c r="D6655" i="106" s="1"/>
  <c r="B6656" i="106"/>
  <c r="D6656" i="106" s="1"/>
  <c r="B6657" i="106"/>
  <c r="D6657" i="106"/>
  <c r="B6658" i="106"/>
  <c r="D6658" i="106" s="1"/>
  <c r="B6659" i="106"/>
  <c r="D6659" i="106"/>
  <c r="B6660" i="106"/>
  <c r="D6660" i="106" s="1"/>
  <c r="B6661" i="106"/>
  <c r="D6661" i="106" s="1"/>
  <c r="B6662" i="106"/>
  <c r="D6662" i="106" s="1"/>
  <c r="B6663" i="106"/>
  <c r="D6663" i="106"/>
  <c r="B6664" i="106"/>
  <c r="D6664" i="106" s="1"/>
  <c r="B6665" i="106"/>
  <c r="D6665" i="106"/>
  <c r="B6666" i="106"/>
  <c r="D6666" i="106" s="1"/>
  <c r="B6667" i="106"/>
  <c r="D6667" i="106" s="1"/>
  <c r="B6668" i="106"/>
  <c r="D6668" i="106" s="1"/>
  <c r="B6669" i="106"/>
  <c r="D6669" i="106" s="1"/>
  <c r="B6670" i="106"/>
  <c r="D6670" i="106" s="1"/>
  <c r="B6671" i="106"/>
  <c r="D6671" i="106"/>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c r="B6684" i="106"/>
  <c r="D6684" i="106" s="1"/>
  <c r="B6685" i="106"/>
  <c r="D6685" i="106" s="1"/>
  <c r="B6686" i="106"/>
  <c r="D6686" i="106" s="1"/>
  <c r="B6687" i="106"/>
  <c r="D6687" i="106" s="1"/>
  <c r="B6688" i="106"/>
  <c r="D6688" i="106" s="1"/>
  <c r="B6689" i="106"/>
  <c r="D6689" i="106"/>
  <c r="B6690" i="106"/>
  <c r="D6690" i="106" s="1"/>
  <c r="B6691" i="106"/>
  <c r="D6691" i="106"/>
  <c r="B6692" i="106"/>
  <c r="D6692" i="106" s="1"/>
  <c r="B6693" i="106"/>
  <c r="D6693" i="106" s="1"/>
  <c r="B6694" i="106"/>
  <c r="D6694" i="106" s="1"/>
  <c r="B6695" i="106"/>
  <c r="D6695" i="106"/>
  <c r="B6696" i="106"/>
  <c r="D6696" i="106" s="1"/>
  <c r="B6697" i="106"/>
  <c r="D6697" i="106"/>
  <c r="B6698" i="106"/>
  <c r="D6698" i="106" s="1"/>
  <c r="B6699" i="106"/>
  <c r="D6699" i="106" s="1"/>
  <c r="B6700" i="106"/>
  <c r="D6700" i="106" s="1"/>
  <c r="B6701" i="106"/>
  <c r="D6701" i="106" s="1"/>
  <c r="B6702" i="106"/>
  <c r="D6702" i="106" s="1"/>
  <c r="B6703" i="106"/>
  <c r="D6703" i="106"/>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c r="B6716" i="106"/>
  <c r="D6716" i="106" s="1"/>
  <c r="B6717" i="106"/>
  <c r="D6717" i="106" s="1"/>
  <c r="B6718" i="106"/>
  <c r="D6718" i="106" s="1"/>
  <c r="B6719" i="106"/>
  <c r="D6719" i="106" s="1"/>
  <c r="B6720" i="106"/>
  <c r="D6720" i="106" s="1"/>
  <c r="B6721" i="106"/>
  <c r="D6721" i="106"/>
  <c r="B6722" i="106"/>
  <c r="D6722" i="106" s="1"/>
  <c r="B6723" i="106"/>
  <c r="D6723" i="106"/>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5" i="106"/>
  <c r="D7085" i="106" s="1"/>
  <c r="B7087" i="106"/>
  <c r="D7087" i="106" s="1"/>
  <c r="B7089" i="106"/>
  <c r="D7089" i="106" s="1"/>
  <c r="B7090" i="106"/>
  <c r="D7090" i="106" s="1"/>
  <c r="B7091" i="106"/>
  <c r="D7091"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D27" i="108"/>
  <c r="E27" i="108"/>
  <c r="F27" i="108"/>
  <c r="G27" i="108"/>
  <c r="F31" i="108"/>
  <c r="G28" i="108"/>
  <c r="E29" i="108"/>
  <c r="G29" i="108"/>
  <c r="D31" i="108"/>
  <c r="D36" i="108"/>
  <c r="E31" i="108"/>
  <c r="G31" i="108"/>
  <c r="E33" i="108"/>
  <c r="G33" i="108"/>
  <c r="G34" i="108"/>
  <c r="E35"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C38" i="34"/>
  <c r="D38" i="34"/>
  <c r="F38" i="34"/>
  <c r="C39" i="34"/>
  <c r="D39" i="34"/>
  <c r="C40" i="34"/>
  <c r="D40" i="34"/>
  <c r="C41" i="34"/>
  <c r="D41" i="34"/>
  <c r="F41" i="34"/>
  <c r="C42" i="34"/>
  <c r="D42" i="34"/>
  <c r="C43" i="34"/>
  <c r="D43" i="34"/>
  <c r="C44" i="34"/>
  <c r="D44" i="34"/>
  <c r="C45" i="34"/>
  <c r="D45" i="34"/>
  <c r="C46" i="34"/>
  <c r="D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C67" i="34"/>
  <c r="D67" i="34"/>
  <c r="F67" i="34"/>
  <c r="C68" i="34"/>
  <c r="D68" i="34"/>
  <c r="C69" i="34"/>
  <c r="D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F127" i="34" s="1"/>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F128" i="34"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C14" i="4"/>
  <c r="B2558" i="106" s="1"/>
  <c r="D2558" i="106" s="1"/>
  <c r="D14" i="4"/>
  <c r="B2570" i="106" s="1"/>
  <c r="D2570" i="106" s="1"/>
  <c r="B2633" i="106"/>
  <c r="D2633" i="106" s="1"/>
  <c r="D7" i="118"/>
  <c r="D8" i="118"/>
  <c r="D9" i="118"/>
  <c r="H14" i="118"/>
  <c r="H19" i="118"/>
  <c r="H24" i="118"/>
  <c r="H33" i="118"/>
  <c r="D22" i="37"/>
  <c r="J22" i="37"/>
  <c r="L22" i="37"/>
  <c r="D24" i="37"/>
  <c r="B4270" i="106" s="1"/>
  <c r="D4270" i="106" s="1"/>
  <c r="D5" i="7"/>
  <c r="B1761" i="106" s="1"/>
  <c r="D1761" i="106" s="1"/>
  <c r="D9" i="7"/>
  <c r="B1767" i="106" s="1"/>
  <c r="D1767" i="106" s="1"/>
  <c r="D17" i="7"/>
  <c r="B4104" i="106" s="1"/>
  <c r="D4104" i="106" s="1"/>
  <c r="C172" i="5" l="1"/>
  <c r="B5214" i="106" s="1"/>
  <c r="D5214" i="106" s="1"/>
  <c r="D4" i="7"/>
  <c r="B1760" i="106" s="1"/>
  <c r="D1760" i="106" s="1"/>
  <c r="E28" i="108"/>
  <c r="I210" i="29"/>
  <c r="B7071" i="106" s="1"/>
  <c r="D7071" i="106" s="1"/>
  <c r="G15" i="145"/>
  <c r="N22" i="3"/>
  <c r="B283" i="106" s="1"/>
  <c r="D283" i="106" s="1"/>
  <c r="G14" i="4"/>
  <c r="B2609" i="106" s="1"/>
  <c r="D2609" i="106" s="1"/>
  <c r="B4373" i="106"/>
  <c r="D4373" i="106" s="1"/>
  <c r="K173" i="5"/>
  <c r="K6" i="4" s="1"/>
  <c r="B3570" i="106" s="1"/>
  <c r="D3570" i="106" s="1"/>
  <c r="F72" i="34"/>
  <c r="F42" i="34"/>
  <c r="G30" i="108"/>
  <c r="G26" i="108"/>
  <c r="D69" i="36"/>
  <c r="F77" i="4"/>
  <c r="B3255" i="106" s="1"/>
  <c r="D3255" i="106" s="1"/>
  <c r="B1274" i="106"/>
  <c r="D1274" i="106" s="1"/>
  <c r="H29" i="118"/>
  <c r="D5" i="4"/>
  <c r="B3406" i="106" s="1"/>
  <c r="D3406" i="106" s="1"/>
  <c r="L342" i="29"/>
  <c r="F37" i="34"/>
  <c r="E30" i="108"/>
  <c r="F36" i="108"/>
  <c r="E26" i="108"/>
  <c r="H112" i="29"/>
  <c r="B7018" i="106" s="1"/>
  <c r="D7018" i="106" s="1"/>
  <c r="H28" i="118"/>
  <c r="H173" i="5"/>
  <c r="L5" i="11"/>
  <c r="B2056" i="106" s="1"/>
  <c r="D2056" i="106" s="1"/>
  <c r="G172" i="5"/>
  <c r="G173" i="5" s="1"/>
  <c r="B5778" i="106" s="1"/>
  <c r="D5778" i="106" s="1"/>
  <c r="L367" i="29"/>
  <c r="F19" i="7"/>
  <c r="B1807" i="106" s="1"/>
  <c r="D1807" i="106" s="1"/>
  <c r="E38" i="108"/>
  <c r="F136" i="34"/>
  <c r="H109" i="5"/>
  <c r="H4" i="4" s="1"/>
  <c r="D7" i="7"/>
  <c r="B1763" i="106" s="1"/>
  <c r="D1763" i="106" s="1"/>
  <c r="D11" i="37"/>
  <c r="F14" i="4"/>
  <c r="B2597" i="106" s="1"/>
  <c r="D2597" i="106" s="1"/>
  <c r="G5" i="4"/>
  <c r="B3409" i="106" s="1"/>
  <c r="D3409" i="106" s="1"/>
  <c r="K274" i="5"/>
  <c r="F46" i="34"/>
  <c r="F26" i="108"/>
  <c r="K26" i="12"/>
  <c r="B7743" i="106" s="1"/>
  <c r="D7743" i="106" s="1"/>
  <c r="B1126" i="106"/>
  <c r="D1126" i="106" s="1"/>
  <c r="F34" i="34"/>
  <c r="D12" i="7"/>
  <c r="B1769" i="106" s="1"/>
  <c r="D1769" i="106" s="1"/>
  <c r="F106" i="34"/>
  <c r="F172" i="5"/>
  <c r="B5644" i="106" s="1"/>
  <c r="D5644" i="106" s="1"/>
  <c r="F70" i="34"/>
  <c r="F62" i="34"/>
  <c r="F44" i="34"/>
  <c r="G39" i="108"/>
  <c r="F28" i="108"/>
  <c r="D31" i="36"/>
  <c r="L15" i="11"/>
  <c r="B3459" i="106" s="1"/>
  <c r="D3459" i="106" s="1"/>
  <c r="L13" i="11"/>
  <c r="B2060" i="106" s="1"/>
  <c r="D2060" i="106" s="1"/>
  <c r="K350" i="29"/>
  <c r="K184" i="29"/>
  <c r="F13" i="4" s="1"/>
  <c r="B2596" i="106" s="1"/>
  <c r="D2596" i="106" s="1"/>
  <c r="B1223" i="106"/>
  <c r="D1223" i="106" s="1"/>
  <c r="F37" i="108"/>
  <c r="D37" i="108"/>
  <c r="D41" i="108" s="1"/>
  <c r="E43" i="108" s="1"/>
  <c r="F94" i="34"/>
  <c r="D13" i="7"/>
  <c r="B3726" i="106" s="1"/>
  <c r="D3726" i="106" s="1"/>
  <c r="C109" i="5"/>
  <c r="B5121" i="106" s="1"/>
  <c r="D5121" i="106" s="1"/>
  <c r="C173" i="5"/>
  <c r="B5223" i="106" s="1"/>
  <c r="D5223" i="106" s="1"/>
  <c r="B3565" i="106"/>
  <c r="D3565" i="106" s="1"/>
  <c r="K41" i="3"/>
  <c r="B6191" i="106"/>
  <c r="D6191" i="106" s="1"/>
  <c r="J41" i="3"/>
  <c r="B6216" i="106" s="1"/>
  <c r="D6216" i="106" s="1"/>
  <c r="D15" i="7"/>
  <c r="B1772" i="106" s="1"/>
  <c r="D1772" i="106" s="1"/>
  <c r="B1746" i="106"/>
  <c r="D1746" i="106" s="1"/>
  <c r="D109" i="5"/>
  <c r="F130" i="34"/>
  <c r="K28" i="118"/>
  <c r="O27" i="118" s="1"/>
  <c r="O29" i="118" s="1"/>
  <c r="G109" i="5"/>
  <c r="H342" i="29"/>
  <c r="B7221" i="106" s="1"/>
  <c r="D722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19" i="106"/>
  <c r="D3619" i="106" s="1"/>
  <c r="C352" i="29"/>
  <c r="F21" i="8"/>
  <c r="B3689" i="106"/>
  <c r="D3689" i="106" s="1"/>
  <c r="J77" i="4"/>
  <c r="B6262" i="106" s="1"/>
  <c r="D6262" i="106" s="1"/>
  <c r="B3670" i="106"/>
  <c r="D3670" i="106" s="1"/>
  <c r="K352" i="29"/>
  <c r="K13" i="4" s="1"/>
  <c r="B3572" i="106" s="1"/>
  <c r="D3572" i="106" s="1"/>
  <c r="B3170" i="106"/>
  <c r="D3170" i="106" s="1"/>
  <c r="H76" i="4"/>
  <c r="B3298" i="106" s="1"/>
  <c r="D3298" i="106" s="1"/>
  <c r="B1995" i="106"/>
  <c r="D1995" i="106" s="1"/>
  <c r="I24" i="12"/>
  <c r="B3647" i="106"/>
  <c r="D3647"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3447" i="106"/>
  <c r="D3447" i="106" s="1"/>
  <c r="B7270" i="106"/>
  <c r="F41" i="108" l="1"/>
  <c r="G43" i="108" s="1"/>
  <c r="L114" i="29"/>
  <c r="K365" i="29"/>
  <c r="K367" i="29" s="1"/>
  <c r="H151" i="29"/>
  <c r="B1273" i="106" s="1"/>
  <c r="D1273" i="106" s="1"/>
  <c r="D7255" i="106"/>
  <c r="D7251" i="106"/>
  <c r="B2655" i="106"/>
  <c r="D2655" i="106" s="1"/>
  <c r="H275" i="5"/>
  <c r="D7253" i="106"/>
  <c r="B6025" i="106"/>
  <c r="D6025" i="106" s="1"/>
  <c r="B1381" i="106"/>
  <c r="D1381" i="106" s="1"/>
  <c r="D7254" i="106"/>
  <c r="D7250" i="106"/>
  <c r="G6" i="4"/>
  <c r="B2604" i="106" s="1"/>
  <c r="D2604" i="106" s="1"/>
  <c r="B5770" i="106"/>
  <c r="D5770" i="106" s="1"/>
  <c r="B5906" i="106"/>
  <c r="D5906" i="106" s="1"/>
  <c r="H6" i="4"/>
  <c r="B2656" i="106" s="1"/>
  <c r="D2656" i="106" s="1"/>
  <c r="L16" i="11"/>
  <c r="B2061" i="106" s="1"/>
  <c r="D2061" i="106" s="1"/>
  <c r="K342" i="29"/>
  <c r="F13" i="34" s="1"/>
  <c r="F274" i="5"/>
  <c r="F275" i="5" s="1"/>
  <c r="B5720" i="106" s="1"/>
  <c r="D5720" i="106" s="1"/>
  <c r="F6" i="4"/>
  <c r="B2593" i="106" s="1"/>
  <c r="D2593" i="106" s="1"/>
  <c r="B5527" i="106"/>
  <c r="D5527" i="106" s="1"/>
  <c r="C114" i="29"/>
  <c r="B757" i="106" s="1"/>
  <c r="D757" i="106" s="1"/>
  <c r="C4" i="4"/>
  <c r="B2551" i="106" s="1"/>
  <c r="D2551" i="106" s="1"/>
  <c r="D19" i="7"/>
  <c r="B1775" i="106" s="1"/>
  <c r="D1775" i="106" s="1"/>
  <c r="D51" i="36"/>
  <c r="D44" i="36"/>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H8" i="4" l="1"/>
  <c r="B7224" i="106"/>
  <c r="D7224" i="106" s="1"/>
  <c r="B1145" i="106"/>
  <c r="D1145" i="106" s="1"/>
  <c r="G41" i="108"/>
  <c r="G44" i="108" s="1"/>
  <c r="G45" i="108" s="1"/>
  <c r="J8" i="4"/>
  <c r="J10" i="4" s="1"/>
  <c r="B6225" i="106" s="1"/>
  <c r="D6225" i="106" s="1"/>
  <c r="F8" i="4"/>
  <c r="B2595" i="106" s="1"/>
  <c r="D259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B2567" i="106"/>
  <c r="D2567" i="106" s="1"/>
  <c r="B2658" i="106" l="1"/>
  <c r="D2658" i="106" s="1"/>
  <c r="H10" i="4"/>
  <c r="B4127" i="106" s="1"/>
  <c r="D4127" i="106" s="1"/>
  <c r="F10" i="4"/>
  <c r="B4125" i="106" s="1"/>
  <c r="D4125" i="106" s="1"/>
  <c r="D8" i="4"/>
  <c r="C8" i="14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68" i="106" l="1"/>
  <c r="D2568" i="106" s="1"/>
  <c r="D10" i="4"/>
  <c r="B4123" i="106" s="1"/>
  <c r="D4123"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9" i="34" l="1"/>
  <c r="F79" i="34"/>
  <c r="D78" i="4"/>
  <c r="D81" i="4"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<sst xmlns="http://schemas.openxmlformats.org/spreadsheetml/2006/main" count="5128" uniqueCount="2149">
  <si>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</si>
  <si>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</si>
  <si>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</si>
  <si>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</si>
  <si>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</si>
  <si>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</si>
  <si>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</si>
  <si>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</si>
  <si>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</si>
  <si>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</si>
  <si>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</si>
  <si>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</si>
  <si>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</si>
  <si>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</si>
  <si>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</si>
  <si>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</si>
  <si>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</si>
  <si>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</si>
  <si>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</si>
  <si>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</si>
  <si>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</si>
  <si>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</si>
  <si>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</si>
  <si>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</si>
  <si>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</si>
  <si>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</si>
  <si>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</si>
  <si>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</si>
  <si>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</si>
  <si>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</si>
  <si>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</si>
  <si>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</si>
  <si>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</si>
  <si>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</si>
  <si>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</si>
  <si>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</si>
  <si>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</si>
  <si>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</si>
  <si>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</si>
  <si>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</si>
  <si>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</si>
  <si>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</si>
  <si>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</si>
  <si>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</si>
  <si>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</si>
  <si>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</si>
  <si>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</si>
  <si>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</si>
  <si>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</si>
  <si>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</si>
  <si>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</si>
  <si>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</si>
  <si>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</si>
  <si>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</si>
  <si>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</si>
  <si>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</si>
  <si>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</si>
  <si>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</si>
  <si>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</si>
  <si>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</si>
  <si>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</si>
  <si>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</si>
  <si>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</si>
  <si>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</si>
  <si>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</si>
  <si>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</si>
  <si>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</si>
  <si>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</si>
  <si>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</si>
  <si>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</si>
  <si>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</si>
  <si>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</si>
  <si>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</si>
  <si>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</si>
  <si>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</si>
  <si>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</si>
  <si>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</si>
  <si>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</si>
  <si>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</si>
  <si>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</si>
  <si>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</si>
  <si>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</si>
  <si>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</si>
  <si>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</si>
  <si>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</si>
  <si>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</si>
  <si>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</si>
  <si>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</si>
  <si>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</si>
  <si>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</si>
  <si>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</si>
  <si>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</si>
  <si>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</si>
  <si>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</si>
  <si>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</si>
  <si>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</si>
  <si>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</si>
  <si>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</si>
  <si>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</si>
  <si>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</si>
  <si>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</si>
  <si>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</si>
  <si>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</si>
  <si>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</si>
  <si>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</si>
  <si>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</si>
  <si>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</si>
  <si>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</si>
  <si>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</si>
  <si>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</si>
  <si>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</si>
  <si>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</si>
  <si>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</si>
  <si>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</si>
  <si>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</si>
  <si>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</si>
  <si>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</si>
  <si>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</si>
  <si>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</si>
  <si>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</si>
  <si>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</si>
  <si>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</si>
  <si>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</si>
  <si>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</si>
  <si>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</si>
  <si>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</si>
  <si>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</si>
  <si>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</si>
  <si>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</si>
  <si>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</si>
  <si>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</si>
  <si>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</si>
  <si>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</si>
  <si>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</si>
  <si>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</si>
  <si>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</si>
  <si>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</si>
  <si>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</si>
  <si>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</si>
  <si>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</si>
  <si>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</si>
  <si>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</si>
  <si>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</si>
  <si>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</si>
  <si>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</si>
  <si>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</si>
  <si>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</si>
  <si>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</si>
  <si>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</si>
  <si>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</si>
  <si>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</si>
  <si>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</si>
  <si>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</si>
  <si>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</si>
  <si>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</si>
  <si>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</si>
  <si>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</si>
  <si>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</si>
  <si>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</si>
  <si>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</si>
  <si>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</si>
  <si>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</si>
  <si>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</si>
  <si>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</si>
  <si>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</si>
  <si>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</si>
  <si>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</si>
  <si>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</si>
  <si>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</si>
  <si>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</si>
  <si>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</si>
  <si>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</si>
  <si>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</si>
  <si>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</si>
  <si>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</si>
  <si>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</si>
  <si>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</si>
  <si>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</si>
  <si>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</si>
  <si>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</si>
  <si>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</si>
  <si>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</si>
  <si>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</si>
  <si>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</si>
  <si>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</si>
  <si>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</si>
  <si>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</si>
  <si>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</si>
  <si>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</si>
  <si>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</si>
  <si>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</si>
  <si>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</si>
  <si>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</si>
  <si>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</si>
  <si>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</si>
  <si>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</si>
  <si>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</si>
  <si>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</si>
  <si>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</si>
  <si>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</si>
  <si>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</si>
  <si>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</si>
  <si>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</si>
  <si>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</si>
  <si>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</si>
  <si>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</si>
  <si>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</si>
  <si>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</si>
  <si>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</si>
  <si>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</si>
  <si>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</si>
  <si>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</si>
  <si>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</si>
  <si>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</si>
  <si>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</si>
  <si>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</si>
  <si>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</si>
  <si>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</si>
  <si>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</si>
  <si>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</si>
  <si>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</si>
  <si>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</si>
  <si>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</si>
  <si>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</si>
  <si>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</si>
  <si>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</si>
  <si>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</si>
  <si>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</si>
  <si>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</si>
  <si>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</si>
  <si>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</si>
  <si>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</si>
  <si>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</si>
  <si>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</si>
  <si>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</si>
  <si>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</si>
  <si>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</si>
  <si>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</si>
  <si>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</si>
  <si>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</si>
  <si>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</si>
  <si>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</si>
  <si>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</si>
  <si>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</si>
  <si>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</si>
  <si>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</si>
  <si>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</si>
  <si>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</si>
  <si>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</si>
  <si>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</si>
  <si>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</si>
  <si>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</si>
  <si>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</si>
  <si>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</si>
  <si>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</si>
  <si>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</si>
  <si>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</si>
  <si>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</si>
  <si>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</si>
  <si>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</si>
  <si>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</si>
  <si>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</si>
  <si>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</si>
  <si>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</si>
  <si>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</si>
  <si>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</si>
  <si>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</si>
  <si>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</si>
  <si>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</si>
  <si>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</si>
  <si>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</si>
  <si>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</si>
  <si>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</si>
  <si>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</si>
  <si>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</si>
  <si>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</si>
  <si>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</si>
  <si>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</si>
  <si>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</si>
  <si>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</si>
  <si>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</si>
  <si>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</si>
  <si>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</si>
  <si>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</si>
  <si>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</si>
  <si>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</si>
  <si>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</si>
  <si>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</si>
  <si>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</si>
  <si>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</si>
  <si>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</si>
  <si>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</si>
  <si>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</si>
  <si>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</si>
  <si>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</si>
  <si>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</si>
  <si>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</si>
  <si>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</si>
  <si>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</si>
  <si>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</si>
  <si>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</si>
  <si>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</si>
  <si>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</si>
  <si>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</si>
  <si>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</si>
  <si>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</si>
  <si>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</si>
  <si>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</si>
  <si>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</si>
  <si>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</si>
  <si>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</si>
  <si>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</si>
  <si>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</si>
  <si>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</si>
  <si>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</si>
  <si>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</si>
  <si>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</si>
  <si>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</si>
  <si>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</si>
  <si>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</si>
  <si>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</si>
  <si>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</si>
  <si>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</si>
  <si>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</si>
  <si>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</si>
  <si>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</si>
  <si>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</si>
  <si>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</si>
  <si>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</si>
  <si>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</si>
  <si>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</si>
  <si>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</si>
  <si>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</si>
  <si>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</si>
  <si>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</si>
  <si>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</si>
  <si>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</si>
  <si>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</si>
  <si>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</si>
  <si>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</si>
  <si>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</si>
  <si>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</si>
  <si>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</si>
  <si>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</si>
  <si>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</si>
  <si>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</si>
  <si>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</si>
  <si>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</si>
  <si>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</si>
  <si>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</si>
  <si>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</si>
  <si>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</si>
  <si>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</si>
  <si>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</si>
  <si>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</si>
  <si>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</si>
  <si>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</si>
  <si>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</si>
  <si>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</si>
  <si>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</si>
  <si>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</si>
  <si>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</si>
  <si>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</si>
  <si>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</si>
  <si>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</si>
  <si>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</si>
  <si>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</si>
  <si>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</si>
  <si>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</si>
  <si>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</si>
  <si>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</si>
  <si>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</si>
  <si>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</si>
  <si>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</si>
  <si>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</si>
  <si>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</si>
  <si>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</si>
  <si>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</si>
  <si>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</si>
  <si>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</si>
  <si>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</si>
  <si>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</si>
  <si>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</si>
  <si>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</si>
  <si>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</si>
  <si>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</si>
  <si>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</si>
  <si>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</si>
  <si>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</si>
  <si>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</si>
  <si>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</si>
  <si>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</si>
  <si>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</si>
  <si>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</si>
  <si>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</si>
  <si>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</si>
  <si>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</si>
  <si>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</si>
  <si>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</si>
  <si>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</si>
  <si>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</si>
  <si>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</si>
  <si>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</si>
  <si>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</si>
  <si>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</si>
  <si>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</si>
  <si>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</si>
  <si>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</si>
  <si>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</si>
  <si>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</si>
  <si>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</si>
  <si>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</si>
  <si>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</si>
  <si>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</si>
  <si>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</si>
  <si>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</si>
  <si>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</si>
  <si>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</si>
  <si>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</si>
  <si>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</si>
  <si>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</si>
  <si>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</si>
  <si>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</si>
  <si>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</si>
  <si>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</si>
  <si>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</si>
  <si>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</si>
  <si>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</si>
  <si>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</si>
  <si>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</si>
  <si>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</si>
  <si>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</si>
  <si>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</si>
  <si>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</si>
  <si>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</si>
  <si>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</si>
  <si>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</si>
  <si>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</si>
  <si>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</si>
  <si>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</si>
  <si>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</si>
  <si>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</si>
  <si>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</si>
  <si>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</si>
  <si>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</si>
  <si>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</si>
  <si>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</si>
  <si>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</si>
  <si>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</si>
  <si>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</si>
  <si>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</si>
  <si>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</si>
  <si>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</si>
  <si>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</si>
  <si>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</si>
  <si>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</si>
  <si>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</si>
  <si>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</si>
  <si>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</si>
  <si>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</si>
  <si>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</si>
  <si>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</si>
  <si>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</si>
  <si>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</si>
  <si>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</si>
  <si>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</si>
  <si>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</si>
  <si>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</si>
  <si>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</si>
  <si>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</si>
  <si>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</si>
  <si>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</si>
  <si>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</si>
  <si>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</si>
  <si>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</si>
  <si>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</si>
  <si>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</si>
  <si>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</si>
  <si>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</si>
  <si>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</si>
  <si>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</si>
  <si>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</si>
  <si>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</si>
  <si>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</si>
  <si>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</si>
  <si>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</si>
  <si>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</si>
  <si>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</si>
  <si>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</si>
  <si>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</si>
  <si>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</si>
  <si>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</si>
  <si>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</si>
  <si>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</si>
  <si>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</si>
  <si>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</si>
  <si>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</si>
  <si>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</si>
  <si>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</si>
  <si>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</si>
  <si>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</si>
  <si>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</si>
  <si>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</si>
  <si>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</si>
  <si>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</si>
  <si>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</si>
  <si>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</si>
  <si>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</si>
  <si>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</si>
  <si>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</si>
  <si>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</si>
  <si>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</si>
  <si>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</si>
  <si>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</si>
  <si>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</si>
  <si>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</si>
  <si>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</si>
  <si>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</si>
  <si>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</si>
  <si>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</si>
  <si>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</si>
  <si>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</si>
  <si>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</si>
  <si>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</si>
  <si>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</si>
  <si>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</si>
  <si>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</si>
  <si>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</si>
  <si>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</si>
  <si>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</si>
  <si>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</si>
  <si>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</si>
  <si>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</si>
  <si>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</si>
  <si>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</si>
  <si>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</si>
  <si>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</si>
  <si>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</si>
  <si>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</si>
  <si>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</si>
  <si>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</si>
  <si>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</si>
  <si>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</si>
  <si>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</si>
  <si>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</si>
  <si>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</si>
  <si>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</si>
  <si>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</si>
  <si>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</si>
  <si>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</si>
  <si>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</si>
  <si>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</si>
  <si>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</si>
  <si>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</si>
  <si>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</si>
  <si>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</si>
  <si>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</si>
  <si>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</si>
  <si>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</si>
  <si>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</si>
  <si>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</si>
  <si>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</si>
  <si>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</si>
  <si>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</si>
  <si>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</si>
  <si>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</si>
  <si>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</si>
  <si>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</si>
  <si>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</si>
  <si>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</si>
  <si>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</si>
  <si>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</si>
  <si>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</si>
  <si>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</si>
  <si>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</si>
  <si>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</si>
  <si>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</si>
  <si>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</si>
  <si>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</si>
  <si>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</si>
  <si>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</si>
  <si>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</si>
  <si>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</si>
  <si>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</si>
  <si>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</si>
  <si>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</si>
  <si>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</si>
  <si>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</si>
  <si>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</si>
  <si>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</si>
  <si>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</si>
  <si>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</si>
  <si>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</si>
  <si>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</si>
  <si>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</si>
  <si>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</si>
  <si>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</si>
  <si>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</si>
  <si>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</si>
  <si>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</si>
  <si>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</si>
  <si>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</si>
  <si>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</si>
  <si>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</si>
  <si>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</si>
  <si>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</si>
  <si>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</si>
  <si>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</si>
  <si>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</si>
  <si>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</si>
  <si>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</si>
  <si>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</si>
  <si>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</si>
  <si>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</si>
  <si>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</si>
  <si>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</si>
  <si>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</si>
  <si>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</si>
  <si>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</si>
  <si>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</si>
  <si>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</si>
  <si>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</si>
  <si>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</si>
  <si>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</si>
  <si>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</si>
  <si>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</si>
  <si>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</si>
  <si>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</si>
  <si>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</si>
  <si>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</si>
  <si>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</si>
  <si>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</si>
  <si>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</si>
  <si>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</si>
  <si>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</si>
  <si>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</si>
  <si>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</si>
  <si>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</si>
  <si>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</si>
  <si>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</si>
  <si>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</si>
  <si>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</si>
  <si>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</si>
  <si>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</si>
  <si>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</si>
  <si>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</si>
  <si>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</si>
  <si>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</si>
  <si>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</si>
  <si>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</si>
  <si>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</si>
  <si>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</si>
  <si>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</si>
  <si>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</si>
  <si>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</si>
  <si>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</si>
  <si>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</si>
  <si>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</si>
  <si>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</si>
  <si>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</si>
  <si>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</si>
  <si>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</si>
  <si>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</si>
  <si>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</si>
  <si>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</si>
  <si>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</si>
  <si>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</si>
  <si>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</si>
  <si>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</si>
  <si>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</si>
  <si>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</si>
  <si>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</si>
  <si>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</si>
  <si>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</si>
  <si>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</si>
  <si>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</si>
  <si>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</si>
  <si>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</si>
  <si>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</si>
  <si>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</si>
  <si>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</si>
  <si>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</si>
  <si>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</si>
  <si>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</si>
  <si>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</si>
  <si>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</si>
  <si>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</si>
  <si>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</si>
  <si>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</si>
  <si>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</si>
  <si>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</si>
  <si>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</si>
  <si>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</si>
  <si>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</si>
  <si>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</si>
  <si>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</si>
  <si>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</si>
  <si>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</si>
  <si>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</si>
  <si>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</si>
  <si>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</si>
  <si>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</si>
  <si>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</si>
  <si>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</si>
  <si>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</si>
  <si>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</si>
  <si>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</si>
  <si>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</si>
  <si>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</si>
  <si>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</si>
  <si>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</si>
  <si>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</si>
  <si>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</si>
  <si>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</si>
  <si>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</si>
  <si>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</si>
  <si>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</si>
  <si>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</si>
  <si>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</si>
  <si>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</si>
  <si>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</si>
  <si>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</si>
  <si>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</si>
  <si>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</si>
  <si>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</si>
  <si>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</si>
  <si>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</si>
  <si>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</si>
  <si>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</si>
  <si>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</si>
  <si>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</si>
  <si>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</si>
  <si>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</si>
  <si>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</si>
  <si>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</si>
  <si>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</si>
  <si>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</si>
  <si>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</si>
  <si>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</si>
  <si>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</si>
  <si>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</si>
  <si>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</si>
  <si>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</si>
  <si>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</si>
  <si>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</si>
  <si>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</si>
  <si>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</si>
  <si>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</si>
  <si>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</si>
  <si>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</si>
  <si>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</si>
  <si>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</si>
  <si>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</si>
  <si>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</si>
  <si>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</si>
  <si>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</si>
  <si>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</si>
  <si>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</si>
  <si>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</si>
  <si>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</si>
  <si>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</si>
  <si>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</si>
  <si>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</si>
  <si>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</si>
  <si>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</si>
  <si>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</si>
  <si>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</si>
  <si>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</si>
  <si>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</si>
  <si>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</si>
  <si>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</si>
  <si>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</si>
  <si>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</si>
  <si>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</si>
  <si>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</si>
  <si>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</si>
  <si>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</si>
  <si>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</si>
  <si>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</si>
  <si>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</si>
  <si>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</si>
  <si>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</si>
  <si>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</si>
  <si>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</si>
  <si>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</si>
  <si>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</si>
  <si>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</si>
  <si>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</si>
  <si>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</si>
  <si>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</si>
  <si>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</si>
  <si>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</si>
  <si>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</si>
  <si>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</si>
  <si>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</si>
  <si>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</si>
  <si>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</si>
  <si>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</si>
  <si>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</si>
  <si>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</si>
  <si>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</si>
  <si>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</si>
  <si>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</si>
  <si>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</si>
  <si>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</si>
  <si>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</si>
  <si>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</si>
  <si>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</si>
  <si>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</si>
  <si>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</si>
  <si>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</si>
  <si>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</si>
  <si>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</si>
  <si>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</si>
  <si>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</si>
  <si>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</si>
  <si>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</si>
  <si>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</si>
  <si>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</si>
  <si>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</si>
  <si>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</si>
  <si>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</si>
  <si>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</si>
  <si>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</si>
  <si>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</si>
  <si>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</si>
  <si>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</si>
  <si>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</si>
  <si>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</si>
  <si>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</si>
  <si>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</si>
  <si>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</si>
  <si>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</si>
  <si>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</si>
  <si>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</si>
  <si>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</si>
  <si>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</si>
  <si>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</si>
  <si>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</si>
  <si>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</si>
  <si>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</si>
  <si>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</si>
  <si>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</si>
  <si>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</si>
  <si>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</si>
  <si>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</si>
  <si>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</si>
  <si>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</si>
  <si>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</si>
  <si>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</si>
  <si>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</si>
  <si>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</si>
  <si>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</si>
  <si>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</si>
  <si>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</si>
  <si>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</si>
  <si>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</si>
  <si>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</si>
  <si>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</si>
  <si>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</si>
  <si>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</si>
  <si>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</si>
  <si>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</si>
  <si>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</si>
  <si>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</si>
  <si>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</si>
  <si>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</si>
  <si>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</si>
  <si>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</si>
  <si>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</si>
  <si>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</si>
  <si>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</si>
  <si>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</si>
  <si>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</si>
  <si>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</si>
  <si>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</si>
  <si>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</si>
  <si>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</si>
  <si>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</si>
  <si>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</si>
  <si>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</si>
  <si>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</si>
  <si>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</si>
  <si>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</si>
  <si>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</si>
  <si>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</si>
  <si>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</si>
  <si>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</si>
  <si>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</si>
  <si>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</si>
  <si>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</si>
  <si>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</si>
  <si>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</si>
  <si>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</si>
  <si>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</si>
  <si>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</si>
  <si>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</si>
  <si>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</si>
  <si>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</si>
  <si>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</si>
  <si>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</si>
  <si>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</si>
  <si>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</si>
  <si>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</si>
  <si>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</si>
  <si>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</si>
  <si>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</si>
  <si>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</si>
  <si>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</si>
  <si>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</si>
  <si>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</si>
  <si>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</si>
  <si>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</si>
  <si>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</si>
  <si>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</si>
  <si>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</si>
  <si>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</si>
  <si>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</si>
  <si>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</si>
  <si>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</si>
  <si>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</si>
  <si>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</si>
  <si>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</si>
  <si>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</si>
  <si>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</si>
  <si>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</si>
  <si>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</si>
  <si>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</si>
  <si>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</si>
  <si>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</si>
  <si>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</si>
  <si>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</si>
  <si>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</si>
  <si>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</si>
  <si>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</si>
  <si>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</si>
  <si>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</si>
  <si>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</si>
  <si>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</si>
  <si>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</si>
  <si>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</si>
  <si>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</si>
  <si>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</si>
  <si>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</si>
  <si>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</si>
  <si>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</si>
  <si>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</si>
  <si>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</si>
  <si>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</si>
  <si>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</si>
  <si>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</si>
  <si>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</si>
  <si>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</si>
  <si>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</si>
  <si>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</si>
  <si>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</si>
  <si>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</si>
  <si>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</si>
  <si>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</si>
  <si>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</si>
  <si>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</si>
  <si>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</si>
  <si>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</si>
  <si>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</si>
  <si>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</si>
  <si>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</si>
  <si>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</si>
  <si>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</si>
  <si>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</si>
  <si>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</si>
  <si>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</si>
  <si>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</si>
  <si>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</si>
  <si>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</si>
  <si>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</si>
  <si>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</si>
  <si>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</si>
  <si>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</si>
  <si>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</si>
  <si>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</si>
  <si>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</si>
  <si>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</si>
  <si>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</si>
  <si>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</si>
  <si>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</si>
  <si>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</si>
  <si>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</si>
  <si>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</si>
  <si>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</si>
  <si>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</si>
  <si>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</si>
  <si>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</si>
  <si>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</si>
  <si>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</si>
  <si>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</si>
  <si>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</si>
  <si>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</si>
  <si>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</si>
  <si>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</si>
  <si>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</si>
  <si>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</si>
  <si>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</si>
  <si>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</si>
  <si>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</si>
  <si>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</si>
  <si>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</si>
  <si>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</si>
  <si>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</si>
  <si>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</si>
  <si>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</si>
  <si>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</si>
  <si>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</si>
  <si>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</si>
  <si>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</si>
  <si>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</si>
  <si>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</si>
  <si>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</si>
  <si>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</si>
  <si>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</si>
  <si>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</si>
  <si>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</si>
  <si>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</si>
  <si>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</si>
  <si>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</si>
  <si>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</si>
  <si>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</si>
  <si>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</si>
  <si>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</si>
  <si>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</si>
  <si>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</si>
  <si>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</si>
  <si>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</si>
  <si>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</si>
  <si>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</si>
  <si>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</si>
  <si>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</si>
  <si>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</si>
  <si>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</si>
  <si>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</si>
  <si>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</si>
  <si>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</si>
  <si>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</si>
  <si>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</si>
  <si>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</si>
  <si>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</si>
  <si>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</si>
  <si>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</si>
  <si>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</si>
  <si>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</si>
  <si>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</si>
  <si>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</si>
  <si>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</si>
  <si>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</si>
  <si>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</si>
  <si>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</si>
  <si>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</si>
  <si>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</si>
  <si>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</si>
  <si>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</si>
  <si>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</si>
  <si>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</si>
  <si>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</si>
  <si>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</si>
  <si>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</si>
  <si>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</si>
  <si>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</si>
  <si>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</si>
  <si>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</si>
  <si>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</si>
  <si>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</si>
  <si>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</si>
  <si>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</si>
  <si>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</si>
  <si>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</si>
  <si>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</si>
  <si>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</si>
  <si>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</si>
  <si>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</si>
  <si>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</si>
  <si>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</si>
  <si>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</si>
  <si>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</si>
  <si>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</si>
  <si>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</si>
  <si>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</si>
  <si>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</si>
  <si>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</si>
  <si>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</si>
  <si>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</si>
  <si>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</si>
  <si>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</si>
  <si>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</si>
  <si>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</si>
  <si>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</si>
  <si>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</si>
  <si>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</si>
  <si>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</si>
  <si>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</si>
  <si>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</si>
  <si>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</si>
  <si>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</si>
  <si>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</si>
  <si>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</si>
  <si>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</si>
  <si>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</si>
  <si>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</si>
  <si>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</si>
  <si>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</si>
  <si>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</si>
  <si>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</si>
  <si>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</si>
  <si>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</si>
  <si>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</si>
  <si>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</si>
  <si>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</si>
  <si>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</si>
  <si>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</si>
  <si>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</si>
  <si>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</si>
  <si>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</si>
  <si>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</si>
  <si>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</si>
  <si>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</si>
  <si>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</si>
  <si>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</si>
  <si>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</si>
  <si>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</si>
  <si>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</si>
  <si>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</si>
  <si>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</si>
  <si>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</si>
  <si>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</si>
  <si>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</si>
  <si>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</si>
  <si>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</si>
  <si>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</si>
  <si>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</si>
  <si>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</si>
  <si>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</si>
  <si>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</si>
  <si>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</si>
  <si>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</si>
  <si>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</si>
  <si>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</si>
  <si>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</si>
  <si>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</si>
  <si>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</si>
  <si>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</si>
  <si>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</si>
  <si>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</si>
  <si>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</si>
  <si>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</si>
  <si>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</si>
  <si>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</si>
  <si>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</si>
  <si>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</si>
  <si>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</si>
  <si>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</si>
  <si>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</si>
  <si>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</si>
  <si>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</si>
  <si>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</si>
  <si>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</si>
  <si>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</si>
  <si>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</si>
  <si>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</si>
  <si>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</si>
  <si>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</si>
  <si>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</si>
  <si>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</si>
  <si>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</si>
  <si>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</si>
  <si>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</si>
  <si>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</si>
  <si>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</si>
  <si>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</si>
  <si>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</si>
  <si>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</si>
  <si>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</si>
  <si>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</si>
  <si>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</si>
  <si>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</si>
  <si>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</si>
  <si>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</si>
  <si>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</si>
  <si>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</si>
  <si>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</si>
  <si>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</si>
  <si>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</si>
  <si>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</si>
  <si>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</si>
  <si>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</si>
  <si>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</si>
  <si>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</si>
  <si>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</si>
  <si>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</si>
  <si>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</si>
  <si>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</si>
  <si>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</si>
  <si>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</si>
  <si>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</si>
  <si>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</si>
  <si>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</si>
  <si>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</si>
  <si>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</si>
  <si>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</si>
  <si>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</si>
  <si>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</si>
  <si>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</si>
  <si>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</si>
  <si>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</si>
  <si>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</si>
  <si>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</si>
  <si>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</si>
  <si>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</si>
  <si>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</si>
  <si>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</si>
  <si>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</si>
  <si>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</si>
  <si>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</si>
  <si>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</si>
  <si>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</si>
  <si>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</si>
  <si>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</si>
  <si>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</si>
  <si>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</si>
  <si>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</si>
  <si>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</si>
  <si>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</si>
  <si>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</si>
  <si>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</si>
  <si>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</si>
  <si>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</si>
  <si>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</si>
  <si>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</si>
  <si>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</si>
  <si>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</si>
  <si>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</si>
  <si>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</si>
  <si>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</si>
  <si>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</si>
  <si>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</si>
  <si>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</si>
  <si>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</si>
  <si>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</si>
  <si>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</si>
  <si>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</si>
  <si>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</si>
  <si>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</si>
  <si>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</si>
  <si>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</si>
  <si>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</si>
  <si>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</si>
  <si>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</si>
  <si>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</si>
  <si>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</si>
  <si>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</si>
  <si>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</si>
  <si>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</si>
  <si>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</si>
  <si>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</si>
  <si>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</si>
  <si>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</si>
  <si>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</si>
  <si>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</si>
  <si>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</si>
  <si>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</si>
  <si>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</si>
  <si>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</si>
  <si>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</si>
  <si>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</si>
  <si>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</si>
  <si>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</si>
  <si>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</si>
  <si>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</si>
  <si>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</si>
  <si>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</si>
  <si>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</si>
  <si>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</si>
  <si>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</si>
  <si>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</si>
  <si>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</si>
  <si>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</si>
  <si>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</si>
  <si>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</si>
  <si>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</si>
  <si>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</si>
  <si>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</si>
  <si>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</si>
  <si>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</si>
  <si>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</si>
  <si>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</si>
  <si>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</si>
  <si>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</si>
  <si>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</si>
  <si>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</si>
  <si>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</si>
  <si>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</si>
  <si>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</si>
  <si>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</si>
  <si>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</si>
  <si>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</si>
  <si>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</si>
  <si>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</si>
  <si>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</si>
  <si>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</si>
  <si>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</si>
  <si>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</si>
  <si>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</si>
  <si>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</si>
  <si>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</si>
  <si>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</si>
  <si>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</si>
  <si>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</si>
  <si>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</si>
  <si>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</si>
  <si>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</si>
  <si>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</si>
  <si>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</si>
  <si>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</si>
  <si>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</si>
  <si>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</si>
  <si>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</si>
  <si>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</si>
  <si>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</si>
  <si>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</si>
  <si>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</si>
  <si>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</si>
  <si>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</si>
  <si>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</si>
  <si>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</si>
  <si>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</si>
  <si>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</si>
  <si>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</si>
  <si>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</si>
  <si>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</si>
  <si>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</si>
  <si>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</si>
  <si>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</si>
  <si>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</si>
  <si>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</si>
  <si>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</si>
  <si>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</si>
  <si>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</si>
  <si>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</si>
  <si>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</si>
  <si>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</si>
  <si>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</si>
  <si>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</si>
  <si>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</si>
  <si>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</si>
  <si>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</si>
  <si>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</si>
  <si>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</si>
  <si>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</si>
  <si>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</si>
  <si>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</si>
  <si>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</si>
  <si>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</si>
  <si>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</si>
  <si>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</si>
  <si>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</si>
  <si>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</si>
  <si>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</si>
  <si>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</si>
  <si>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</si>
  <si>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</si>
  <si>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</si>
  <si>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</si>
  <si>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</si>
  <si>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</si>
  <si>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</si>
  <si>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</si>
  <si>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</si>
  <si>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</si>
  <si>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</si>
  <si>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</si>
  <si>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</si>
  <si>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</si>
  <si>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</si>
  <si>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</si>
  <si>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</si>
  <si>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</si>
  <si>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</si>
  <si>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</si>
  <si>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</si>
  <si>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</si>
  <si>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</si>
  <si>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</si>
  <si>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</si>
  <si>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</si>
  <si>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</si>
  <si>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</si>
  <si>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</si>
  <si>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</si>
  <si>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</si>
  <si>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</si>
  <si>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</si>
  <si>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</si>
  <si>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</si>
  <si>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</si>
  <si>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</si>
  <si>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</si>
  <si>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</si>
  <si>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</si>
  <si>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</si>
  <si>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</si>
  <si>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</si>
  <si>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</si>
  <si>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</si>
  <si>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</si>
  <si>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</si>
  <si>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</si>
  <si>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</si>
  <si>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</si>
  <si>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</si>
  <si>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</si>
  <si>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</si>
  <si>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</si>
  <si>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</si>
  <si>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</si>
  <si>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</si>
  <si>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</si>
  <si>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</si>
  <si>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</si>
  <si>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</si>
  <si>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</si>
  <si>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</si>
  <si>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</si>
  <si>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</si>
  <si>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</si>
  <si>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</si>
  <si>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</si>
  <si>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</si>
  <si>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</si>
  <si>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</si>
  <si>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</si>
  <si>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</si>
  <si>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</si>
  <si>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</si>
  <si>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</si>
  <si>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</si>
  <si>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</si>
  <si>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</si>
  <si>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</si>
  <si>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</si>
  <si>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</si>
  <si>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</si>
  <si>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</si>
  <si>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</si>
  <si>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</si>
  <si>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</si>
  <si>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</si>
  <si>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</si>
  <si>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</si>
  <si>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</si>
  <si>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</si>
  <si>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</si>
  <si>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</si>
  <si>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</si>
  <si>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</si>
  <si>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</si>
  <si>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</si>
  <si>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</si>
  <si>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</si>
  <si>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</si>
  <si>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</si>
  <si>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</si>
  <si>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</si>
  <si>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</si>
  <si>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</si>
  <si>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</si>
  <si>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</si>
  <si>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</si>
  <si>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</si>
  <si>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</si>
  <si>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</si>
  <si>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</si>
  <si>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</si>
  <si>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</si>
  <si>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</si>
  <si>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</si>
  <si>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</si>
  <si>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</si>
  <si>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</si>
  <si>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</si>
  <si>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</si>
  <si>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</si>
  <si>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</si>
  <si>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</si>
  <si>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</si>
  <si>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</si>
  <si>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</si>
  <si>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</si>
  <si>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</si>
  <si>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</si>
  <si>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</si>
  <si>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</si>
  <si>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</si>
  <si>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</si>
  <si>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</si>
  <si>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</si>
  <si>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</si>
  <si>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</si>
  <si>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</si>
  <si>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</si>
  <si>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</si>
  <si>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</si>
  <si>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</si>
  <si>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</si>
  <si>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</si>
  <si>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</si>
  <si>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</si>
  <si>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</si>
  <si>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</si>
  <si>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</si>
  <si>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</si>
  <si>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</si>
  <si>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</si>
  <si>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</si>
  <si>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</si>
  <si>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</si>
  <si>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</si>
  <si>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</si>
  <si>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</si>
  <si>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</si>
  <si>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</si>
  <si>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</si>
  <si>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</si>
  <si>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</si>
  <si>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</si>
  <si>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</si>
  <si>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</si>
  <si>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</si>
  <si>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</si>
  <si>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</si>
  <si>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</si>
  <si>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</si>
  <si>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</si>
  <si>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</si>
  <si>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</si>
  <si>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</si>
  <si>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</si>
  <si>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</si>
  <si>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</si>
  <si>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</si>
  <si>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</si>
  <si>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</si>
  <si>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</si>
  <si>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</si>
  <si>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</si>
  <si>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</si>
  <si>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</si>
  <si>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</si>
  <si>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</si>
  <si>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</si>
  <si>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</si>
  <si>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</si>
  <si>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</si>
  <si>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</si>
  <si>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</si>
  <si>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</si>
  <si>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</si>
  <si>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</si>
  <si>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</si>
  <si>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</si>
  <si>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</si>
  <si>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</si>
  <si>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</si>
  <si>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</si>
  <si>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</si>
  <si>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</si>
  <si>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</si>
  <si>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</si>
  <si>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</si>
  <si>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</si>
  <si>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</si>
  <si>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</si>
  <si>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</si>
  <si>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</si>
  <si>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</si>
  <si>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</si>
  <si>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</si>
  <si>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</si>
  <si>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</si>
  <si>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</si>
  <si>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</si>
  <si>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</si>
  <si>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</si>
  <si>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</si>
  <si>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</si>
  <si>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</si>
  <si>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</si>
  <si>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</si>
  <si>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</si>
  <si>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</si>
  <si>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</si>
  <si>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</si>
  <si>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</si>
  <si>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</si>
  <si>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</si>
  <si>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</si>
  <si>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</si>
  <si>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</si>
  <si>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</si>
  <si>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</si>
  <si>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</si>
  <si>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</si>
  <si>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</si>
  <si>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</si>
  <si>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</si>
  <si>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</si>
  <si>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</si>
  <si>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</si>
  <si>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</si>
  <si>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</si>
  <si>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</si>
  <si>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</si>
  <si>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</si>
  <si>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</si>
  <si>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</si>
  <si>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</si>
  <si>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</si>
  <si>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</si>
  <si>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</si>
  <si>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</si>
  <si>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</si>
  <si>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</si>
  <si>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</si>
  <si>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</si>
  <si>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</si>
  <si>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</si>
  <si>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</si>
  <si>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</si>
  <si>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</si>
  <si>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</si>
  <si>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</si>
  <si>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</si>
  <si>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</si>
  <si>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</si>
  <si>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</si>
  <si>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</si>
  <si>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</si>
  <si>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</si>
  <si>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</si>
  <si>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</si>
  <si>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</si>
  <si>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</si>
  <si>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</si>
  <si>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</si>
  <si>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</si>
  <si>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</si>
  <si>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</si>
  <si>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</si>
  <si>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</si>
  <si>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</si>
  <si>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</si>
  <si>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</si>
  <si>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</si>
  <si>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</si>
  <si>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</si>
  <si>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</si>
  <si>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</si>
  <si>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</si>
  <si>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</si>
  <si>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</si>
  <si>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</si>
  <si>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</si>
  <si>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</si>
  <si>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</si>
  <si>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</si>
  <si>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</si>
  <si>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</si>
  <si>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</si>
  <si>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</si>
  <si>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</si>
  <si>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</si>
  <si>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</si>
  <si>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</si>
  <si>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</si>
  <si>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</si>
  <si>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</si>
  <si>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</si>
  <si>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</si>
  <si>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</si>
  <si>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</si>
  <si>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</si>
  <si>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</si>
  <si>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</si>
  <si>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</si>
  <si>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</si>
  <si>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</si>
  <si>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</si>
  <si>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</si>
  <si>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</si>
  <si>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</si>
  <si>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</si>
  <si>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</si>
  <si>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</si>
  <si>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</si>
  <si>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</si>
  <si>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</si>
  <si>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</si>
  <si>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</si>
  <si>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</si>
  <si>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</si>
  <si>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</si>
  <si>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</si>
  <si>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</si>
  <si>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</si>
  <si>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</si>
  <si>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</si>
  <si>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</si>
  <si>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</si>
  <si>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</si>
  <si>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</si>
  <si>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</si>
  <si>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</si>
  <si>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</si>
  <si>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</si>
  <si>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</si>
  <si>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</si>
  <si>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</si>
  <si>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</si>
  <si>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</si>
  <si>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</si>
  <si>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</si>
  <si>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</si>
  <si>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</si>
  <si>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</si>
  <si>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</si>
  <si>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</si>
  <si>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</si>
  <si>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</si>
  <si>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</si>
  <si>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</si>
  <si>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</si>
  <si>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</si>
  <si>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</si>
  <si>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</si>
  <si>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</si>
  <si>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</si>
  <si>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</si>
  <si>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</si>
  <si>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</si>
  <si>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</si>
  <si>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</si>
  <si>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</si>
  <si>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</si>
  <si>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</si>
  <si>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</si>
  <si>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</si>
  <si>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</si>
  <si>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</si>
  <si>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</si>
  <si>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</si>
  <si>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</si>
  <si>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</si>
  <si>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</si>
  <si>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</si>
  <si>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</si>
  <si>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</si>
  <si>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</si>
  <si>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</si>
  <si>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</si>
  <si>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</si>
  <si>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</si>
  <si>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</si>
  <si>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</si>
  <si>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</si>
  <si>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</si>
  <si>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</si>
  <si>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</si>
  <si>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</si>
  <si>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</si>
  <si>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</si>
  <si>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</si>
  <si>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</si>
  <si>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</si>
  <si>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</si>
  <si>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</si>
  <si>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</si>
  <si>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</si>
  <si>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</si>
  <si>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</si>
  <si>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</si>
  <si>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</si>
  <si>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</si>
  <si>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</si>
  <si>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</si>
  <si>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</si>
  <si>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</si>
  <si>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</si>
  <si>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</si>
  <si>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</si>
  <si>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</si>
  <si>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</si>
  <si>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</si>
  <si>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</si>
  <si>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</si>
  <si>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</si>
  <si>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</si>
  <si>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</si>
  <si>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</si>
  <si>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</si>
  <si>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</si>
  <si>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</si>
  <si>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</si>
  <si>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</si>
  <si>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</si>
  <si>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</si>
  <si>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</si>
  <si>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</si>
  <si>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</si>
  <si>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</si>
  <si>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</si>
  <si>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</si>
  <si>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</si>
  <si>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</si>
  <si>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</si>
  <si>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</si>
  <si>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</si>
  <si>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</si>
  <si>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</si>
  <si>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</si>
  <si>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</si>
  <si>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</si>
  <si>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</si>
  <si>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</si>
  <si>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</si>
  <si>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</si>
  <si>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</si>
  <si>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</si>
  <si>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</si>
  <si>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</si>
  <si>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</si>
  <si>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</si>
  <si>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</si>
  <si>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</si>
  <si>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</si>
  <si>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</si>
  <si>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</si>
  <si>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</si>
  <si>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</si>
  <si>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</si>
  <si>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</si>
  <si>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</si>
  <si>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</si>
  <si>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</si>
  <si>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</si>
  <si>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</si>
  <si>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</si>
  <si>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</si>
  <si>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</si>
  <si>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</si>
  <si>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</si>
  <si>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</si>
  <si>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</si>
  <si>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</si>
  <si>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</si>
  <si>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</si>
  <si>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</si>
  <si>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</si>
  <si>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</si>
  <si>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</si>
  <si>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</si>
  <si>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</si>
  <si>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</si>
  <si>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</si>
  <si>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</si>
  <si>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</si>
  <si>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</si>
  <si>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</si>
  <si>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</si>
  <si>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</si>
  <si>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</si>
  <si>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</si>
  <si>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</si>
  <si>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</si>
  <si>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</si>
  <si>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</si>
  <si>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</si>
  <si>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</si>
  <si>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</si>
  <si>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</si>
  <si>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</si>
  <si>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</si>
  <si>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</si>
  <si>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</si>
  <si>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</si>
  <si>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</si>
  <si>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</si>
  <si>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</si>
  <si>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</si>
  <si>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</si>
  <si>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</si>
  <si>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</si>
  <si>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</si>
  <si>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</si>
  <si>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</si>
  <si>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</si>
  <si>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</si>
  <si>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</si>
  <si>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</si>
  <si>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</si>
  <si>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</si>
  <si>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</si>
  <si>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</si>
  <si>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</si>
  <si>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</si>
  <si>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</si>
  <si>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</si>
  <si>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</si>
  <si>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</si>
  <si>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</si>
  <si>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</si>
  <si>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</si>
  <si>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</si>
  <si>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</si>
  <si>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</si>
  <si>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</si>
  <si>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</si>
  <si>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</si>
  <si>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</si>
  <si>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</si>
  <si>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</si>
  <si>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</si>
  <si>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</si>
  <si>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</si>
  <si>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</si>
  <si>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</si>
  <si>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</si>
  <si>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</si>
  <si>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</si>
  <si>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</si>
  <si>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</si>
  <si>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</si>
  <si>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</si>
  <si>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</si>
  <si>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</si>
  <si>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</si>
  <si>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</si>
  <si>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</si>
  <si>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</si>
  <si>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</si>
  <si>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</si>
  <si>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</si>
  <si>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</si>
  <si>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</si>
  <si>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</si>
  <si>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</si>
  <si>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</si>
  <si>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</si>
  <si>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</si>
  <si>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</si>
  <si>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</si>
  <si>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</si>
  <si>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</si>
  <si>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</si>
  <si>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</si>
  <si>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</si>
  <si>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</si>
  <si>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</si>
  <si>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</si>
  <si>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</si>
  <si>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</si>
  <si>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</si>
  <si>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</si>
  <si>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</si>
  <si>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</si>
  <si>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</si>
  <si>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</si>
  <si>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</si>
  <si>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</si>
  <si>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</si>
  <si>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</si>
  <si>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</si>
  <si>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</si>
  <si>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</si>
  <si>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</si>
  <si>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</si>
  <si>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</si>
  <si>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</si>
  <si>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</si>
  <si>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</si>
  <si>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</si>
  <si>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</si>
  <si>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</si>
  <si>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</si>
  <si>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</si>
  <si>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</si>
  <si>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</si>
  <si>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</si>
  <si>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</si>
  <si>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</si>
  <si>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</si>
  <si>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</si>
  <si>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</si>
  <si>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</si>
  <si>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</si>
  <si>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</si>
  <si>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</si>
  <si>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</si>
  <si>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</si>
  <si>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</si>
  <si>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</si>
  <si>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</si>
  <si>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</si>
  <si>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</si>
  <si>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</si>
  <si>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</si>
  <si>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</si>
  <si>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</si>
  <si>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</si>
  <si>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</si>
  <si>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</si>
  <si>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</si>
  <si>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</si>
  <si>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</si>
  <si>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</si>
  <si>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</si>
  <si>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</si>
  <si>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</si>
  <si>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</si>
  <si>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</si>
  <si>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</si>
  <si>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</si>
  <si>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</si>
  <si>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</si>
  <si>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</si>
  <si>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</si>
  <si>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</si>
  <si>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</si>
  <si>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</si>
  <si>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</si>
  <si>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</si>
  <si>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</si>
  <si>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</si>
  <si>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</si>
  <si>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</si>
  <si>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</si>
  <si>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</si>
  <si>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</si>
  <si>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</si>
  <si>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</si>
  <si>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</si>
  <si>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</si>
  <si>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</si>
  <si>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</si>
  <si>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</si>
  <si>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</si>
  <si>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</si>
  <si>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</si>
  <si>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</si>
  <si>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</si>
  <si>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</si>
  <si>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</si>
  <si>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</si>
  <si>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</si>
  <si>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</si>
  <si>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</si>
  <si>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</si>
  <si>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</si>
  <si>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</si>
  <si>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</si>
  <si>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</si>
  <si>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</si>
  <si>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</si>
  <si>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</si>
  <si>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</si>
  <si>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</si>
  <si>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</si>
  <si>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</si>
  <si>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</si>
  <si>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</si>
  <si>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</si>
  <si>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</si>
  <si>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</si>
  <si>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HOPKINS &amp; ASSOCIATES, CPAS</t>
  </si>
  <si>
    <t>BUREAU</t>
  </si>
  <si>
    <t>JOEL HOPKINS</t>
  </si>
  <si>
    <t>314 S MCCOY ST</t>
  </si>
  <si>
    <t>PO BOX 289</t>
  </si>
  <si>
    <t>GRANVILLE</t>
  </si>
  <si>
    <t>IL</t>
  </si>
  <si>
    <t>MANLIUS</t>
  </si>
  <si>
    <t>815-339-6630</t>
  </si>
  <si>
    <t>ELAWSON@BUREAUVALLEY.NET</t>
  </si>
  <si>
    <t>815-339-6643</t>
  </si>
  <si>
    <t>066-004501</t>
  </si>
  <si>
    <t>JOELHOPKINS@MSN.COM</t>
  </si>
  <si>
    <t>X</t>
  </si>
  <si>
    <t xml:space="preserve">ERIC LAWSON </t>
  </si>
  <si>
    <t>815-445-3101</t>
  </si>
  <si>
    <t>815-445-2802</t>
  </si>
  <si>
    <t>Hopkins &amp; Associates, CPAs</t>
  </si>
  <si>
    <t>Taxable G.O. Bonds</t>
  </si>
  <si>
    <t>Taxable Building Bonds</t>
  </si>
  <si>
    <t>Building Bonds</t>
  </si>
  <si>
    <t>Bus Lease 1 Bus</t>
  </si>
  <si>
    <t>Capital Lease</t>
  </si>
  <si>
    <t>Regional Office of Education</t>
  </si>
  <si>
    <t>BMP Special Ed Coop</t>
  </si>
  <si>
    <t>Whiteside Area Vocational System</t>
  </si>
  <si>
    <t xml:space="preserve">GASB 75 OMISSION </t>
  </si>
  <si>
    <t>ED-Sup Svc - Bus - Purch Svc</t>
  </si>
  <si>
    <t>10-2570-300</t>
  </si>
  <si>
    <t>De Lage Landen Public (Copy Machines)</t>
  </si>
  <si>
    <t>Impact Networking (Copy Machines)</t>
  </si>
  <si>
    <t>10-2520-300</t>
  </si>
  <si>
    <t>Power School Group LLC (Acctg Sofwtare)</t>
  </si>
  <si>
    <t>Pitney Bowes LLC (Postage Machines)</t>
  </si>
  <si>
    <t>O&amp;M-Sup Svc - Bus - Purch Svc</t>
  </si>
  <si>
    <t>20-2540-300</t>
  </si>
  <si>
    <t>Entech Services, Inc. (Maint)</t>
  </si>
  <si>
    <t>Larson &amp; Darby Group (Bldg Demo)</t>
  </si>
  <si>
    <t>Guither Tree Service (Snowplow)</t>
  </si>
  <si>
    <t>Headley's Lawn Care (Mowing)</t>
  </si>
  <si>
    <t>Chemsearch (Boilder Repair)</t>
  </si>
  <si>
    <t>Jeffrey Ellis (Mowing)</t>
  </si>
  <si>
    <t>Innovative Modular (Mod Classrooms)</t>
  </si>
  <si>
    <t>Taylor's Lawn Care (Mowing)</t>
  </si>
  <si>
    <t>Total Maintenance Inc (Maint)</t>
  </si>
  <si>
    <t>Alpha Controls &amp; Serv (Maint)</t>
  </si>
  <si>
    <t>Vestas (Windmill Maint)</t>
  </si>
  <si>
    <t>Waste Management (Garbage)</t>
  </si>
  <si>
    <t>Orkin (Pest Control)</t>
  </si>
  <si>
    <t>Allied Waste (Garbage)</t>
  </si>
  <si>
    <t>Republic Services (Garbage)</t>
  </si>
  <si>
    <t>IL Valley Waste Services (Garbage)</t>
  </si>
  <si>
    <t>AT&amp;T (Phone)</t>
  </si>
  <si>
    <t>Frontier (Phone)</t>
  </si>
  <si>
    <t>Mediacom (Internet)</t>
  </si>
  <si>
    <t>HS Metrofax (Fax)</t>
  </si>
  <si>
    <t>Comcast (Internet)</t>
  </si>
  <si>
    <t>Page 10 - Acct 1614 - Ed Fund - Sales to Pupils - Other - $13,881 - Milk</t>
  </si>
  <si>
    <t>Page 10 - Acct 1690 - Ed Fund - Other Food Services - $15,047 - Catering</t>
  </si>
  <si>
    <t>Page 11 - Acct 1999 - Ed fund - Sauk Valley Dual Credit Course and Sub &amp; Jury Reimb - $8,318</t>
  </si>
  <si>
    <t xml:space="preserve">                                       O&amp;M Fund - Mainly Erate reimb, Insurance Claims, Local Sales Tax - $75,551</t>
  </si>
  <si>
    <t xml:space="preserve">                                       Transport Fund - Insurance Reimb - $238</t>
  </si>
  <si>
    <t>Page 12 - Acct 3299 - Ed Fund - VOC Forward Funding - $10,214</t>
  </si>
  <si>
    <t>Page 12 - Acct 3999 - Ed Fund - Library Per Capita Grant - $750</t>
  </si>
  <si>
    <t>Page 15 - Account 2190 - Ed Fund - $6,406 Salaries, $50 Benefits - Lunch &amp; Playground Monitors</t>
  </si>
  <si>
    <t>Page 16 - Accounts 4190 - Ed Fund - $5,992 - ROE - FY18- School Improvement Coop - $5,992</t>
  </si>
  <si>
    <t>Page 18 - Acct 5400 - Debt Service Fund - $500 - Bond Service Fees</t>
  </si>
  <si>
    <t>Page 19 - Acct 2190 - IMRF Fund - $347 - Benefits for Playground Monitors</t>
  </si>
  <si>
    <t xml:space="preserve">Long-Term Debt - We have included principal payments on a capital lease made out of the transportation fund.  This is causing </t>
  </si>
  <si>
    <t>an error on the diagnostics screen, but we believe it is correctly stated.</t>
  </si>
  <si>
    <t>Bureau Valley CUSD 340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</si>
</sst>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31" fillId="0" borderId="0" xfId="2" applyAlignment="1" applyProtection="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4</xdr:row>
          <xdr:rowOff>161925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1489C66C-2DBE-4DCE-B405-38FA750E5FB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4"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2077</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2091</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28006340026</v>
      </c>
      <c r="B13" s="2035"/>
      <c r="C13" s="2035"/>
      <c r="D13" s="2035"/>
      <c r="E13" s="2035"/>
      <c r="F13" s="2035"/>
      <c r="G13" s="2035"/>
      <c r="H13" s="2036"/>
      <c r="I13" s="31"/>
      <c r="J13" s="30"/>
      <c r="K13" s="28"/>
      <c r="L13" s="30"/>
      <c r="M13" s="30"/>
      <c r="N13" s="30"/>
      <c r="O13" s="30"/>
      <c r="P13" s="30"/>
      <c r="Q13" s="30"/>
      <c r="R13" s="30"/>
      <c r="S13" s="30"/>
      <c r="T13" s="2039" t="s">
        <v>2078</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2079</v>
      </c>
      <c r="B15" s="2037"/>
      <c r="C15" s="2037"/>
      <c r="D15" s="2037"/>
      <c r="E15" s="2037"/>
      <c r="F15" s="2037"/>
      <c r="G15" s="2037"/>
      <c r="H15" s="2038"/>
      <c r="T15" s="2043" t="s">
        <v>2080</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2148</v>
      </c>
      <c r="B17" s="1994"/>
      <c r="C17" s="1994"/>
      <c r="D17" s="1994"/>
      <c r="E17" s="1994"/>
      <c r="F17" s="1994"/>
      <c r="G17" s="1994"/>
      <c r="H17" s="2019"/>
      <c r="T17" s="2050" t="s">
        <v>2081</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2082</v>
      </c>
      <c r="B19" s="1979"/>
      <c r="C19" s="1979"/>
      <c r="D19" s="1979"/>
      <c r="E19" s="1979"/>
      <c r="F19" s="1979"/>
      <c r="G19" s="1979"/>
      <c r="H19" s="1959"/>
      <c r="I19" s="30"/>
      <c r="J19" s="99"/>
      <c r="K19" s="40"/>
      <c r="L19" s="38"/>
      <c r="M19" s="112" t="s">
        <v>333</v>
      </c>
      <c r="P19" s="27"/>
      <c r="Q19" s="27"/>
      <c r="R19" s="27"/>
      <c r="S19" s="31"/>
      <c r="T19" s="2033" t="s">
        <v>2083</v>
      </c>
      <c r="U19" s="1958"/>
      <c r="V19" s="1958"/>
      <c r="W19" s="1959"/>
      <c r="X19" s="2048" t="s">
        <v>2084</v>
      </c>
      <c r="Y19" s="2049"/>
      <c r="Z19" s="2046">
        <v>61326</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2085</v>
      </c>
      <c r="B21" s="1958"/>
      <c r="C21" s="1958"/>
      <c r="D21" s="1958"/>
      <c r="E21" s="1958"/>
      <c r="F21" s="1958"/>
      <c r="G21" s="1958"/>
      <c r="H21" s="1959"/>
      <c r="I21" s="2013" t="s">
        <v>699</v>
      </c>
      <c r="J21" s="2008"/>
      <c r="K21" s="2008"/>
      <c r="L21" s="2008"/>
      <c r="M21" s="2008"/>
      <c r="N21" s="2008"/>
      <c r="O21" s="2008"/>
      <c r="P21" s="2008"/>
      <c r="Q21" s="2008"/>
      <c r="R21" s="2008"/>
      <c r="S21" s="2014"/>
      <c r="T21" s="2057" t="s">
        <v>2086</v>
      </c>
      <c r="U21" s="2058"/>
      <c r="V21" s="2058"/>
      <c r="W21" s="2058"/>
      <c r="X21" s="2063" t="s">
        <v>2088</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2087</v>
      </c>
      <c r="B23" s="2011"/>
      <c r="C23" s="2011"/>
      <c r="D23" s="2011"/>
      <c r="E23" s="2011"/>
      <c r="F23" s="2011"/>
      <c r="G23" s="2011"/>
      <c r="H23" s="2012"/>
      <c r="T23" s="1993" t="s">
        <v>2089</v>
      </c>
      <c r="U23" s="2056"/>
      <c r="V23" s="2056"/>
      <c r="W23" s="2056"/>
      <c r="X23" s="2060">
        <v>43434</v>
      </c>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61338</v>
      </c>
      <c r="B25" s="1958"/>
      <c r="C25" s="1958"/>
      <c r="D25" s="1958"/>
      <c r="E25" s="1958"/>
      <c r="F25" s="1958"/>
      <c r="G25" s="1958"/>
      <c r="H25" s="1959"/>
      <c r="I25" s="113"/>
      <c r="J25" s="1982"/>
      <c r="K25" s="1982"/>
      <c r="L25" s="1982"/>
      <c r="M25" s="1982"/>
      <c r="N25" s="1982"/>
      <c r="O25" s="1982"/>
      <c r="P25" s="1982"/>
      <c r="Q25" s="1982"/>
      <c r="R25" s="1982"/>
      <c r="S25" s="1983"/>
      <c r="T25" s="2053" t="s">
        <v>2090</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2091</v>
      </c>
      <c r="M29" s="40" t="s">
        <v>101</v>
      </c>
      <c r="N29" s="32" t="s">
        <v>1604</v>
      </c>
      <c r="O29" s="32"/>
      <c r="P29" s="32"/>
      <c r="Q29" s="32"/>
      <c r="R29" s="32"/>
      <c r="S29" s="123"/>
      <c r="T29" s="6"/>
      <c r="U29" s="6"/>
      <c r="V29" s="6"/>
      <c r="W29" s="6"/>
      <c r="X29" s="6"/>
      <c r="Y29" s="6"/>
      <c r="Z29" s="6"/>
      <c r="AA29" s="132"/>
    </row>
    <row r="30" spans="1:27" ht="13.5" customHeight="1" x14ac:dyDescent="0.2">
      <c r="A30" s="153"/>
      <c r="B30" s="136" t="s">
        <v>2091</v>
      </c>
      <c r="C30" s="124" t="s">
        <v>1226</v>
      </c>
      <c r="D30" s="28"/>
      <c r="E30" s="28"/>
      <c r="F30" s="140"/>
      <c r="G30" s="114"/>
      <c r="H30" s="114"/>
      <c r="I30" s="54"/>
      <c r="J30" s="102"/>
      <c r="K30" s="28" t="s">
        <v>597</v>
      </c>
      <c r="L30" s="148" t="s">
        <v>2091</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2091</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2091</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2092</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2087</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2093</v>
      </c>
      <c r="B42" s="1977"/>
      <c r="C42" s="1978"/>
      <c r="D42" s="1976" t="s">
        <v>2094</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3706918</v>
      </c>
      <c r="C4" s="1546"/>
      <c r="D4" s="1774">
        <f>B4-C4</f>
        <v>3706918</v>
      </c>
      <c r="E4" s="1546">
        <f>144961646*0.0268534</f>
        <v>3892713.0646964</v>
      </c>
      <c r="F4" s="1774">
        <f>E4-C4</f>
        <v>3892713.0646964</v>
      </c>
    </row>
    <row r="5" spans="1:6" ht="13.7" customHeight="1" x14ac:dyDescent="0.2">
      <c r="A5" s="716" t="s">
        <v>925</v>
      </c>
      <c r="B5" s="1772">
        <f>'Revenues 9-14'!D5</f>
        <v>674020</v>
      </c>
      <c r="C5" s="585"/>
      <c r="D5" s="1775">
        <f t="shared" ref="D5:D18" si="0">B5-C5</f>
        <v>674020</v>
      </c>
      <c r="E5" s="585">
        <f>144961646*0.0048825</f>
        <v>707775.23659499991</v>
      </c>
      <c r="F5" s="1775">
        <f>E5-C5</f>
        <v>707775.23659499991</v>
      </c>
    </row>
    <row r="6" spans="1:6" ht="13.7" customHeight="1" x14ac:dyDescent="0.2">
      <c r="A6" s="716" t="s">
        <v>431</v>
      </c>
      <c r="B6" s="1772">
        <f>'Revenues 9-14'!E5</f>
        <v>1280679</v>
      </c>
      <c r="C6" s="585"/>
      <c r="D6" s="1775">
        <f t="shared" si="0"/>
        <v>1280679</v>
      </c>
      <c r="E6" s="585">
        <f>144961646*0.0017578</f>
        <v>254813.5813388</v>
      </c>
      <c r="F6" s="1775">
        <f t="shared" ref="F6:F18" si="1">E6-C6</f>
        <v>254813.5813388</v>
      </c>
    </row>
    <row r="7" spans="1:6" ht="13.7" customHeight="1" x14ac:dyDescent="0.2">
      <c r="A7" s="716" t="s">
        <v>157</v>
      </c>
      <c r="B7" s="1772">
        <f>'Revenues 9-14'!F5</f>
        <v>337021</v>
      </c>
      <c r="C7" s="585"/>
      <c r="D7" s="1775">
        <f t="shared" si="0"/>
        <v>337021</v>
      </c>
      <c r="E7" s="585">
        <f>144961646*0.0024413</f>
        <v>353894.86637980002</v>
      </c>
      <c r="F7" s="1775">
        <f t="shared" si="1"/>
        <v>353894.86637980002</v>
      </c>
    </row>
    <row r="8" spans="1:6" ht="13.7" customHeight="1" x14ac:dyDescent="0.2">
      <c r="A8" s="716" t="s">
        <v>1241</v>
      </c>
      <c r="B8" s="1772">
        <f>'Revenues 9-14'!G5</f>
        <v>199835</v>
      </c>
      <c r="C8" s="585"/>
      <c r="D8" s="1775">
        <f t="shared" si="0"/>
        <v>199835</v>
      </c>
      <c r="E8" s="585">
        <f>144961646*0.0015867</f>
        <v>230010.64370819999</v>
      </c>
      <c r="F8" s="1775">
        <f t="shared" si="1"/>
        <v>230010.64370819999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67413</v>
      </c>
      <c r="C10" s="585"/>
      <c r="D10" s="1775">
        <f t="shared" si="0"/>
        <v>67413</v>
      </c>
      <c r="E10" s="585">
        <f>144961646*0.0004883</f>
        <v>70784.771741799996</v>
      </c>
      <c r="F10" s="1775">
        <f t="shared" si="1"/>
        <v>70784.771741799996</v>
      </c>
    </row>
    <row r="11" spans="1:6" x14ac:dyDescent="0.2">
      <c r="A11" s="716" t="s">
        <v>429</v>
      </c>
      <c r="B11" s="1772">
        <f>'Revenues 9-14'!J5</f>
        <v>1097928</v>
      </c>
      <c r="C11" s="585"/>
      <c r="D11" s="1775">
        <f t="shared" si="0"/>
        <v>1097928</v>
      </c>
      <c r="E11" s="585">
        <f>144961646*0.0074158</f>
        <v>1075006.5744068001</v>
      </c>
      <c r="F11" s="1775">
        <f t="shared" si="1"/>
        <v>1075006.5744068001</v>
      </c>
    </row>
    <row r="12" spans="1:6" ht="13.7" customHeight="1" x14ac:dyDescent="0.2">
      <c r="A12" s="716" t="s">
        <v>159</v>
      </c>
      <c r="B12" s="1772">
        <f>'Revenues 9-14'!K5</f>
        <v>25237</v>
      </c>
      <c r="C12" s="585"/>
      <c r="D12" s="1775">
        <f t="shared" si="0"/>
        <v>25237</v>
      </c>
      <c r="E12" s="585">
        <f>144961646*0.0004883</f>
        <v>70784.771741799996</v>
      </c>
      <c r="F12" s="1775">
        <f t="shared" si="1"/>
        <v>70784.771741799996</v>
      </c>
    </row>
    <row r="13" spans="1:6" ht="13.7" customHeight="1" x14ac:dyDescent="0.2">
      <c r="A13" s="716" t="s">
        <v>993</v>
      </c>
      <c r="B13" s="1772">
        <f>SUM('Revenues 9-14'!C6:D6)</f>
        <v>67413</v>
      </c>
      <c r="C13" s="585"/>
      <c r="D13" s="1775">
        <f t="shared" si="0"/>
        <v>67413</v>
      </c>
      <c r="E13" s="585">
        <f>144961646*0.0004883</f>
        <v>70784.771741799996</v>
      </c>
      <c r="F13" s="1775">
        <f t="shared" si="1"/>
        <v>70784.771741799996</v>
      </c>
    </row>
    <row r="14" spans="1:6" ht="13.7" customHeight="1" x14ac:dyDescent="0.2">
      <c r="A14" s="716" t="s">
        <v>430</v>
      </c>
      <c r="B14" s="1772">
        <f>SUM('Revenues 9-14'!C7:D7,'Revenues 9-14'!F7:H7)</f>
        <v>53931</v>
      </c>
      <c r="C14" s="585"/>
      <c r="D14" s="1775">
        <f t="shared" si="0"/>
        <v>53931</v>
      </c>
      <c r="E14" s="585">
        <f>144961646*0.0003906</f>
        <v>56622.018927600002</v>
      </c>
      <c r="F14" s="1775">
        <f t="shared" si="1"/>
        <v>56622.018927600002</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199835</v>
      </c>
      <c r="C16" s="585"/>
      <c r="D16" s="1775">
        <f t="shared" si="0"/>
        <v>199835</v>
      </c>
      <c r="E16" s="585">
        <f>144961646*0.0015867</f>
        <v>230010.64370819999</v>
      </c>
      <c r="F16" s="1775">
        <f t="shared" si="1"/>
        <v>230010.64370819999</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7710230</v>
      </c>
      <c r="C19" s="1773">
        <f>SUM(C4:C18)</f>
        <v>0</v>
      </c>
      <c r="D19" s="1773">
        <f>SUM(D4:D18)</f>
        <v>7710230</v>
      </c>
      <c r="E19" s="1773">
        <f>SUM(E4:E18)</f>
        <v>7013200.9449862</v>
      </c>
      <c r="F19" s="1773">
        <f>SUM(F4:F18)</f>
        <v>7013200.9449862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F34" sqref="F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7" t="s">
        <v>2038</v>
      </c>
      <c r="D2" s="724" t="s">
        <v>2045</v>
      </c>
      <c r="E2" s="724" t="s">
        <v>2046</v>
      </c>
      <c r="F2" s="1907" t="s">
        <v>2039</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t="s">
        <v>2096</v>
      </c>
      <c r="B31" s="734">
        <v>41122</v>
      </c>
      <c r="C31" s="735">
        <v>2920000</v>
      </c>
      <c r="D31" s="736">
        <v>1</v>
      </c>
      <c r="E31" s="735">
        <v>1505000</v>
      </c>
      <c r="F31" s="735"/>
      <c r="G31" s="735"/>
      <c r="H31" s="735">
        <v>1255000</v>
      </c>
      <c r="I31" s="1778">
        <f>((E31+F31)-H31)+G31</f>
        <v>250000</v>
      </c>
      <c r="J31" s="735">
        <v>128750</v>
      </c>
      <c r="K31" s="737"/>
    </row>
    <row r="32" spans="1:11" ht="12" customHeight="1" x14ac:dyDescent="0.2">
      <c r="A32" s="733" t="s">
        <v>2097</v>
      </c>
      <c r="B32" s="734">
        <v>43264</v>
      </c>
      <c r="C32" s="735">
        <v>2530000</v>
      </c>
      <c r="D32" s="736">
        <v>6</v>
      </c>
      <c r="E32" s="735"/>
      <c r="F32" s="735">
        <v>2530000</v>
      </c>
      <c r="G32" s="735"/>
      <c r="H32" s="735"/>
      <c r="I32" s="1778">
        <f>((E32+F32)-H32)+G32</f>
        <v>2530000</v>
      </c>
      <c r="J32" s="735">
        <v>2530000</v>
      </c>
      <c r="K32" s="737"/>
    </row>
    <row r="33" spans="1:11" ht="12" customHeight="1" x14ac:dyDescent="0.2">
      <c r="A33" s="733" t="s">
        <v>2098</v>
      </c>
      <c r="B33" s="734">
        <v>43264</v>
      </c>
      <c r="C33" s="735">
        <v>9470000</v>
      </c>
      <c r="D33" s="736">
        <v>6</v>
      </c>
      <c r="E33" s="735"/>
      <c r="F33" s="735">
        <v>9470000</v>
      </c>
      <c r="G33" s="735"/>
      <c r="H33" s="735"/>
      <c r="I33" s="1778">
        <f t="shared" ref="I33:I48" si="1">((E33+F33)-H33)+G33</f>
        <v>9470000</v>
      </c>
      <c r="J33" s="735">
        <v>9470000</v>
      </c>
      <c r="K33" s="737"/>
    </row>
    <row r="34" spans="1:11" ht="12" customHeight="1" x14ac:dyDescent="0.2">
      <c r="A34" s="733" t="s">
        <v>2099</v>
      </c>
      <c r="B34" s="734">
        <v>42917</v>
      </c>
      <c r="C34" s="735">
        <v>69735</v>
      </c>
      <c r="D34" s="736">
        <v>7</v>
      </c>
      <c r="E34" s="735">
        <v>69735</v>
      </c>
      <c r="F34" s="735"/>
      <c r="G34" s="735"/>
      <c r="H34" s="735">
        <v>22430</v>
      </c>
      <c r="I34" s="1778">
        <f t="shared" si="1"/>
        <v>47305</v>
      </c>
      <c r="J34" s="735">
        <v>47305</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14989735</v>
      </c>
      <c r="D49" s="746"/>
      <c r="E49" s="1778">
        <f t="shared" ref="E49:J49" si="2">SUM(E31:E48)</f>
        <v>1574735</v>
      </c>
      <c r="F49" s="1778">
        <f t="shared" si="2"/>
        <v>12000000</v>
      </c>
      <c r="G49" s="1778">
        <f t="shared" si="2"/>
        <v>0</v>
      </c>
      <c r="H49" s="1778">
        <f t="shared" si="2"/>
        <v>1277430</v>
      </c>
      <c r="I49" s="1778">
        <f t="shared" si="2"/>
        <v>12297305</v>
      </c>
      <c r="J49" s="1778">
        <f t="shared" si="2"/>
        <v>12176055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t="s">
        <v>2100</v>
      </c>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53931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7370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14097</v>
      </c>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53931</v>
      </c>
      <c r="I12" s="1780">
        <f>SUM(I5:I11)</f>
        <v>0</v>
      </c>
      <c r="J12" s="1780">
        <f>SUM(J5:J11)</f>
        <v>0</v>
      </c>
      <c r="K12" s="1780">
        <f>SUM(K5:K11)</f>
        <v>21467</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53931</v>
      </c>
      <c r="I14" s="772"/>
      <c r="J14" s="774"/>
      <c r="K14" s="766">
        <v>21467</v>
      </c>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53931</v>
      </c>
      <c r="I23" s="1780">
        <f>SUM(I14:I16,I21,I22)</f>
        <v>0</v>
      </c>
      <c r="J23" s="1780">
        <f>SUM(J14:J16,J21,J22)</f>
        <v>0</v>
      </c>
      <c r="K23" s="1780">
        <f>SUM(K14:K16,K21,K22)</f>
        <v>21467</v>
      </c>
    </row>
    <row r="24" spans="1:11" ht="14.25" thickTop="1" thickBot="1" x14ac:dyDescent="0.25">
      <c r="A24" s="2266" t="s">
        <v>2026</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754625</v>
      </c>
      <c r="D5" s="842"/>
      <c r="E5" s="842"/>
      <c r="F5" s="1782">
        <f>(C5+D5)-E5</f>
        <v>754625</v>
      </c>
      <c r="G5" s="838"/>
      <c r="H5" s="843"/>
      <c r="I5" s="843"/>
      <c r="J5" s="843"/>
      <c r="K5" s="794"/>
      <c r="L5" s="1791">
        <f>F5-K5</f>
        <v>754625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18144829</v>
      </c>
      <c r="D8" s="845">
        <v>41298</v>
      </c>
      <c r="E8" s="845"/>
      <c r="F8" s="1782">
        <f>(C8+D8)-E8</f>
        <v>18186127</v>
      </c>
      <c r="G8" s="844">
        <v>50</v>
      </c>
      <c r="H8" s="766">
        <v>8980796</v>
      </c>
      <c r="I8" s="766">
        <v>314302</v>
      </c>
      <c r="J8" s="766"/>
      <c r="K8" s="1791">
        <f>(H8+I8)-J8</f>
        <v>9295098</v>
      </c>
      <c r="L8" s="1791">
        <f>F8-K8</f>
        <v>8891029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1878894</v>
      </c>
      <c r="D10" s="847"/>
      <c r="E10" s="847"/>
      <c r="F10" s="1786">
        <f>(C10+D10)-E10</f>
        <v>1878894</v>
      </c>
      <c r="G10" s="844">
        <v>20</v>
      </c>
      <c r="H10" s="848">
        <v>1414798</v>
      </c>
      <c r="I10" s="848">
        <v>86385</v>
      </c>
      <c r="J10" s="848"/>
      <c r="K10" s="1791">
        <f>(H10+I10)-J10</f>
        <v>1501183</v>
      </c>
      <c r="L10" s="1791">
        <f>F10-K10</f>
        <v>377711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1210493</v>
      </c>
      <c r="D12" s="845">
        <v>28064</v>
      </c>
      <c r="E12" s="845"/>
      <c r="F12" s="1782">
        <f>(C12+D12)-E12</f>
        <v>1238557</v>
      </c>
      <c r="G12" s="844">
        <v>10</v>
      </c>
      <c r="H12" s="766">
        <v>924146</v>
      </c>
      <c r="I12" s="766">
        <v>70459</v>
      </c>
      <c r="J12" s="766"/>
      <c r="K12" s="1791">
        <f>(H12+I12)-J12</f>
        <v>994605</v>
      </c>
      <c r="L12" s="1791">
        <f>F12-K12</f>
        <v>243952</v>
      </c>
    </row>
    <row r="13" spans="1:14" ht="14.25" thickTop="1" thickBot="1" x14ac:dyDescent="0.25">
      <c r="A13" s="849" t="s">
        <v>1184</v>
      </c>
      <c r="B13" s="841">
        <v>252</v>
      </c>
      <c r="C13" s="845">
        <v>2759343</v>
      </c>
      <c r="D13" s="845">
        <v>116868</v>
      </c>
      <c r="E13" s="845"/>
      <c r="F13" s="1782">
        <f>(C13+D13)-E13</f>
        <v>2876211</v>
      </c>
      <c r="G13" s="844">
        <v>5</v>
      </c>
      <c r="H13" s="766">
        <v>2298464</v>
      </c>
      <c r="I13" s="766">
        <v>150195</v>
      </c>
      <c r="J13" s="766"/>
      <c r="K13" s="1791">
        <f>(H13+I13)-J13</f>
        <v>2448659</v>
      </c>
      <c r="L13" s="1791">
        <f>F13-K13</f>
        <v>427552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v>714013</v>
      </c>
      <c r="E15" s="845"/>
      <c r="F15" s="1782">
        <f>(C15+D15)-E15</f>
        <v>714013</v>
      </c>
      <c r="G15" s="850" t="s">
        <v>917</v>
      </c>
      <c r="H15" s="782"/>
      <c r="I15" s="782"/>
      <c r="J15" s="782"/>
      <c r="K15" s="782"/>
      <c r="L15" s="1791">
        <f>F15-K15</f>
        <v>714013</v>
      </c>
    </row>
    <row r="16" spans="1:14" ht="15" customHeight="1" thickTop="1" thickBot="1" x14ac:dyDescent="0.25">
      <c r="A16" s="1787" t="s">
        <v>664</v>
      </c>
      <c r="B16" s="1788">
        <v>200</v>
      </c>
      <c r="C16" s="1782">
        <f>SUM(C3,C5:C6,C8:C10,C12:C15)</f>
        <v>24748184</v>
      </c>
      <c r="D16" s="1782">
        <f>SUM(D3,D5:D6,D8:D10,D12:D15)</f>
        <v>900243</v>
      </c>
      <c r="E16" s="1782">
        <f>SUM(E3,E5:E6,E8:E10,E12:E15)</f>
        <v>0</v>
      </c>
      <c r="F16" s="1782">
        <f>SUM(F3,F5:F6,F8:F10,F12:F15)</f>
        <v>25648427</v>
      </c>
      <c r="G16" s="844"/>
      <c r="H16" s="1782">
        <f>SUM(H3,H6,H8:H10,H12:H14,)</f>
        <v>13618204</v>
      </c>
      <c r="I16" s="1782">
        <f>SUM(I3,I6,I8:I10,I12:I14,)</f>
        <v>621341</v>
      </c>
      <c r="J16" s="1782">
        <f>SUM(J3,J6,J8:J10,J12:J14,)</f>
        <v>0</v>
      </c>
      <c r="K16" s="1782">
        <f>(H16+I16)-J16</f>
        <v>14239545</v>
      </c>
      <c r="L16" s="1782">
        <f>F16-K16</f>
        <v>11408882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621341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48"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8570314</v>
      </c>
      <c r="G8" s="866"/>
    </row>
    <row r="9" spans="1:7" x14ac:dyDescent="0.2">
      <c r="A9" s="870" t="s">
        <v>480</v>
      </c>
      <c r="B9" s="871" t="s">
        <v>1989</v>
      </c>
      <c r="C9" s="872"/>
      <c r="D9" s="870" t="s">
        <v>522</v>
      </c>
      <c r="E9" s="869"/>
      <c r="F9" s="1933">
        <f>'Expenditures 15-22'!K151</f>
        <v>1787302</v>
      </c>
      <c r="G9" s="873"/>
    </row>
    <row r="10" spans="1:7" x14ac:dyDescent="0.2">
      <c r="A10" s="870" t="s">
        <v>520</v>
      </c>
      <c r="B10" s="871" t="s">
        <v>1990</v>
      </c>
      <c r="C10" s="872"/>
      <c r="D10" s="870" t="s">
        <v>522</v>
      </c>
      <c r="E10" s="869"/>
      <c r="F10" s="1933">
        <f>'Expenditures 15-22'!K174</f>
        <v>1303846</v>
      </c>
      <c r="G10" s="873"/>
    </row>
    <row r="11" spans="1:7" x14ac:dyDescent="0.2">
      <c r="A11" s="870" t="s">
        <v>481</v>
      </c>
      <c r="B11" s="871" t="s">
        <v>1991</v>
      </c>
      <c r="C11" s="872"/>
      <c r="D11" s="870" t="s">
        <v>522</v>
      </c>
      <c r="E11" s="869"/>
      <c r="F11" s="1933">
        <f>'Expenditures 15-22'!K210</f>
        <v>1015679</v>
      </c>
      <c r="G11" s="873"/>
    </row>
    <row r="12" spans="1:7" x14ac:dyDescent="0.2">
      <c r="A12" s="870" t="s">
        <v>482</v>
      </c>
      <c r="B12" s="871" t="s">
        <v>1992</v>
      </c>
      <c r="C12" s="872"/>
      <c r="D12" s="870" t="s">
        <v>522</v>
      </c>
      <c r="E12" s="869"/>
      <c r="F12" s="1933">
        <f>'Expenditures 15-22'!K295</f>
        <v>505052</v>
      </c>
      <c r="G12" s="873"/>
    </row>
    <row r="13" spans="1:7" x14ac:dyDescent="0.2">
      <c r="A13" s="870" t="s">
        <v>108</v>
      </c>
      <c r="B13" s="871" t="s">
        <v>1993</v>
      </c>
      <c r="C13" s="872"/>
      <c r="D13" s="870" t="s">
        <v>522</v>
      </c>
      <c r="E13" s="869"/>
      <c r="F13" s="1933">
        <f>'Expenditures 15-22'!K342</f>
        <v>1300146</v>
      </c>
      <c r="G13" s="874"/>
    </row>
    <row r="14" spans="1:7" ht="12" customHeight="1" thickBot="1" x14ac:dyDescent="0.25">
      <c r="A14" s="1792"/>
      <c r="B14" s="1793"/>
      <c r="C14" s="1794"/>
      <c r="D14" s="1795" t="s">
        <v>522</v>
      </c>
      <c r="E14" s="1796" t="s">
        <v>1015</v>
      </c>
      <c r="F14" s="1797">
        <f>SUM(F8:F13)</f>
        <v>14482339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380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178040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546</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293021</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33383</v>
      </c>
      <c r="G52" s="866"/>
    </row>
    <row r="53" spans="1:7" x14ac:dyDescent="0.2">
      <c r="A53" s="870" t="s">
        <v>479</v>
      </c>
      <c r="B53" s="870" t="s">
        <v>1551</v>
      </c>
      <c r="C53" s="890">
        <f>'Expenditures 15-22'!B102</f>
        <v>4000</v>
      </c>
      <c r="D53" s="889" t="str">
        <f>'Expenditures 15-22'!A102</f>
        <v>Total Payments to Other Govt Units</v>
      </c>
      <c r="E53" s="869"/>
      <c r="F53" s="1937">
        <f>'Expenditures 15-22'!K102</f>
        <v>354465</v>
      </c>
      <c r="G53" s="866"/>
    </row>
    <row r="54" spans="1:7" x14ac:dyDescent="0.2">
      <c r="A54" s="870" t="s">
        <v>479</v>
      </c>
      <c r="B54" s="870" t="s">
        <v>1552</v>
      </c>
      <c r="C54" s="890" t="s">
        <v>1039</v>
      </c>
      <c r="D54" s="886" t="s">
        <v>1157</v>
      </c>
      <c r="E54" s="869"/>
      <c r="F54" s="1937">
        <f>'Expenditures 15-22'!G114</f>
        <v>97543</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9836</v>
      </c>
      <c r="G57" s="866"/>
    </row>
    <row r="58" spans="1:7" x14ac:dyDescent="0.2">
      <c r="A58" s="870" t="s">
        <v>480</v>
      </c>
      <c r="B58" s="870" t="s">
        <v>1995</v>
      </c>
      <c r="C58" s="887" t="s">
        <v>1039</v>
      </c>
      <c r="D58" s="886" t="s">
        <v>1157</v>
      </c>
      <c r="E58" s="869"/>
      <c r="F58" s="1939">
        <f>'Expenditures 15-22'!G151</f>
        <v>41298</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1255000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22430</v>
      </c>
      <c r="G64" s="866"/>
    </row>
    <row r="65" spans="1:8" x14ac:dyDescent="0.2">
      <c r="A65" s="870" t="s">
        <v>481</v>
      </c>
      <c r="B65" s="870" t="s">
        <v>2002</v>
      </c>
      <c r="C65" s="887" t="s">
        <v>1039</v>
      </c>
      <c r="D65" s="886" t="s">
        <v>1157</v>
      </c>
      <c r="E65" s="869"/>
      <c r="F65" s="1937">
        <f>'Expenditures 15-22'!G210</f>
        <v>7032</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8147</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8</v>
      </c>
      <c r="G71" s="866"/>
    </row>
    <row r="72" spans="1:8" x14ac:dyDescent="0.2">
      <c r="A72" s="870" t="s">
        <v>482</v>
      </c>
      <c r="B72" s="870" t="s">
        <v>2008</v>
      </c>
      <c r="C72" s="887">
        <f>'Expenditures 15-22'!B280</f>
        <v>3000</v>
      </c>
      <c r="D72" s="877" t="s">
        <v>469</v>
      </c>
      <c r="E72" s="869"/>
      <c r="F72" s="1937">
        <f>'Expenditures 15-22'!K280</f>
        <v>4542</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2305671</v>
      </c>
      <c r="G76" s="866"/>
    </row>
    <row r="77" spans="1:8" s="894" customFormat="1" ht="12" customHeight="1" thickTop="1" thickBot="1" x14ac:dyDescent="0.25">
      <c r="A77" s="1801"/>
      <c r="B77" s="1798"/>
      <c r="C77" s="1794"/>
      <c r="D77" s="1799" t="s">
        <v>2012</v>
      </c>
      <c r="E77" s="1796"/>
      <c r="F77" s="1802">
        <f>(F14-F76)</f>
        <v>12176668</v>
      </c>
      <c r="G77" s="870"/>
    </row>
    <row r="78" spans="1:8" s="894" customFormat="1" ht="12" customHeight="1" thickTop="1" x14ac:dyDescent="0.2">
      <c r="A78" s="1803"/>
      <c r="B78" s="1798"/>
      <c r="C78" s="1794"/>
      <c r="D78" s="1799" t="s">
        <v>2059</v>
      </c>
      <c r="E78" s="1796"/>
      <c r="F78" s="899">
        <v>994.01400000000001</v>
      </c>
      <c r="G78" s="900"/>
      <c r="H78" s="870"/>
    </row>
    <row r="79" spans="1:8" s="894" customFormat="1" ht="12" customHeight="1" thickBot="1" x14ac:dyDescent="0.25">
      <c r="A79" s="1804"/>
      <c r="B79" s="1798"/>
      <c r="C79" s="1794"/>
      <c r="D79" s="1799" t="s">
        <v>2013</v>
      </c>
      <c r="E79" s="1796" t="s">
        <v>1015</v>
      </c>
      <c r="F79" s="1805">
        <f>IF(F78&gt;0,F77/F78," Complete Line 78")</f>
        <v>12249.996478922832</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47</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249227</v>
      </c>
      <c r="G94" s="913"/>
    </row>
    <row r="95" spans="1:7" x14ac:dyDescent="0.2">
      <c r="A95" s="909" t="s">
        <v>142</v>
      </c>
      <c r="B95" s="909" t="s">
        <v>177</v>
      </c>
      <c r="C95" s="911">
        <v>1700</v>
      </c>
      <c r="D95" s="919" t="str">
        <f>'Revenues 9-14'!A82</f>
        <v>Total District/School Activity Income</v>
      </c>
      <c r="E95" s="907"/>
      <c r="F95" s="1811">
        <f>SUM('Revenues 9-14'!C82,'Revenues 9-14'!D82)</f>
        <v>88545</v>
      </c>
      <c r="G95" s="913"/>
    </row>
    <row r="96" spans="1:7" x14ac:dyDescent="0.2">
      <c r="A96" s="909" t="s">
        <v>479</v>
      </c>
      <c r="B96" s="909" t="s">
        <v>178</v>
      </c>
      <c r="C96" s="911">
        <f>'Revenues 9-14'!B84</f>
        <v>1811</v>
      </c>
      <c r="D96" s="912" t="str">
        <f>'Revenues 9-14'!A84</f>
        <v>Rentals - Regular Textbooks</v>
      </c>
      <c r="E96" s="907"/>
      <c r="F96" s="1811">
        <f>'Revenues 9-14'!C84</f>
        <v>52812</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3045</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314425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13905</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4569</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14097</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819714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316752</v>
      </c>
      <c r="G129" s="931"/>
    </row>
    <row r="130" spans="1:7" x14ac:dyDescent="0.2">
      <c r="A130" s="928" t="s">
        <v>689</v>
      </c>
      <c r="B130" s="928" t="s">
        <v>804</v>
      </c>
      <c r="C130" s="933">
        <v>4300</v>
      </c>
      <c r="D130" s="934" t="str">
        <f>'Revenues 9-14'!A211</f>
        <v>Total Title I</v>
      </c>
      <c r="E130" s="907"/>
      <c r="F130" s="1811">
        <f>SUM('Revenues 9-14'!C211,'Revenues 9-14'!D211,'Revenues 9-14'!F211,'Revenues 9-14'!G211)</f>
        <v>188961</v>
      </c>
      <c r="G130" s="931"/>
    </row>
    <row r="131" spans="1:7" x14ac:dyDescent="0.2">
      <c r="A131" s="928" t="s">
        <v>689</v>
      </c>
      <c r="B131" s="928" t="s">
        <v>805</v>
      </c>
      <c r="C131" s="933">
        <v>4400</v>
      </c>
      <c r="D131" s="934" t="str">
        <f>'Revenues 9-14'!A216</f>
        <v>Total Title IV</v>
      </c>
      <c r="E131" s="907"/>
      <c r="F131" s="1811">
        <f>SUM('Revenues 9-14'!C216,'Revenues 9-14'!D216,'Revenues 9-14'!F216,'Revenues 9-14'!G216)</f>
        <v>22348</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42608</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12299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203910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2348014</v>
      </c>
    </row>
    <row r="179" spans="1:7" ht="12" customHeight="1" x14ac:dyDescent="0.2">
      <c r="A179" s="1792"/>
      <c r="B179" s="1806"/>
      <c r="C179" s="1807"/>
      <c r="D179" s="1808" t="s">
        <v>2015</v>
      </c>
      <c r="E179" s="1809"/>
      <c r="F179" s="1811">
        <f>'PCTC-OEPP 27-28'!F77-F178</f>
        <v>9828654</v>
      </c>
    </row>
    <row r="180" spans="1:7" ht="12" customHeight="1" x14ac:dyDescent="0.2">
      <c r="A180" s="1792"/>
      <c r="B180" s="1806"/>
      <c r="C180" s="1807"/>
      <c r="D180" s="1808" t="s">
        <v>1924</v>
      </c>
      <c r="E180" s="1809"/>
      <c r="F180" s="1811">
        <f>'Cap Outlay Deprec 26'!I18</f>
        <v>621341</v>
      </c>
    </row>
    <row r="181" spans="1:7" ht="12" customHeight="1" x14ac:dyDescent="0.2">
      <c r="A181" s="1792"/>
      <c r="B181" s="1806"/>
      <c r="C181" s="1807"/>
      <c r="D181" s="1808" t="s">
        <v>2016</v>
      </c>
      <c r="E181" s="1809"/>
      <c r="F181" s="1811">
        <f>F179+F180</f>
        <v>10449995</v>
      </c>
    </row>
    <row r="182" spans="1:7" ht="12" customHeight="1" x14ac:dyDescent="0.2">
      <c r="A182" s="1792"/>
      <c r="B182" s="1812"/>
      <c r="C182" s="1807"/>
      <c r="D182" s="1808" t="str">
        <f>D78</f>
        <v>9 Month ADA from District Average Daily Attendance/Prior General State Aid Inquiry 2017-2018</v>
      </c>
      <c r="E182" s="1809"/>
      <c r="F182" s="1813">
        <f>'PCTC-OEPP 27-28'!F78</f>
        <v>994.01400000000001</v>
      </c>
      <c r="G182" s="931"/>
    </row>
    <row r="183" spans="1:7" ht="12" customHeight="1" thickBot="1" x14ac:dyDescent="0.25">
      <c r="A183" s="1792"/>
      <c r="B183" s="1812"/>
      <c r="C183" s="1807"/>
      <c r="D183" s="1808" t="s">
        <v>2017</v>
      </c>
      <c r="E183" s="1809" t="s">
        <v>1626</v>
      </c>
      <c r="F183" s="1814">
        <f>F181/F182</f>
        <v>10512.925371272437</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view="pageBreakPreview" zoomScale="60" zoomScaleNormal="100" workbookViewId="0">
      <pane ySplit="16" topLeftCell="A30" activePane="bottomLeft" state="frozen"/>
      <selection pane="bottomLeft" activeCell="A140" sqref="A44:XFD140"/>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2" t="s">
        <v>2105</v>
      </c>
      <c r="B17" s="1953" t="s">
        <v>2106</v>
      </c>
      <c r="C17" s="1954" t="s">
        <v>2107</v>
      </c>
      <c r="D17" s="1867">
        <v>22303</v>
      </c>
      <c r="E17" s="1562">
        <f t="shared" ref="E17:E141" si="1">IF(D17&lt;=25000,D17,IF(D17&gt;25000,25000,0))</f>
        <v>22303</v>
      </c>
      <c r="F17" s="1815">
        <f t="shared" si="0"/>
        <v>22303</v>
      </c>
      <c r="G17" s="1816">
        <f>IF(F17=0,0,D17-F17)</f>
        <v>0</v>
      </c>
      <c r="H17" s="1669"/>
    </row>
    <row r="18" spans="1:8" x14ac:dyDescent="0.25">
      <c r="A18" s="1952" t="s">
        <v>2105</v>
      </c>
      <c r="B18" s="1953" t="s">
        <v>2106</v>
      </c>
      <c r="C18" s="1954" t="s">
        <v>2108</v>
      </c>
      <c r="D18" s="1867">
        <v>400</v>
      </c>
      <c r="E18" s="1562">
        <f t="shared" ref="E18:E140" si="2">IF(D18&lt;=25000,D18,IF(D18&gt;25000,25000,0))</f>
        <v>400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400</v>
      </c>
      <c r="G18" s="1816">
        <f t="shared" ref="G18:G140" si="4">IF(F18=0,0,D18-F18)</f>
        <v>0</v>
      </c>
    </row>
    <row r="19" spans="1:8" x14ac:dyDescent="0.25">
      <c r="A19" s="1952" t="s">
        <v>2105</v>
      </c>
      <c r="B19" s="1953" t="s">
        <v>2109</v>
      </c>
      <c r="C19" s="1954" t="s">
        <v>2110</v>
      </c>
      <c r="D19" s="1867">
        <v>9380</v>
      </c>
      <c r="E19" s="1562">
        <f t="shared" si="2"/>
        <v>9380</v>
      </c>
      <c r="F19" s="1815">
        <f t="shared" si="3"/>
        <v>9380</v>
      </c>
      <c r="G19" s="1816">
        <f t="shared" si="4"/>
        <v>0</v>
      </c>
    </row>
    <row r="20" spans="1:8" x14ac:dyDescent="0.25">
      <c r="A20" s="1952" t="s">
        <v>2105</v>
      </c>
      <c r="B20" s="1953" t="s">
        <v>2109</v>
      </c>
      <c r="C20" s="1954" t="s">
        <v>2107</v>
      </c>
      <c r="D20" s="1867">
        <v>2515</v>
      </c>
      <c r="E20" s="1562">
        <f t="shared" si="2"/>
        <v>2515</v>
      </c>
      <c r="F20" s="1815">
        <f t="shared" si="3"/>
        <v>2515</v>
      </c>
      <c r="G20" s="1816">
        <f t="shared" si="4"/>
        <v>0</v>
      </c>
    </row>
    <row r="21" spans="1:8" x14ac:dyDescent="0.25">
      <c r="A21" s="1952" t="s">
        <v>2105</v>
      </c>
      <c r="B21" s="1953" t="s">
        <v>2109</v>
      </c>
      <c r="C21" s="1954" t="s">
        <v>2111</v>
      </c>
      <c r="D21" s="1867">
        <v>1499</v>
      </c>
      <c r="E21" s="1562">
        <f t="shared" si="2"/>
        <v>1499</v>
      </c>
      <c r="F21" s="1815">
        <f t="shared" si="3"/>
        <v>1499</v>
      </c>
      <c r="G21" s="1816">
        <f t="shared" si="4"/>
        <v>0</v>
      </c>
    </row>
    <row r="22" spans="1:8" x14ac:dyDescent="0.25">
      <c r="A22" s="1952" t="s">
        <v>2105</v>
      </c>
      <c r="B22" s="1953" t="s">
        <v>2109</v>
      </c>
      <c r="C22" s="1954" t="s">
        <v>2108</v>
      </c>
      <c r="D22" s="1867">
        <v>40</v>
      </c>
      <c r="E22" s="1562">
        <f t="shared" si="2"/>
        <v>40</v>
      </c>
      <c r="F22" s="1815">
        <f t="shared" si="3"/>
        <v>40</v>
      </c>
      <c r="G22" s="1816">
        <f t="shared" si="4"/>
        <v>0</v>
      </c>
    </row>
    <row r="23" spans="1:8" x14ac:dyDescent="0.25">
      <c r="A23" s="1952" t="s">
        <v>2112</v>
      </c>
      <c r="B23" s="1953" t="s">
        <v>2113</v>
      </c>
      <c r="C23" s="1954" t="s">
        <v>2114</v>
      </c>
      <c r="D23" s="1867">
        <v>22080</v>
      </c>
      <c r="E23" s="1562">
        <f t="shared" si="2"/>
        <v>22080</v>
      </c>
      <c r="F23" s="1815">
        <f t="shared" si="3"/>
        <v>22080</v>
      </c>
      <c r="G23" s="1816">
        <f t="shared" si="4"/>
        <v>0</v>
      </c>
    </row>
    <row r="24" spans="1:8" x14ac:dyDescent="0.25">
      <c r="A24" s="1952" t="s">
        <v>2112</v>
      </c>
      <c r="B24" s="1953" t="s">
        <v>2113</v>
      </c>
      <c r="C24" s="1954" t="s">
        <v>2115</v>
      </c>
      <c r="D24" s="1867">
        <f>8674+9425</f>
        <v>18099</v>
      </c>
      <c r="E24" s="1562">
        <f t="shared" si="2"/>
        <v>18099</v>
      </c>
      <c r="F24" s="1815">
        <f t="shared" si="3"/>
        <v>18099</v>
      </c>
      <c r="G24" s="1816">
        <f t="shared" si="4"/>
        <v>0</v>
      </c>
    </row>
    <row r="25" spans="1:8" x14ac:dyDescent="0.25">
      <c r="A25" s="1952" t="s">
        <v>2112</v>
      </c>
      <c r="B25" s="1953" t="s">
        <v>2113</v>
      </c>
      <c r="C25" s="1954" t="s">
        <v>2116</v>
      </c>
      <c r="D25" s="1867">
        <v>12644</v>
      </c>
      <c r="E25" s="1562">
        <f t="shared" si="2"/>
        <v>12644</v>
      </c>
      <c r="F25" s="1815">
        <f t="shared" si="3"/>
        <v>12644</v>
      </c>
      <c r="G25" s="1816">
        <f t="shared" si="4"/>
        <v>0</v>
      </c>
    </row>
    <row r="26" spans="1:8" x14ac:dyDescent="0.25">
      <c r="A26" s="1952" t="s">
        <v>2112</v>
      </c>
      <c r="B26" s="1953" t="s">
        <v>2113</v>
      </c>
      <c r="C26" s="1954" t="s">
        <v>2117</v>
      </c>
      <c r="D26" s="1867">
        <v>8948</v>
      </c>
      <c r="E26" s="1562">
        <f t="shared" si="2"/>
        <v>8948</v>
      </c>
      <c r="F26" s="1815">
        <f t="shared" si="3"/>
        <v>8948</v>
      </c>
      <c r="G26" s="1816">
        <f t="shared" si="4"/>
        <v>0</v>
      </c>
    </row>
    <row r="27" spans="1:8" x14ac:dyDescent="0.25">
      <c r="A27" s="1952" t="s">
        <v>2112</v>
      </c>
      <c r="B27" s="1953" t="s">
        <v>2113</v>
      </c>
      <c r="C27" s="1954" t="s">
        <v>2118</v>
      </c>
      <c r="D27" s="1867">
        <v>9960</v>
      </c>
      <c r="E27" s="1562">
        <f t="shared" si="2"/>
        <v>9960</v>
      </c>
      <c r="F27" s="1815">
        <f t="shared" si="3"/>
        <v>9960</v>
      </c>
      <c r="G27" s="1816">
        <f t="shared" si="4"/>
        <v>0</v>
      </c>
    </row>
    <row r="28" spans="1:8" x14ac:dyDescent="0.25">
      <c r="A28" s="1952" t="s">
        <v>2112</v>
      </c>
      <c r="B28" s="1953" t="s">
        <v>2113</v>
      </c>
      <c r="C28" s="1954" t="s">
        <v>2119</v>
      </c>
      <c r="D28" s="1867">
        <f>11528+10883</f>
        <v>22411</v>
      </c>
      <c r="E28" s="1562">
        <f t="shared" si="2"/>
        <v>22411</v>
      </c>
      <c r="F28" s="1815">
        <f t="shared" si="3"/>
        <v>22411</v>
      </c>
      <c r="G28" s="1816">
        <f t="shared" si="4"/>
        <v>0</v>
      </c>
    </row>
    <row r="29" spans="1:8" x14ac:dyDescent="0.25">
      <c r="A29" s="1952" t="s">
        <v>2112</v>
      </c>
      <c r="B29" s="1953" t="s">
        <v>2113</v>
      </c>
      <c r="C29" s="1954" t="s">
        <v>2121</v>
      </c>
      <c r="D29" s="1867">
        <v>9841</v>
      </c>
      <c r="E29" s="1562">
        <f t="shared" si="2"/>
        <v>9841</v>
      </c>
      <c r="F29" s="1815">
        <f t="shared" si="3"/>
        <v>9841</v>
      </c>
      <c r="G29" s="1816">
        <f t="shared" si="4"/>
        <v>0</v>
      </c>
    </row>
    <row r="30" spans="1:8" x14ac:dyDescent="0.25">
      <c r="A30" s="1952" t="s">
        <v>2112</v>
      </c>
      <c r="B30" s="1953" t="s">
        <v>2113</v>
      </c>
      <c r="C30" s="1954" t="s">
        <v>2122</v>
      </c>
      <c r="D30" s="1867">
        <f>3036+10056</f>
        <v>13092</v>
      </c>
      <c r="E30" s="1562">
        <f t="shared" si="2"/>
        <v>13092</v>
      </c>
      <c r="F30" s="1815">
        <f t="shared" si="3"/>
        <v>13092</v>
      </c>
      <c r="G30" s="1816">
        <f t="shared" si="4"/>
        <v>0</v>
      </c>
    </row>
    <row r="31" spans="1:8" x14ac:dyDescent="0.25">
      <c r="A31" s="1952" t="s">
        <v>2112</v>
      </c>
      <c r="B31" s="1953" t="s">
        <v>2113</v>
      </c>
      <c r="C31" s="1954" t="s">
        <v>2123</v>
      </c>
      <c r="D31" s="1867">
        <f>1082+9130</f>
        <v>10212</v>
      </c>
      <c r="E31" s="1562">
        <f t="shared" si="2"/>
        <v>10212</v>
      </c>
      <c r="F31" s="1815">
        <f t="shared" si="3"/>
        <v>10212</v>
      </c>
      <c r="G31" s="1816">
        <f t="shared" si="4"/>
        <v>0</v>
      </c>
    </row>
    <row r="32" spans="1:8" x14ac:dyDescent="0.25">
      <c r="A32" s="1952" t="s">
        <v>2112</v>
      </c>
      <c r="B32" s="1953" t="s">
        <v>2113</v>
      </c>
      <c r="C32" s="1954" t="s">
        <v>2120</v>
      </c>
      <c r="D32" s="1867">
        <v>141409</v>
      </c>
      <c r="E32" s="1562">
        <f t="shared" si="2"/>
        <v>25000</v>
      </c>
      <c r="F32" s="1815">
        <f t="shared" si="3"/>
        <v>25000</v>
      </c>
      <c r="G32" s="1816">
        <f t="shared" si="4"/>
        <v>116409</v>
      </c>
    </row>
    <row r="33" spans="1:7" x14ac:dyDescent="0.25">
      <c r="A33" s="1952" t="s">
        <v>2112</v>
      </c>
      <c r="B33" s="1953" t="s">
        <v>2113</v>
      </c>
      <c r="C33" s="1954" t="s">
        <v>2124</v>
      </c>
      <c r="D33" s="1867">
        <v>30068</v>
      </c>
      <c r="E33" s="1562">
        <f t="shared" si="2"/>
        <v>25000</v>
      </c>
      <c r="F33" s="1815">
        <f t="shared" si="3"/>
        <v>25000</v>
      </c>
      <c r="G33" s="1816">
        <f t="shared" si="4"/>
        <v>5068</v>
      </c>
    </row>
    <row r="34" spans="1:7" x14ac:dyDescent="0.25">
      <c r="A34" s="1952" t="s">
        <v>2112</v>
      </c>
      <c r="B34" s="1953" t="s">
        <v>2113</v>
      </c>
      <c r="C34" s="1954" t="s">
        <v>2125</v>
      </c>
      <c r="D34" s="1867">
        <f>5766+5275</f>
        <v>11041</v>
      </c>
      <c r="E34" s="1562">
        <f t="shared" si="2"/>
        <v>11041</v>
      </c>
      <c r="F34" s="1815">
        <f t="shared" si="3"/>
        <v>11041</v>
      </c>
      <c r="G34" s="1816">
        <f t="shared" si="4"/>
        <v>0</v>
      </c>
    </row>
    <row r="35" spans="1:7" x14ac:dyDescent="0.25">
      <c r="A35" s="1952" t="s">
        <v>2112</v>
      </c>
      <c r="B35" s="1953" t="s">
        <v>2113</v>
      </c>
      <c r="C35" s="1954" t="s">
        <v>2126</v>
      </c>
      <c r="D35" s="1867">
        <f>941+777+800+723</f>
        <v>3241</v>
      </c>
      <c r="E35" s="1562">
        <f t="shared" si="2"/>
        <v>3241</v>
      </c>
      <c r="F35" s="1815">
        <f t="shared" si="3"/>
        <v>3241</v>
      </c>
      <c r="G35" s="1816">
        <f t="shared" si="4"/>
        <v>0</v>
      </c>
    </row>
    <row r="36" spans="1:7" x14ac:dyDescent="0.25">
      <c r="A36" s="1952" t="s">
        <v>2112</v>
      </c>
      <c r="B36" s="1953" t="s">
        <v>2113</v>
      </c>
      <c r="C36" s="1954" t="s">
        <v>2127</v>
      </c>
      <c r="D36" s="1867">
        <v>2549</v>
      </c>
      <c r="E36" s="1562">
        <f t="shared" si="2"/>
        <v>2549</v>
      </c>
      <c r="F36" s="1815">
        <f t="shared" si="3"/>
        <v>2549</v>
      </c>
      <c r="G36" s="1816">
        <f t="shared" si="4"/>
        <v>0</v>
      </c>
    </row>
    <row r="37" spans="1:7" x14ac:dyDescent="0.25">
      <c r="A37" s="1952" t="s">
        <v>2112</v>
      </c>
      <c r="B37" s="1953" t="s">
        <v>2113</v>
      </c>
      <c r="C37" s="1954" t="s">
        <v>2128</v>
      </c>
      <c r="D37" s="1867">
        <f>14770+937</f>
        <v>15707</v>
      </c>
      <c r="E37" s="1562">
        <f t="shared" si="2"/>
        <v>15707</v>
      </c>
      <c r="F37" s="1815">
        <f t="shared" si="3"/>
        <v>15707</v>
      </c>
      <c r="G37" s="1816">
        <f t="shared" si="4"/>
        <v>0</v>
      </c>
    </row>
    <row r="38" spans="1:7" x14ac:dyDescent="0.25">
      <c r="A38" s="1952" t="s">
        <v>2112</v>
      </c>
      <c r="B38" s="1955" t="s">
        <v>2113</v>
      </c>
      <c r="C38" s="1954" t="s">
        <v>2129</v>
      </c>
      <c r="D38" s="1867">
        <v>703</v>
      </c>
      <c r="E38" s="1562">
        <f t="shared" si="2"/>
        <v>703</v>
      </c>
      <c r="F38" s="1815">
        <f t="shared" si="3"/>
        <v>703</v>
      </c>
      <c r="G38" s="1816">
        <f t="shared" si="4"/>
        <v>0</v>
      </c>
    </row>
    <row r="39" spans="1:7" x14ac:dyDescent="0.25">
      <c r="A39" s="1952" t="s">
        <v>2112</v>
      </c>
      <c r="B39" s="1955" t="s">
        <v>2113</v>
      </c>
      <c r="C39" s="1954" t="s">
        <v>2130</v>
      </c>
      <c r="D39" s="1867">
        <v>725</v>
      </c>
      <c r="E39" s="1562">
        <f t="shared" si="2"/>
        <v>725</v>
      </c>
      <c r="F39" s="1815">
        <f t="shared" si="3"/>
        <v>725</v>
      </c>
      <c r="G39" s="1816">
        <f t="shared" si="4"/>
        <v>0</v>
      </c>
    </row>
    <row r="40" spans="1:7" x14ac:dyDescent="0.25">
      <c r="A40" s="1952" t="s">
        <v>2112</v>
      </c>
      <c r="B40" s="1955" t="s">
        <v>2113</v>
      </c>
      <c r="C40" s="1954" t="s">
        <v>2131</v>
      </c>
      <c r="D40" s="1867">
        <f>1371+2429+7159+2079+2746</f>
        <v>15784</v>
      </c>
      <c r="E40" s="1562">
        <f t="shared" si="2"/>
        <v>15784</v>
      </c>
      <c r="F40" s="1815">
        <f t="shared" si="3"/>
        <v>15784</v>
      </c>
      <c r="G40" s="1816">
        <f t="shared" si="4"/>
        <v>0</v>
      </c>
    </row>
    <row r="41" spans="1:7" x14ac:dyDescent="0.25">
      <c r="A41" s="1952" t="s">
        <v>2112</v>
      </c>
      <c r="B41" s="1955" t="s">
        <v>2113</v>
      </c>
      <c r="C41" s="1954" t="s">
        <v>2133</v>
      </c>
      <c r="D41" s="1867">
        <f>95+95+95+95</f>
        <v>380</v>
      </c>
      <c r="E41" s="1562">
        <f t="shared" si="2"/>
        <v>380</v>
      </c>
      <c r="F41" s="1815">
        <f t="shared" si="3"/>
        <v>380</v>
      </c>
      <c r="G41" s="1816">
        <f t="shared" si="4"/>
        <v>0</v>
      </c>
    </row>
    <row r="42" spans="1:7" x14ac:dyDescent="0.25">
      <c r="A42" s="1952" t="s">
        <v>2112</v>
      </c>
      <c r="B42" s="1955" t="s">
        <v>2113</v>
      </c>
      <c r="C42" s="1954" t="s">
        <v>2132</v>
      </c>
      <c r="D42" s="1867">
        <f>5220+4937+4935</f>
        <v>15092</v>
      </c>
      <c r="E42" s="1562">
        <f t="shared" si="2"/>
        <v>15092</v>
      </c>
      <c r="F42" s="1815">
        <f t="shared" si="3"/>
        <v>15092</v>
      </c>
      <c r="G42" s="1816">
        <f t="shared" si="4"/>
        <v>0</v>
      </c>
    </row>
    <row r="43" spans="1:7" x14ac:dyDescent="0.25">
      <c r="A43" s="1952" t="s">
        <v>2112</v>
      </c>
      <c r="B43" s="1955" t="s">
        <v>2113</v>
      </c>
      <c r="C43" s="1954" t="s">
        <v>2134</v>
      </c>
      <c r="D43" s="1867">
        <v>2797</v>
      </c>
      <c r="E43" s="1562">
        <f t="shared" si="2"/>
        <v>2797</v>
      </c>
      <c r="F43" s="1815">
        <f t="shared" si="3"/>
        <v>2797</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hidden="1"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402920</v>
      </c>
      <c r="E141" s="1563">
        <f t="shared" si="1"/>
        <v>25000</v>
      </c>
      <c r="F141" s="1817">
        <f>SUM(F17:F140)</f>
        <v>281443</v>
      </c>
      <c r="G141" s="1818">
        <f>SUM(G17:G140)</f>
        <v>121477</v>
      </c>
    </row>
  </sheetData>
  <sheetProtection selectLockedCells="1"/>
  <mergeCells count="6">
    <mergeCell ref="A13:G13"/>
    <mergeCell ref="A4:G5"/>
    <mergeCell ref="A11:G11"/>
    <mergeCell ref="A7:G7"/>
    <mergeCell ref="A8:G8"/>
    <mergeCell ref="A9:G9"/>
  </mergeCells>
  <pageMargins left="0.2" right="0.2" top="0.5" bottom="0.25" header="0.3" footer="0.3"/>
  <pageSetup scale="68" firstPageNumber="3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v>48502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6329144</v>
      </c>
      <c r="F19" s="1822"/>
      <c r="G19" s="1824">
        <f>'Expenditures 15-22'!K33-SUM('Expenditures 15-22'!G33,'Expenditures 15-22'!I33)+'Expenditures 15-22'!D229</f>
        <v>6329144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297856</v>
      </c>
      <c r="F21" s="1825"/>
      <c r="G21" s="1828">
        <f>'Expenditures 15-22'!K42-SUM('Expenditures 15-22'!G42,'Expenditures 15-22'!I42)+'Expenditures 15-22'!K120-SUM('Expenditures 15-22'!G120,'Expenditures 15-22'!I120)+'Expenditures 15-22'!K180-SUM('Expenditures 15-22'!G180,'Expenditures 15-22'!I180)+'Expenditures 15-22'!D238</f>
        <v>297856</v>
      </c>
      <c r="H21" s="988"/>
      <c r="I21" s="162"/>
    </row>
    <row r="22" spans="1:9" s="669" customFormat="1" ht="12" customHeight="1" x14ac:dyDescent="0.2">
      <c r="A22" s="995" t="s">
        <v>585</v>
      </c>
      <c r="B22" s="996"/>
      <c r="C22" s="994">
        <v>2200</v>
      </c>
      <c r="D22" s="1825"/>
      <c r="E22" s="1827">
        <f>'Expenditures 15-22'!K47-SUM('Expenditures 15-22'!G47,'Expenditures 15-22'!I47)+'Expenditures 15-22'!D243</f>
        <v>183164</v>
      </c>
      <c r="F22" s="1825"/>
      <c r="G22" s="1828">
        <f>'Expenditures 15-22'!K47-SUM('Expenditures 15-22'!G47,'Expenditures 15-22'!I47)+'Expenditures 15-22'!D243</f>
        <v>183164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1467664</v>
      </c>
      <c r="F23" s="1825"/>
      <c r="G23" s="1827">
        <f>'Expenditures 15-22'!K53-SUM('Expenditures 15-22'!G53,'Expenditures 15-22'!I53)+'Expenditures 15-22'!D257+'Expenditures 15-22'!K330-SUM('Expenditures 15-22'!G330,'Expenditures 15-22'!I330)</f>
        <v>1467664</v>
      </c>
      <c r="H23" s="988"/>
      <c r="I23" s="162"/>
    </row>
    <row r="24" spans="1:9" s="669" customFormat="1" ht="12" customHeight="1" x14ac:dyDescent="0.2">
      <c r="A24" s="995" t="s">
        <v>587</v>
      </c>
      <c r="B24" s="996"/>
      <c r="C24" s="994">
        <v>2400</v>
      </c>
      <c r="D24" s="1825"/>
      <c r="E24" s="1827">
        <f>'Expenditures 15-22'!K57-SUM('Expenditures 15-22'!G57,'Expenditures 15-22'!I57)+'Expenditures 15-22'!D261</f>
        <v>577169</v>
      </c>
      <c r="F24" s="1825"/>
      <c r="G24" s="1828">
        <f>'Expenditures 15-22'!K57-SUM('Expenditures 15-22'!G57,'Expenditures 15-22'!I57)+'Expenditures 15-22'!D261</f>
        <v>577169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83682</v>
      </c>
      <c r="E27" s="1827">
        <f>E8</f>
        <v>0</v>
      </c>
      <c r="F27" s="1827">
        <f>'Expenditures 15-22'!K60-SUM('Expenditures 15-22'!G60,'Expenditures 15-22'!I60)+'Expenditures 15-22'!D264-E8</f>
        <v>83682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1804544</v>
      </c>
      <c r="F28" s="1829">
        <f>'Expenditures 15-22'!K61-SUM('Expenditures 15-22'!G61,'Expenditures 15-22'!I61)+'Expenditures 15-22'!K124-SUM('Expenditures 15-22'!G124,'Expenditures 15-22'!I124)+'Expenditures 15-22'!D266-E9</f>
        <v>1804544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1098809</v>
      </c>
      <c r="F29" s="1825"/>
      <c r="G29" s="1828">
        <f>'Expenditures 15-22'!K62-SUM('Expenditures 15-22'!G62,'Expenditures 15-22'!I62)+'Expenditures 15-22'!K125-SUM('Expenditures 15-22'!G125,'Expenditures 15-22'!I125)+'Expenditures 15-22'!K182-SUM('Expenditures 15-22'!G182,'Expenditures 15-22'!I182)+'Expenditures 15-22'!D267</f>
        <v>1098809</v>
      </c>
      <c r="H29" s="986"/>
    </row>
    <row r="30" spans="1:9" ht="12" customHeight="1" x14ac:dyDescent="0.2">
      <c r="A30" s="995" t="s">
        <v>102</v>
      </c>
      <c r="B30" s="998"/>
      <c r="C30" s="994">
        <v>2560</v>
      </c>
      <c r="D30" s="1825"/>
      <c r="E30" s="1827">
        <f>'Expenditures 15-22'!K63-SUM('Expenditures 15-22'!G63,'Expenditures 15-22'!I63)+'Expenditures 15-22'!D268-E10</f>
        <v>592375</v>
      </c>
      <c r="F30" s="1825"/>
      <c r="G30" s="1827">
        <f>'Expenditures 15-22'!K63-SUM('Expenditures 15-22'!G63,'Expenditures 15-22'!I63)+'Expenditures 15-22'!D268-E10</f>
        <v>592375</v>
      </c>
    </row>
    <row r="31" spans="1:9" ht="12" customHeight="1" x14ac:dyDescent="0.2">
      <c r="A31" s="995" t="s">
        <v>103</v>
      </c>
      <c r="B31" s="998"/>
      <c r="C31" s="994">
        <v>2570</v>
      </c>
      <c r="D31" s="1827">
        <f>'Expenditures 15-22'!K64-SUM('Expenditures 15-22'!G64,'Expenditures 15-22'!I64)+'Expenditures 15-22'!D269-E12</f>
        <v>22703</v>
      </c>
      <c r="E31" s="1827">
        <f>E12</f>
        <v>0</v>
      </c>
      <c r="F31" s="1827">
        <f>'Expenditures 15-22'!K64-SUM('Expenditures 15-22'!G64,'Expenditures 15-22'!I64)+'Expenditures 15-22'!D269-E12</f>
        <v>22703</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6102</v>
      </c>
      <c r="E36" s="1827">
        <f>E13</f>
        <v>0</v>
      </c>
      <c r="F36" s="1827">
        <f>'Expenditures 15-22'!K70-SUM('Expenditures 15-22'!G70,'Expenditures 15-22'!I70)+'Expenditures 15-22'!D275-E13</f>
        <v>6102</v>
      </c>
      <c r="G36" s="1827">
        <f>E13</f>
        <v>0</v>
      </c>
    </row>
    <row r="37" spans="1:7" ht="12" customHeight="1" x14ac:dyDescent="0.2">
      <c r="A37" s="995" t="s">
        <v>424</v>
      </c>
      <c r="B37" s="998"/>
      <c r="C37" s="994">
        <v>2660</v>
      </c>
      <c r="D37" s="1827">
        <f>'Expenditures 15-22'!K71-SUM('Expenditures 15-22'!G71,'Expenditures 15-22'!I71)+'Expenditures 15-22'!D276-E14</f>
        <v>102090</v>
      </c>
      <c r="E37" s="1827">
        <f>E14</f>
        <v>0</v>
      </c>
      <c r="F37" s="1827">
        <f>'Expenditures 15-22'!K71-SUM('Expenditures 15-22'!G71,'Expenditures 15-22'!I71)+'Expenditures 15-22'!D276-E14</f>
        <v>102090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37925</v>
      </c>
      <c r="F39" s="1825"/>
      <c r="G39" s="1827">
        <f>'Expenditures 15-22'!K75-SUM('Expenditures 15-22'!G75,'Expenditures 15-22'!I75)+'Expenditures 15-22'!K130-SUM('Expenditures 15-22'!G130,'Expenditures 15-22'!I130)+'Expenditures 15-22'!K185-SUM('Expenditures 15-22'!G185,'Expenditures 15-22'!I185)+'Expenditures 15-22'!D280</f>
        <v>37925</v>
      </c>
    </row>
    <row r="40" spans="1:7" ht="12" customHeight="1" x14ac:dyDescent="0.2">
      <c r="A40" s="991" t="s">
        <v>1930</v>
      </c>
      <c r="B40" s="992"/>
      <c r="C40" s="994"/>
      <c r="D40" s="1825"/>
      <c r="E40" s="1829">
        <f>-'Contracts Paid in CY 29'!G141</f>
        <v>-121477</v>
      </c>
      <c r="F40" s="1825"/>
      <c r="G40" s="1829">
        <f>-'Contracts Paid in CY 29'!G141</f>
        <v>-121477</v>
      </c>
    </row>
    <row r="41" spans="1:7" ht="12" customHeight="1" x14ac:dyDescent="0.2">
      <c r="A41" s="999" t="s">
        <v>158</v>
      </c>
      <c r="B41" s="1000"/>
      <c r="C41" s="1001"/>
      <c r="D41" s="1829">
        <f>SUM(D19:D39)</f>
        <v>214577</v>
      </c>
      <c r="E41" s="1829">
        <f>SUM(E19:E40)</f>
        <v>12267173</v>
      </c>
      <c r="F41" s="1829">
        <f>SUM(F19:F39)</f>
        <v>2019121</v>
      </c>
      <c r="G41" s="1829">
        <f>SUM(G19:G40)</f>
        <v>10462629</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214577</v>
      </c>
      <c r="F43" s="1830" t="s">
        <v>495</v>
      </c>
      <c r="G43" s="1831">
        <f>F41</f>
        <v>2019121</v>
      </c>
    </row>
    <row r="44" spans="1:7" ht="12" customHeight="1" x14ac:dyDescent="0.2">
      <c r="A44" s="988"/>
      <c r="B44" s="162"/>
      <c r="C44" s="1002"/>
      <c r="D44" s="1830" t="s">
        <v>494</v>
      </c>
      <c r="E44" s="1831">
        <f>E41</f>
        <v>12267173</v>
      </c>
      <c r="F44" s="1830" t="s">
        <v>494</v>
      </c>
      <c r="G44" s="1831">
        <f>G41</f>
        <v>10462629</v>
      </c>
    </row>
    <row r="45" spans="1:7" ht="12" customHeight="1" x14ac:dyDescent="0.2">
      <c r="A45" s="988"/>
      <c r="B45" s="162"/>
      <c r="C45" s="162"/>
      <c r="D45" s="1832" t="s">
        <v>1063</v>
      </c>
      <c r="E45" s="1833">
        <f>(E43/E44)</f>
        <v>1.7491968198377898E-2</v>
      </c>
      <c r="F45" s="1832" t="s">
        <v>1063</v>
      </c>
      <c r="G45" s="1833">
        <f>(G43/G44)</f>
        <v>0.19298409606228034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E24" sqref="E24:E32"/>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7109375" style="1901" bestFit="1" customWidth="1"/>
    <col min="9" max="9" width="3" style="1901" bestFit="1" customWidth="1"/>
    <col min="10" max="10" width="2.140625" style="1901" bestFit="1" customWidth="1"/>
    <col min="11" max="11" width="9" style="1901" customWidth="1"/>
    <col min="12" max="16384" width="9.140625" style="1870"/>
  </cols>
  <sheetData>
    <row r="1" spans="1:10" x14ac:dyDescent="0.2">
      <c r="A1" s="2322" t="s">
        <v>1446</v>
      </c>
      <c r="B1" s="2322"/>
      <c r="C1" s="2322"/>
      <c r="D1" s="2322"/>
      <c r="E1" s="2322"/>
      <c r="F1" s="2322"/>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3" t="s">
        <v>1627</v>
      </c>
      <c r="B5" s="2324"/>
      <c r="C5" s="2325"/>
      <c r="D5" s="2325"/>
      <c r="E5" s="2325"/>
      <c r="F5" s="2325"/>
    </row>
    <row r="6" spans="1:10" ht="12" customHeight="1" x14ac:dyDescent="0.25">
      <c r="A6" s="1873"/>
      <c r="B6" s="1874"/>
      <c r="C6" s="2326" t="str">
        <f>COVER!A17</f>
        <v>Bureau Valley CUSD 340</v>
      </c>
      <c r="D6" s="2326"/>
      <c r="E6" s="2326"/>
      <c r="F6" s="1875"/>
    </row>
    <row r="7" spans="1:10" ht="11.25" customHeight="1" thickBot="1" x14ac:dyDescent="0.3">
      <c r="A7" s="1873"/>
      <c r="B7" s="1874"/>
      <c r="C7" s="2327">
        <f>COVER!A13</f>
        <v>28006340026</v>
      </c>
      <c r="D7" s="2327"/>
      <c r="E7" s="2327"/>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t="s">
        <v>2091</v>
      </c>
      <c r="D24" s="1888" t="s">
        <v>2091</v>
      </c>
      <c r="E24" s="1891"/>
      <c r="F24" s="1890" t="s">
        <v>2101</v>
      </c>
      <c r="H24" s="1901">
        <f t="shared" si="0"/>
        <v>5</v>
      </c>
      <c r="I24" s="1901">
        <f t="shared" si="1"/>
        <v>5</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2091</v>
      </c>
      <c r="D26" s="1888" t="s">
        <v>2091</v>
      </c>
      <c r="E26" s="1891"/>
      <c r="F26" s="1890" t="s">
        <v>2102</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2091</v>
      </c>
      <c r="D31" s="1888" t="s">
        <v>2091</v>
      </c>
      <c r="E31" s="1891"/>
      <c r="F31" s="1890" t="s">
        <v>2103</v>
      </c>
      <c r="H31" s="1901">
        <f t="shared" si="0"/>
        <v>5</v>
      </c>
      <c r="I31" s="1901">
        <f t="shared" si="1"/>
        <v>5</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15</v>
      </c>
      <c r="I34" s="1901">
        <f>SUM(I11:I32)</f>
        <v>15</v>
      </c>
      <c r="J34" s="1901">
        <f>SUM(J11:J32)</f>
        <v>0</v>
      </c>
      <c r="K34" s="1901">
        <f>SUM(H34:J34)</f>
        <v>30</v>
      </c>
    </row>
    <row r="35" spans="1:11" ht="12" customHeight="1" x14ac:dyDescent="0.2">
      <c r="A35" s="1894" t="s">
        <v>1459</v>
      </c>
      <c r="B35" s="1895"/>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6"/>
      <c r="B39" s="1896"/>
      <c r="C39" s="1896"/>
      <c r="D39" s="1896"/>
      <c r="E39" s="1896"/>
      <c r="F39" s="1896"/>
    </row>
    <row r="40" spans="1:11" s="1893" customFormat="1" ht="12" customHeight="1" x14ac:dyDescent="0.25">
      <c r="A40" s="1897" t="s">
        <v>1458</v>
      </c>
      <c r="B40" s="1898"/>
      <c r="C40" s="2317"/>
      <c r="D40" s="2317"/>
      <c r="E40" s="2317"/>
      <c r="F40" s="2318"/>
      <c r="H40" s="1902"/>
      <c r="I40" s="1902"/>
      <c r="J40" s="1902"/>
      <c r="K40" s="1902"/>
    </row>
    <row r="41" spans="1:11" s="1893" customFormat="1" ht="12" customHeight="1" x14ac:dyDescent="0.25">
      <c r="A41" s="2319"/>
      <c r="B41" s="2320"/>
      <c r="C41" s="2320"/>
      <c r="D41" s="2320"/>
      <c r="E41" s="2320"/>
      <c r="F41" s="2321"/>
      <c r="H41" s="1902"/>
      <c r="I41" s="1902"/>
      <c r="J41" s="1902"/>
      <c r="K41" s="1902"/>
    </row>
    <row r="42" spans="1:11" s="1893" customFormat="1" ht="12" customHeight="1" x14ac:dyDescent="0.25">
      <c r="A42" s="2319"/>
      <c r="B42" s="2320"/>
      <c r="C42" s="2320"/>
      <c r="D42" s="2320"/>
      <c r="E42" s="2320"/>
      <c r="F42" s="2321"/>
      <c r="H42" s="1902"/>
      <c r="I42" s="1902"/>
      <c r="J42" s="1902"/>
      <c r="K42" s="1902"/>
    </row>
    <row r="43" spans="1:11" s="1893" customFormat="1" ht="15" x14ac:dyDescent="0.25">
      <c r="A43" s="2308"/>
      <c r="B43" s="2309"/>
      <c r="C43" s="2309"/>
      <c r="D43" s="2309"/>
      <c r="E43" s="2309"/>
      <c r="F43" s="2310"/>
      <c r="H43" s="1902"/>
      <c r="I43" s="1902"/>
      <c r="J43" s="1902"/>
      <c r="K43" s="1902"/>
    </row>
    <row r="44" spans="1:11" s="1893" customFormat="1" ht="12" hidden="1" customHeight="1" x14ac:dyDescent="0.25">
      <c r="A44" s="2308"/>
      <c r="B44" s="2309"/>
      <c r="C44" s="2309"/>
      <c r="D44" s="2309"/>
      <c r="E44" s="2309"/>
      <c r="F44" s="2310"/>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5" t="str">
        <f>COVER!A17</f>
        <v>Bureau Valley CUSD 340</v>
      </c>
      <c r="J6" s="2336"/>
      <c r="Q6" s="1686"/>
    </row>
    <row r="7" spans="1:17" x14ac:dyDescent="0.2">
      <c r="A7" s="2337" t="s">
        <v>924</v>
      </c>
      <c r="B7" s="2338"/>
      <c r="C7" s="2338"/>
      <c r="D7" s="2338"/>
      <c r="E7" s="2339"/>
      <c r="F7" s="1018"/>
      <c r="G7" s="1010"/>
      <c r="H7" s="1017" t="s">
        <v>390</v>
      </c>
      <c r="I7" s="2340">
        <f>COVER!A13</f>
        <v>28006340026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147459</v>
      </c>
      <c r="F12" s="1040"/>
      <c r="G12" s="1834">
        <f t="shared" ref="G12:G18" si="0">SUM(E12:F12)</f>
        <v>147459</v>
      </c>
      <c r="H12" s="1041">
        <v>138064</v>
      </c>
      <c r="I12" s="1040"/>
      <c r="J12" s="1834">
        <f t="shared" ref="J12:J18" si="1">SUM(H12:I12)</f>
        <v>138064</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22703</v>
      </c>
      <c r="F16" s="1040"/>
      <c r="G16" s="1834">
        <f t="shared" si="0"/>
        <v>22703</v>
      </c>
      <c r="H16" s="1041">
        <v>22900</v>
      </c>
      <c r="I16" s="1040"/>
      <c r="J16" s="1834">
        <f t="shared" si="1"/>
        <v>22900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170162</v>
      </c>
      <c r="F19" s="1836">
        <f t="shared" si="2"/>
        <v>0</v>
      </c>
      <c r="G19" s="1836">
        <f t="shared" si="2"/>
        <v>170162</v>
      </c>
      <c r="H19" s="1836">
        <f t="shared" si="2"/>
        <v>160964</v>
      </c>
      <c r="I19" s="1836">
        <f t="shared" si="2"/>
        <v>0</v>
      </c>
      <c r="J19" s="1836">
        <f t="shared" si="2"/>
        <v>160964</v>
      </c>
    </row>
    <row r="20" spans="1:10" ht="13.5" thickTop="1" x14ac:dyDescent="0.2">
      <c r="A20" s="1036">
        <v>9</v>
      </c>
      <c r="B20" s="2347" t="s">
        <v>1703</v>
      </c>
      <c r="C20" s="2347"/>
      <c r="D20" s="2348"/>
      <c r="E20" s="1047"/>
      <c r="F20" s="1047"/>
      <c r="G20" s="1047"/>
      <c r="H20" s="1047"/>
      <c r="I20" s="1047"/>
      <c r="J20" s="1837">
        <f>IF(AND(G19&gt;0,J19&gt;0),(((J19-G19)/G19)),"Enter Budget Data")</f>
        <v>-5.4054371716364409E-2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20" sqref="B2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2135</v>
      </c>
    </row>
    <row r="6" spans="1:2" x14ac:dyDescent="0.2">
      <c r="A6" s="1069">
        <v>2</v>
      </c>
      <c r="B6" s="329" t="s">
        <v>2136</v>
      </c>
    </row>
    <row r="7" spans="1:2" x14ac:dyDescent="0.2">
      <c r="A7" s="1069">
        <v>3</v>
      </c>
      <c r="B7" s="329" t="s">
        <v>2137</v>
      </c>
    </row>
    <row r="8" spans="1:2" x14ac:dyDescent="0.2">
      <c r="A8" s="1069"/>
      <c r="B8" s="329" t="s">
        <v>2138</v>
      </c>
    </row>
    <row r="9" spans="1:2" x14ac:dyDescent="0.2">
      <c r="A9" s="1070"/>
      <c r="B9" s="329" t="s">
        <v>2139</v>
      </c>
    </row>
    <row r="10" spans="1:2" x14ac:dyDescent="0.2">
      <c r="A10" s="1069">
        <v>4</v>
      </c>
      <c r="B10" s="329" t="s">
        <v>2140</v>
      </c>
    </row>
    <row r="11" spans="1:2" x14ac:dyDescent="0.2">
      <c r="A11" s="1069">
        <v>5</v>
      </c>
      <c r="B11" s="329" t="s">
        <v>2141</v>
      </c>
    </row>
    <row r="12" spans="1:2" x14ac:dyDescent="0.2">
      <c r="A12" s="1069">
        <v>6</v>
      </c>
      <c r="B12" s="329" t="s">
        <v>2142</v>
      </c>
    </row>
    <row r="13" spans="1:2" x14ac:dyDescent="0.2">
      <c r="A13" s="1069">
        <v>7</v>
      </c>
      <c r="B13" s="329" t="s">
        <v>2143</v>
      </c>
    </row>
    <row r="14" spans="1:2" x14ac:dyDescent="0.2">
      <c r="A14" s="1069">
        <v>8</v>
      </c>
      <c r="B14" s="329" t="s">
        <v>2144</v>
      </c>
    </row>
    <row r="15" spans="1:2" x14ac:dyDescent="0.2">
      <c r="A15" s="1069">
        <v>9</v>
      </c>
      <c r="B15" s="329" t="s">
        <v>2145</v>
      </c>
    </row>
    <row r="16" spans="1:2" x14ac:dyDescent="0.2">
      <c r="A16" s="1069">
        <v>10</v>
      </c>
      <c r="B16" s="329" t="s">
        <v>2146</v>
      </c>
    </row>
    <row r="17" spans="1:2" x14ac:dyDescent="0.2">
      <c r="A17" s="1070"/>
      <c r="B17" s="329" t="s">
        <v>2147</v>
      </c>
    </row>
    <row r="18" spans="1:2" x14ac:dyDescent="0.2">
      <c r="A18" s="1070"/>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Bureau Valley CUSD 340</v>
      </c>
    </row>
    <row r="65" spans="2:2" x14ac:dyDescent="0.2">
      <c r="B65" s="1071">
        <f>COVER!A13</f>
        <v>28006340026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9"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2:F18"/>
  <sheetViews>
    <sheetView showGridLines="0" zoomScale="110" zoomScaleNormal="110" workbookViewId="0">
      <selection activeCell="B22" sqref="B22"/>
    </sheetView>
  </sheetViews>
  <sheetFormatPr defaultColWidth="9.140625" defaultRowHeight="12.75" x14ac:dyDescent="0.2"/>
  <cols>
    <col min="1" max="1" width="1.85546875" style="329" customWidth="1"/>
    <col min="2" max="2" width="59.7109375" style="329" customWidth="1"/>
    <col min="3" max="16384" width="9.140625" style="329"/>
  </cols>
  <sheetData>
    <row r="2" spans="1:6" x14ac:dyDescent="0.2">
      <c r="B2" s="1956"/>
    </row>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8627291</v>
      </c>
      <c r="C8" s="1838">
        <f>'Acct Summary 7-8'!D8</f>
        <v>1342104</v>
      </c>
      <c r="D8" s="1838">
        <f>'Acct Summary 7-8'!F8</f>
        <v>1180992</v>
      </c>
      <c r="E8" s="1838">
        <f>'Acct Summary 7-8'!I8</f>
        <v>71800</v>
      </c>
      <c r="F8" s="1838">
        <f>SUM(B8:E8)</f>
        <v>11222187</v>
      </c>
    </row>
    <row r="9" spans="1:8" s="1080" customFormat="1" ht="14.25" customHeight="1" thickBot="1" x14ac:dyDescent="0.25">
      <c r="A9" s="1079" t="s">
        <v>1436</v>
      </c>
      <c r="B9" s="1839">
        <f>'Acct Summary 7-8'!C17</f>
        <v>8570314</v>
      </c>
      <c r="C9" s="1839">
        <f>'Acct Summary 7-8'!D17</f>
        <v>1787302</v>
      </c>
      <c r="D9" s="1839">
        <f>'Acct Summary 7-8'!F17</f>
        <v>1015679</v>
      </c>
      <c r="E9" s="1838"/>
      <c r="F9" s="1838">
        <f>SUM(B9:E9)</f>
        <v>11373295</v>
      </c>
    </row>
    <row r="10" spans="1:8" s="1080" customFormat="1" ht="14.25" thickTop="1" thickBot="1" x14ac:dyDescent="0.25">
      <c r="A10" s="1081" t="s">
        <v>1437</v>
      </c>
      <c r="B10" s="1840">
        <f>(B8-B9)</f>
        <v>56977</v>
      </c>
      <c r="C10" s="1840">
        <f>(C8-C9)</f>
        <v>-445198</v>
      </c>
      <c r="D10" s="1840">
        <f>(D8-D9)</f>
        <v>165313</v>
      </c>
      <c r="E10" s="1839">
        <f>(E8-E9)</f>
        <v>71800</v>
      </c>
      <c r="F10" s="1841">
        <f>SUM(F8-F9)</f>
        <v>-151108</v>
      </c>
    </row>
    <row r="11" spans="1:8" s="1080" customFormat="1" ht="14.25" thickTop="1" thickBot="1" x14ac:dyDescent="0.25">
      <c r="A11" s="1082" t="s">
        <v>1785</v>
      </c>
      <c r="B11" s="1842">
        <f>'Acct Summary 7-8'!C81</f>
        <v>219553</v>
      </c>
      <c r="C11" s="1842">
        <f>'Acct Summary 7-8'!D81</f>
        <v>102197</v>
      </c>
      <c r="D11" s="1842">
        <f>'Acct Summary 7-8'!F81</f>
        <v>281040</v>
      </c>
      <c r="E11" s="1842">
        <f>'Acct Summary 7-8'!I81</f>
        <v>624290</v>
      </c>
      <c r="F11" s="1843">
        <f>SUM(B11:E11)</f>
        <v>1227080</v>
      </c>
    </row>
    <row r="12" spans="1:8" ht="16.5" customHeight="1" thickTop="1" x14ac:dyDescent="0.2">
      <c r="A12" s="1083"/>
      <c r="B12" s="1084"/>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C69" sqref="C6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ERROR!</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28006340026</v>
      </c>
    </row>
    <row r="3" spans="1:2" x14ac:dyDescent="0.2">
      <c r="A3" t="s">
        <v>1013</v>
      </c>
      <c r="B3" s="138" t="str">
        <f>COVER!A15</f>
        <v>BUREAU</v>
      </c>
    </row>
    <row r="4" spans="1:2" x14ac:dyDescent="0.2">
      <c r="A4" t="s">
        <v>1064</v>
      </c>
      <c r="B4" s="138" t="str">
        <f>COVER!A17</f>
        <v>Bureau Valley CUSD 340</v>
      </c>
    </row>
    <row r="5" spans="1:2" x14ac:dyDescent="0.2">
      <c r="A5" t="s">
        <v>728</v>
      </c>
      <c r="B5" s="138" t="str">
        <f>COVER!A38</f>
        <v xml:space="preserve">ERIC LAWSON </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066-004501</v>
      </c>
    </row>
    <row r="16" spans="1:2" x14ac:dyDescent="0.2">
      <c r="A16" t="s">
        <v>442</v>
      </c>
      <c r="B16" s="138" t="str">
        <f>COVER!T13</f>
        <v>HOPKINS &amp; ASSOCIATES, CPAS</v>
      </c>
    </row>
    <row r="17" spans="1:2" x14ac:dyDescent="0.2">
      <c r="A17" t="s">
        <v>939</v>
      </c>
      <c r="B17" s="138" t="str">
        <f>COVER!T15</f>
        <v>JOEL HOPKINS</v>
      </c>
    </row>
    <row r="18" spans="1:2" x14ac:dyDescent="0.2">
      <c r="A18" t="s">
        <v>1212</v>
      </c>
      <c r="B18" s="138" t="str">
        <f>COVER!T17</f>
        <v>314 S MCCOY ST</v>
      </c>
    </row>
    <row r="19" spans="1:2" x14ac:dyDescent="0.2">
      <c r="A19" t="s">
        <v>941</v>
      </c>
      <c r="B19" s="138" t="str">
        <f>COVER!T25</f>
        <v>JOELHOPKINS@MSN.COM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225776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6223</v>
      </c>
      <c r="C91" s="2" t="s">
        <v>594</v>
      </c>
      <c r="D91" s="2" t="str">
        <f t="shared" si="0"/>
        <v>Error?</v>
      </c>
    </row>
    <row r="92" spans="1:4" x14ac:dyDescent="0.2">
      <c r="A92" s="5">
        <v>31</v>
      </c>
      <c r="B92" s="138">
        <f>'Assets-Liab 5-6'!C39</f>
        <v>186993</v>
      </c>
      <c r="D92" s="2" t="str">
        <f t="shared" si="0"/>
        <v>Error?</v>
      </c>
    </row>
    <row r="93" spans="1:4" x14ac:dyDescent="0.2">
      <c r="A93" s="5">
        <v>32</v>
      </c>
      <c r="B93" s="138">
        <f>'Assets-Liab 5-6'!C41</f>
        <v>225776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102197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102197</v>
      </c>
      <c r="D123" s="2" t="str">
        <f t="shared" si="0"/>
        <v>Error?</v>
      </c>
    </row>
    <row r="124" spans="1:4" x14ac:dyDescent="0.2">
      <c r="A124" s="5">
        <v>63</v>
      </c>
      <c r="B124" s="138">
        <f>'Assets-Liab 5-6'!D41</f>
        <v>102197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121250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121250</v>
      </c>
      <c r="D140" s="2" t="str">
        <f t="shared" si="1"/>
        <v>Error?</v>
      </c>
    </row>
    <row r="141" spans="1:4" x14ac:dyDescent="0.2">
      <c r="A141" s="5">
        <v>80</v>
      </c>
      <c r="B141" s="138">
        <f>'Assets-Liab 5-6'!E41</f>
        <v>121250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281040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281040</v>
      </c>
      <c r="D170" s="2" t="str">
        <f t="shared" si="1"/>
        <v>Error?</v>
      </c>
    </row>
    <row r="171" spans="1:4" x14ac:dyDescent="0.2">
      <c r="A171" s="5">
        <v>110</v>
      </c>
      <c r="B171" s="138">
        <f>'Assets-Liab 5-6'!F41</f>
        <v>281040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166640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126509</v>
      </c>
      <c r="D189" s="2" t="str">
        <f t="shared" si="1"/>
        <v>Error?</v>
      </c>
    </row>
    <row r="190" spans="1:4" x14ac:dyDescent="0.2">
      <c r="A190" s="5">
        <v>129</v>
      </c>
      <c r="B190" s="138">
        <f>'Assets-Liab 5-6'!G41</f>
        <v>166640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11289800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11289800</v>
      </c>
      <c r="D212" s="2" t="str">
        <f t="shared" si="2"/>
        <v>Error?</v>
      </c>
    </row>
    <row r="213" spans="1:4" x14ac:dyDescent="0.2">
      <c r="A213" s="12">
        <v>152</v>
      </c>
      <c r="B213" s="138">
        <f>'Assets-Liab 5-6'!H41</f>
        <v>11289800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754625</v>
      </c>
      <c r="D273" s="2" t="str">
        <f t="shared" si="3"/>
        <v>Error?</v>
      </c>
    </row>
    <row r="274" spans="1:4" x14ac:dyDescent="0.2">
      <c r="A274" s="5">
        <v>213</v>
      </c>
      <c r="B274" s="138">
        <f>'Assets-Liab 5-6'!M17</f>
        <v>18186127</v>
      </c>
      <c r="D274" s="2" t="str">
        <f t="shared" si="3"/>
        <v>Error?</v>
      </c>
    </row>
    <row r="275" spans="1:4" x14ac:dyDescent="0.2">
      <c r="A275" s="5">
        <v>214</v>
      </c>
      <c r="B275" s="138">
        <f>'Assets-Liab 5-6'!M18</f>
        <v>1878894</v>
      </c>
      <c r="D275" s="2" t="str">
        <f t="shared" si="3"/>
        <v>Error?</v>
      </c>
    </row>
    <row r="276" spans="1:4" x14ac:dyDescent="0.2">
      <c r="A276" s="5">
        <v>215</v>
      </c>
      <c r="B276" s="138">
        <f>'Assets-Liab 5-6'!M19</f>
        <v>4114768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25648427</v>
      </c>
      <c r="C279" s="2" t="s">
        <v>594</v>
      </c>
      <c r="D279" s="2" t="str">
        <f t="shared" si="3"/>
        <v>Error?</v>
      </c>
    </row>
    <row r="280" spans="1:4" x14ac:dyDescent="0.2">
      <c r="A280" s="5">
        <v>219</v>
      </c>
      <c r="B280" s="138">
        <f>'Assets-Liab 5-6'!M40</f>
        <v>25648427</v>
      </c>
      <c r="D280" s="2" t="str">
        <f t="shared" si="3"/>
        <v>Error?</v>
      </c>
    </row>
    <row r="281" spans="1:4" x14ac:dyDescent="0.2">
      <c r="A281" s="5">
        <v>220</v>
      </c>
      <c r="B281" s="138">
        <f>'Assets-Liab 5-6'!M41</f>
        <v>25648427</v>
      </c>
      <c r="C281" s="2" t="s">
        <v>594</v>
      </c>
      <c r="D281" s="2" t="str">
        <f t="shared" si="3"/>
        <v>Error?</v>
      </c>
    </row>
    <row r="282" spans="1:4" x14ac:dyDescent="0.2">
      <c r="A282" s="5">
        <v>221</v>
      </c>
      <c r="B282" s="138">
        <f>'Assets-Liab 5-6'!N21</f>
        <v>121250</v>
      </c>
      <c r="D282" s="2" t="str">
        <f t="shared" si="3"/>
        <v>Error?</v>
      </c>
    </row>
    <row r="283" spans="1:4" x14ac:dyDescent="0.2">
      <c r="A283" s="5">
        <v>222</v>
      </c>
      <c r="B283" s="138">
        <f>'Assets-Liab 5-6'!N22</f>
        <v>12176055</v>
      </c>
      <c r="D283" s="2" t="str">
        <f t="shared" si="3"/>
        <v>Error?</v>
      </c>
    </row>
    <row r="284" spans="1:4" x14ac:dyDescent="0.2">
      <c r="A284" s="5">
        <v>223</v>
      </c>
      <c r="B284" s="138">
        <f>'Assets-Liab 5-6'!N23</f>
        <v>12297305</v>
      </c>
      <c r="C284" s="2" t="s">
        <v>594</v>
      </c>
      <c r="D284" s="2" t="str">
        <f t="shared" si="3"/>
        <v>Error?</v>
      </c>
    </row>
    <row r="285" spans="1:4" x14ac:dyDescent="0.2">
      <c r="A285" s="5">
        <v>224</v>
      </c>
      <c r="B285" s="138">
        <f>'Assets-Liab 5-6'!N36</f>
        <v>12297305</v>
      </c>
      <c r="D285" s="2" t="str">
        <f t="shared" si="3"/>
        <v>Error?</v>
      </c>
    </row>
    <row r="286" spans="1:4" x14ac:dyDescent="0.2">
      <c r="A286" s="10">
        <v>225</v>
      </c>
      <c r="D286" s="2" t="str">
        <f t="shared" si="3"/>
        <v>OK</v>
      </c>
    </row>
    <row r="287" spans="1:4" x14ac:dyDescent="0.2">
      <c r="A287" s="5">
        <v>226</v>
      </c>
      <c r="B287" s="138">
        <f>'Assets-Liab 5-6'!N37</f>
        <v>12297305</v>
      </c>
      <c r="C287" s="2" t="s">
        <v>594</v>
      </c>
      <c r="D287" s="2" t="str">
        <f t="shared" si="3"/>
        <v>Error?</v>
      </c>
    </row>
    <row r="288" spans="1:4" x14ac:dyDescent="0.2">
      <c r="A288" s="5">
        <v>227</v>
      </c>
      <c r="B288" s="138">
        <f>'Assets-Liab 5-6'!N41</f>
        <v>12297305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44760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12000000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3190324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153212</v>
      </c>
      <c r="D717" s="2" t="str">
        <f t="shared" si="10"/>
        <v>Error?</v>
      </c>
    </row>
    <row r="718" spans="1:4" x14ac:dyDescent="0.2">
      <c r="A718" s="5">
        <v>657</v>
      </c>
      <c r="B718" s="138">
        <f>'Expenditures 15-22'!C14</f>
        <v>204026</v>
      </c>
      <c r="D718" s="2" t="str">
        <f t="shared" si="10"/>
        <v>Error?</v>
      </c>
    </row>
    <row r="719" spans="1:4" x14ac:dyDescent="0.2">
      <c r="A719" s="5">
        <v>658</v>
      </c>
      <c r="B719" s="138">
        <f>'Expenditures 15-22'!C15</f>
        <v>546</v>
      </c>
      <c r="D719" s="2" t="str">
        <f t="shared" si="10"/>
        <v>Error?</v>
      </c>
    </row>
    <row r="720" spans="1:4" x14ac:dyDescent="0.2">
      <c r="A720" s="5">
        <v>659</v>
      </c>
      <c r="B720" s="138">
        <f>'Expenditures 15-22'!C33</f>
        <v>5076790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149320</v>
      </c>
      <c r="D722" s="2" t="str">
        <f t="shared" si="10"/>
        <v>Error?</v>
      </c>
    </row>
    <row r="723" spans="1:4" x14ac:dyDescent="0.2">
      <c r="A723" s="5">
        <v>662</v>
      </c>
      <c r="B723" s="138">
        <f>'Expenditures 15-22'!C38</f>
        <v>22500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82819</v>
      </c>
      <c r="D725" s="2" t="str">
        <f t="shared" si="10"/>
        <v>Error?</v>
      </c>
    </row>
    <row r="726" spans="1:4" x14ac:dyDescent="0.2">
      <c r="A726" s="5">
        <v>665</v>
      </c>
      <c r="B726" s="138">
        <f>'Expenditures 15-22'!C41</f>
        <v>6406</v>
      </c>
      <c r="D726" s="2" t="str">
        <f t="shared" si="10"/>
        <v>Error?</v>
      </c>
    </row>
    <row r="727" spans="1:4" x14ac:dyDescent="0.2">
      <c r="A727" s="5">
        <v>666</v>
      </c>
      <c r="B727" s="138">
        <f>'Expenditures 15-22'!C42</f>
        <v>261045</v>
      </c>
      <c r="C727" s="2" t="s">
        <v>594</v>
      </c>
      <c r="D727" s="2" t="str">
        <f t="shared" si="10"/>
        <v>Error?</v>
      </c>
    </row>
    <row r="728" spans="1:4" x14ac:dyDescent="0.2">
      <c r="A728" s="5">
        <v>667</v>
      </c>
      <c r="B728" s="138">
        <f>'Expenditures 15-22'!C44</f>
        <v>22422</v>
      </c>
      <c r="D728" s="2" t="str">
        <f t="shared" si="10"/>
        <v>Error?</v>
      </c>
    </row>
    <row r="729" spans="1:4" x14ac:dyDescent="0.2">
      <c r="A729" s="5">
        <v>668</v>
      </c>
      <c r="B729" s="138">
        <f>'Expenditures 15-22'!C45</f>
        <v>49872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72294</v>
      </c>
      <c r="C731" s="2" t="s">
        <v>594</v>
      </c>
      <c r="D731" s="2" t="str">
        <f t="shared" si="10"/>
        <v>Error?</v>
      </c>
    </row>
    <row r="732" spans="1:4" x14ac:dyDescent="0.2">
      <c r="A732" s="5">
        <v>671</v>
      </c>
      <c r="B732" s="138">
        <f>'Expenditures 15-22'!C49</f>
        <v>2985</v>
      </c>
      <c r="D732" s="2" t="str">
        <f t="shared" si="10"/>
        <v>Error?</v>
      </c>
    </row>
    <row r="733" spans="1:4" x14ac:dyDescent="0.2">
      <c r="A733" s="5">
        <v>672</v>
      </c>
      <c r="B733" s="138">
        <f>'Expenditures 15-22'!C50</f>
        <v>125029</v>
      </c>
      <c r="D733" s="2" t="str">
        <f t="shared" si="10"/>
        <v>Error?</v>
      </c>
    </row>
    <row r="734" spans="1:4" x14ac:dyDescent="0.2">
      <c r="A734" s="5">
        <v>673</v>
      </c>
      <c r="B734" s="138">
        <f>'Expenditures 15-22'!C53</f>
        <v>128014</v>
      </c>
      <c r="C734" s="2" t="s">
        <v>594</v>
      </c>
      <c r="D734" s="2" t="str">
        <f t="shared" si="10"/>
        <v>Error?</v>
      </c>
    </row>
    <row r="735" spans="1:4" x14ac:dyDescent="0.2">
      <c r="A735" s="5">
        <v>674</v>
      </c>
      <c r="B735" s="138">
        <f>'Expenditures 15-22'!C55</f>
        <v>447884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447884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53453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217107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270560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5400</v>
      </c>
      <c r="D749" s="2" t="str">
        <f t="shared" si="10"/>
        <v>Error?</v>
      </c>
    </row>
    <row r="750" spans="1:4" x14ac:dyDescent="0.2">
      <c r="A750" s="10">
        <v>689</v>
      </c>
      <c r="D750" s="2" t="str">
        <f t="shared" si="10"/>
        <v>OK</v>
      </c>
    </row>
    <row r="751" spans="1:4" x14ac:dyDescent="0.2">
      <c r="A751" s="5">
        <v>690</v>
      </c>
      <c r="B751" s="138">
        <f>'Expenditures 15-22'!C71</f>
        <v>50241</v>
      </c>
      <c r="D751" s="2" t="str">
        <f t="shared" si="10"/>
        <v>Error?</v>
      </c>
    </row>
    <row r="752" spans="1:4" x14ac:dyDescent="0.2">
      <c r="A752" s="10">
        <v>691</v>
      </c>
      <c r="D752" s="2" t="str">
        <f t="shared" si="10"/>
        <v>OK</v>
      </c>
    </row>
    <row r="753" spans="1:4" x14ac:dyDescent="0.2">
      <c r="A753" s="5">
        <v>692</v>
      </c>
      <c r="B753" s="138">
        <f>'Expenditures 15-22'!C72</f>
        <v>55641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1235438</v>
      </c>
      <c r="C755" s="2" t="s">
        <v>594</v>
      </c>
      <c r="D755" s="2" t="str">
        <f t="shared" si="10"/>
        <v>Error?</v>
      </c>
    </row>
    <row r="756" spans="1:4" x14ac:dyDescent="0.2">
      <c r="A756" s="5">
        <v>695</v>
      </c>
      <c r="B756" s="138">
        <f>'Expenditures 15-22'!C75</f>
        <v>26533</v>
      </c>
      <c r="D756" s="2" t="str">
        <f t="shared" si="10"/>
        <v>Error?</v>
      </c>
    </row>
    <row r="757" spans="1:4" x14ac:dyDescent="0.2">
      <c r="A757" s="5">
        <v>696</v>
      </c>
      <c r="B757" s="138">
        <f>'Expenditures 15-22'!C114</f>
        <v>6338761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312141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16998</v>
      </c>
      <c r="D775" s="2" t="str">
        <f t="shared" si="11"/>
        <v>Error?</v>
      </c>
    </row>
    <row r="776" spans="1:4" x14ac:dyDescent="0.2">
      <c r="A776" s="5">
        <v>715</v>
      </c>
      <c r="B776" s="138">
        <f>'Expenditures 15-22'!D14</f>
        <v>1501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444132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16365</v>
      </c>
      <c r="D780" s="2" t="str">
        <f t="shared" si="11"/>
        <v>Error?</v>
      </c>
    </row>
    <row r="781" spans="1:4" x14ac:dyDescent="0.2">
      <c r="A781" s="5">
        <v>720</v>
      </c>
      <c r="B781" s="138">
        <f>'Expenditures 15-22'!D38</f>
        <v>32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10921</v>
      </c>
      <c r="D783" s="2" t="str">
        <f t="shared" si="11"/>
        <v>Error?</v>
      </c>
    </row>
    <row r="784" spans="1:4" x14ac:dyDescent="0.2">
      <c r="A784" s="5">
        <v>723</v>
      </c>
      <c r="B784" s="138">
        <f>'Expenditures 15-22'!D41</f>
        <v>50</v>
      </c>
      <c r="D784" s="2" t="str">
        <f t="shared" si="11"/>
        <v>Error?</v>
      </c>
    </row>
    <row r="785" spans="1:4" x14ac:dyDescent="0.2">
      <c r="A785" s="5">
        <v>724</v>
      </c>
      <c r="B785" s="138">
        <f>'Expenditures 15-22'!D42</f>
        <v>27368</v>
      </c>
      <c r="C785" s="2" t="s">
        <v>594</v>
      </c>
      <c r="D785" s="2" t="str">
        <f t="shared" si="11"/>
        <v>Error?</v>
      </c>
    </row>
    <row r="786" spans="1:4" x14ac:dyDescent="0.2">
      <c r="A786" s="5">
        <v>725</v>
      </c>
      <c r="B786" s="138">
        <f>'Expenditures 15-22'!D44</f>
        <v>15801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15801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12134</v>
      </c>
      <c r="D791" s="2" t="str">
        <f t="shared" si="11"/>
        <v>Error?</v>
      </c>
    </row>
    <row r="792" spans="1:4" x14ac:dyDescent="0.2">
      <c r="A792" s="5">
        <v>731</v>
      </c>
      <c r="B792" s="138">
        <f>'Expenditures 15-22'!D53</f>
        <v>12134</v>
      </c>
      <c r="C792" s="2" t="s">
        <v>594</v>
      </c>
      <c r="D792" s="2" t="str">
        <f t="shared" si="11"/>
        <v>Error?</v>
      </c>
    </row>
    <row r="793" spans="1:4" x14ac:dyDescent="0.2">
      <c r="A793" s="5">
        <v>732</v>
      </c>
      <c r="B793" s="138">
        <f>'Expenditures 15-22'!D55</f>
        <v>39635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39635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4078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10156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14234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624</v>
      </c>
      <c r="D807" s="2" t="str">
        <f t="shared" si="11"/>
        <v>Error?</v>
      </c>
    </row>
    <row r="808" spans="1:4" x14ac:dyDescent="0.2">
      <c r="A808" s="10">
        <v>747</v>
      </c>
      <c r="D808" s="2" t="str">
        <f t="shared" si="11"/>
        <v>OK</v>
      </c>
    </row>
    <row r="809" spans="1:4" x14ac:dyDescent="0.2">
      <c r="A809" s="5">
        <v>748</v>
      </c>
      <c r="B809" s="138">
        <f>'Expenditures 15-22'!D71</f>
        <v>6941</v>
      </c>
      <c r="D809" s="2" t="str">
        <f t="shared" si="11"/>
        <v>Error?</v>
      </c>
    </row>
    <row r="810" spans="1:4" x14ac:dyDescent="0.2">
      <c r="A810" s="10">
        <v>749</v>
      </c>
      <c r="D810" s="2" t="str">
        <f t="shared" si="11"/>
        <v>OK</v>
      </c>
    </row>
    <row r="811" spans="1:4" x14ac:dyDescent="0.2">
      <c r="A811" s="5">
        <v>750</v>
      </c>
      <c r="B811" s="138">
        <f>'Expenditures 15-22'!D72</f>
        <v>7565</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116737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560869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76222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1801</v>
      </c>
      <c r="D833" s="2" t="str">
        <f t="shared" si="12"/>
        <v>Error?</v>
      </c>
    </row>
    <row r="834" spans="1:4" x14ac:dyDescent="0.2">
      <c r="A834" s="5">
        <v>773</v>
      </c>
      <c r="B834" s="138">
        <f>'Expenditures 15-22'!E14</f>
        <v>31542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132034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30989</v>
      </c>
      <c r="D844" s="2" t="str">
        <f t="shared" si="12"/>
        <v>Error?</v>
      </c>
    </row>
    <row r="845" spans="1:4" x14ac:dyDescent="0.2">
      <c r="A845" s="5">
        <v>784</v>
      </c>
      <c r="B845" s="138">
        <f>'Expenditures 15-22'!E45</f>
        <v>5552</v>
      </c>
      <c r="D845" s="2" t="str">
        <f t="shared" si="12"/>
        <v>Error?</v>
      </c>
    </row>
    <row r="846" spans="1:4" x14ac:dyDescent="0.2">
      <c r="A846" s="5">
        <v>785</v>
      </c>
      <c r="B846" s="138">
        <f>'Expenditures 15-22'!E46</f>
        <v>14609</v>
      </c>
      <c r="D846" s="2" t="str">
        <f t="shared" si="12"/>
        <v>Error?</v>
      </c>
    </row>
    <row r="847" spans="1:4" x14ac:dyDescent="0.2">
      <c r="A847" s="5">
        <v>786</v>
      </c>
      <c r="B847" s="138">
        <f>'Expenditures 15-22'!E47</f>
        <v>51150</v>
      </c>
      <c r="C847" s="2" t="s">
        <v>594</v>
      </c>
      <c r="D847" s="2" t="str">
        <f t="shared" si="12"/>
        <v>Error?</v>
      </c>
    </row>
    <row r="848" spans="1:4" x14ac:dyDescent="0.2">
      <c r="A848" s="5">
        <v>787</v>
      </c>
      <c r="B848" s="138">
        <f>'Expenditures 15-22'!E49</f>
        <v>34154</v>
      </c>
      <c r="D848" s="2" t="str">
        <f t="shared" si="12"/>
        <v>Error?</v>
      </c>
    </row>
    <row r="849" spans="1:4" x14ac:dyDescent="0.2">
      <c r="A849" s="5">
        <v>788</v>
      </c>
      <c r="B849" s="138">
        <f>'Expenditures 15-22'!E50</f>
        <v>5543</v>
      </c>
      <c r="D849" s="2" t="str">
        <f t="shared" si="12"/>
        <v>Error?</v>
      </c>
    </row>
    <row r="850" spans="1:4" x14ac:dyDescent="0.2">
      <c r="A850" s="5">
        <v>789</v>
      </c>
      <c r="B850" s="138">
        <f>'Expenditures 15-22'!E53</f>
        <v>39697</v>
      </c>
      <c r="C850" s="2" t="s">
        <v>594</v>
      </c>
      <c r="D850" s="2" t="str">
        <f t="shared" si="12"/>
        <v>Error?</v>
      </c>
    </row>
    <row r="851" spans="1:4" x14ac:dyDescent="0.2">
      <c r="A851" s="5">
        <v>790</v>
      </c>
      <c r="B851" s="138">
        <f>'Expenditures 15-22'!E55</f>
        <v>13980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13980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14071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5969</v>
      </c>
      <c r="D858" s="2" t="str">
        <f t="shared" si="12"/>
        <v>Error?</v>
      </c>
    </row>
    <row r="859" spans="1:4" x14ac:dyDescent="0.2">
      <c r="A859" s="5">
        <v>798</v>
      </c>
      <c r="B859" s="138">
        <f>'Expenditures 15-22'!E64</f>
        <v>22703</v>
      </c>
      <c r="D859" s="2" t="str">
        <f t="shared" si="12"/>
        <v>Error?</v>
      </c>
    </row>
    <row r="860" spans="1:4" x14ac:dyDescent="0.2">
      <c r="A860" s="10">
        <v>799</v>
      </c>
      <c r="D860" s="2" t="str">
        <f t="shared" si="12"/>
        <v>OK</v>
      </c>
    </row>
    <row r="861" spans="1:4" x14ac:dyDescent="0.2">
      <c r="A861" s="5">
        <v>800</v>
      </c>
      <c r="B861" s="138">
        <f>'Expenditures 15-22'!E65</f>
        <v>42743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20488</v>
      </c>
      <c r="D867" s="2" t="str">
        <f t="shared" si="12"/>
        <v>Error?</v>
      </c>
    </row>
    <row r="868" spans="1:4" x14ac:dyDescent="0.2">
      <c r="A868" s="10">
        <v>807</v>
      </c>
      <c r="D868" s="2" t="str">
        <f t="shared" si="12"/>
        <v>OK</v>
      </c>
    </row>
    <row r="869" spans="1:4" x14ac:dyDescent="0.2">
      <c r="A869" s="5">
        <v>808</v>
      </c>
      <c r="B869" s="138">
        <f>'Expenditures 15-22'!E72</f>
        <v>20488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168058</v>
      </c>
      <c r="C871" s="2" t="s">
        <v>594</v>
      </c>
      <c r="D871" s="2" t="str">
        <f t="shared" si="12"/>
        <v>Error?</v>
      </c>
    </row>
    <row r="872" spans="1:4" x14ac:dyDescent="0.2">
      <c r="A872" s="5">
        <v>811</v>
      </c>
      <c r="B872" s="138">
        <f>'Expenditures 15-22'!E75</f>
        <v>4825</v>
      </c>
      <c r="D872" s="2" t="str">
        <f t="shared" si="12"/>
        <v>Error?</v>
      </c>
    </row>
    <row r="873" spans="1:4" x14ac:dyDescent="0.2">
      <c r="A873" s="5">
        <v>812</v>
      </c>
      <c r="B873" s="138">
        <f>'Expenditures 15-22'!E114</f>
        <v>447041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77154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14872</v>
      </c>
      <c r="D891" s="2" t="str">
        <f t="shared" si="12"/>
        <v>Error?</v>
      </c>
    </row>
    <row r="892" spans="1:4" x14ac:dyDescent="0.2">
      <c r="A892" s="5">
        <v>831</v>
      </c>
      <c r="B892" s="138">
        <f>'Expenditures 15-22'!F14</f>
        <v>33677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168206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24607</v>
      </c>
      <c r="D902" s="2" t="str">
        <f t="shared" si="13"/>
        <v>Error?</v>
      </c>
    </row>
    <row r="903" spans="1:4" x14ac:dyDescent="0.2">
      <c r="A903" s="5">
        <v>842</v>
      </c>
      <c r="B903" s="138">
        <f>'Expenditures 15-22'!F45</f>
        <v>9748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34355</v>
      </c>
      <c r="C905" s="2" t="s">
        <v>594</v>
      </c>
      <c r="D905" s="2" t="str">
        <f t="shared" si="13"/>
        <v>Error?</v>
      </c>
    </row>
    <row r="906" spans="1:4" x14ac:dyDescent="0.2">
      <c r="A906" s="5">
        <v>845</v>
      </c>
      <c r="B906" s="138">
        <f>'Expenditures 15-22'!F49</f>
        <v>8490</v>
      </c>
      <c r="D906" s="2" t="str">
        <f t="shared" si="13"/>
        <v>Error?</v>
      </c>
    </row>
    <row r="907" spans="1:4" x14ac:dyDescent="0.2">
      <c r="A907" s="5">
        <v>846</v>
      </c>
      <c r="B907" s="138">
        <f>'Expenditures 15-22'!F50</f>
        <v>2376</v>
      </c>
      <c r="D907" s="2" t="str">
        <f t="shared" si="13"/>
        <v>Error?</v>
      </c>
    </row>
    <row r="908" spans="1:4" x14ac:dyDescent="0.2">
      <c r="A908" s="5">
        <v>847</v>
      </c>
      <c r="B908" s="138">
        <f>'Expenditures 15-22'!F53</f>
        <v>10866</v>
      </c>
      <c r="C908" s="2" t="s">
        <v>594</v>
      </c>
      <c r="D908" s="2" t="str">
        <f t="shared" si="13"/>
        <v>Error?</v>
      </c>
    </row>
    <row r="909" spans="1:4" x14ac:dyDescent="0.2">
      <c r="A909" s="5">
        <v>848</v>
      </c>
      <c r="B909" s="138">
        <f>'Expenditures 15-22'!F55</f>
        <v>26791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26791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1141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317596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318737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13643</v>
      </c>
      <c r="D925" s="2" t="str">
        <f t="shared" si="13"/>
        <v>Error?</v>
      </c>
    </row>
    <row r="926" spans="1:4" x14ac:dyDescent="0.2">
      <c r="A926" s="10">
        <v>865</v>
      </c>
      <c r="D926" s="2" t="str">
        <f t="shared" si="13"/>
        <v>OK</v>
      </c>
    </row>
    <row r="927" spans="1:4" x14ac:dyDescent="0.2">
      <c r="A927" s="5">
        <v>866</v>
      </c>
      <c r="B927" s="138">
        <f>'Expenditures 15-22'!F72</f>
        <v>13643</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404392</v>
      </c>
      <c r="C929" s="2" t="s">
        <v>594</v>
      </c>
      <c r="D929" s="2" t="str">
        <f t="shared" si="13"/>
        <v>Error?</v>
      </c>
    </row>
    <row r="930" spans="1:4" x14ac:dyDescent="0.2">
      <c r="A930" s="5">
        <v>869</v>
      </c>
      <c r="B930" s="138">
        <f>'Expenditures 15-22'!F75</f>
        <v>2025</v>
      </c>
      <c r="D930" s="2" t="str">
        <f t="shared" si="13"/>
        <v>Error?</v>
      </c>
    </row>
    <row r="931" spans="1:4" x14ac:dyDescent="0.2">
      <c r="A931" s="5">
        <v>870</v>
      </c>
      <c r="B931" s="138">
        <f>'Expenditures 15-22'!F114</f>
        <v>574623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17554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23007</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23007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28064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28064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28918</v>
      </c>
      <c r="D983" s="2" t="str">
        <f t="shared" si="14"/>
        <v>Error?</v>
      </c>
    </row>
    <row r="984" spans="1:4" x14ac:dyDescent="0.2">
      <c r="A984" s="10">
        <v>923</v>
      </c>
      <c r="D984" s="2" t="str">
        <f t="shared" si="14"/>
        <v>OK</v>
      </c>
    </row>
    <row r="985" spans="1:4" x14ac:dyDescent="0.2">
      <c r="A985" s="5">
        <v>924</v>
      </c>
      <c r="B985" s="138">
        <f>'Expenditures 15-22'!G72</f>
        <v>28918</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79989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97543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14355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307376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3156</v>
      </c>
      <c r="D1022" s="2" t="str">
        <f t="shared" si="14"/>
        <v>Error?</v>
      </c>
    </row>
    <row r="1023" spans="1:4" x14ac:dyDescent="0.2">
      <c r="A1023" s="5">
        <v>962</v>
      </c>
      <c r="B1023" s="138">
        <f>'Expenditures 15-22'!H50</f>
        <v>2377</v>
      </c>
      <c r="D1023" s="2" t="str">
        <f t="shared" ref="D1023:D1086" si="15">IF(ISBLANK(B1023),"OK",IF(A1023-B1023=0,"OK","Error?"))</f>
        <v>Error?</v>
      </c>
    </row>
    <row r="1024" spans="1:4" x14ac:dyDescent="0.2">
      <c r="A1024" s="5">
        <v>963</v>
      </c>
      <c r="B1024" s="138">
        <f>'Expenditures 15-22'!H53</f>
        <v>5533</v>
      </c>
      <c r="C1024" s="2" t="s">
        <v>594</v>
      </c>
      <c r="D1024" s="2" t="str">
        <f t="shared" si="15"/>
        <v>Error?</v>
      </c>
    </row>
    <row r="1025" spans="1:4" x14ac:dyDescent="0.2">
      <c r="A1025" s="5">
        <v>964</v>
      </c>
      <c r="B1025" s="138">
        <f>'Expenditures 15-22'!H55</f>
        <v>3180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3180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1177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1177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9890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212341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529607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3677711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186883</v>
      </c>
      <c r="C1105" s="2" t="s">
        <v>594</v>
      </c>
      <c r="D1105" s="2" t="str">
        <f t="shared" si="16"/>
        <v>Error?</v>
      </c>
    </row>
    <row r="1106" spans="1:4" x14ac:dyDescent="0.2">
      <c r="A1106" s="5">
        <v>1045</v>
      </c>
      <c r="B1106" s="138">
        <f>'Expenditures 15-22'!K14</f>
        <v>285101</v>
      </c>
      <c r="C1106" s="2" t="s">
        <v>594</v>
      </c>
      <c r="D1106" s="2" t="str">
        <f t="shared" si="16"/>
        <v>Error?</v>
      </c>
    </row>
    <row r="1107" spans="1:4" x14ac:dyDescent="0.2">
      <c r="A1107" s="5">
        <v>1046</v>
      </c>
      <c r="B1107" s="138">
        <f>'Expenditures 15-22'!K15</f>
        <v>546</v>
      </c>
      <c r="C1107" s="2" t="s">
        <v>594</v>
      </c>
      <c r="D1107" s="2" t="str">
        <f t="shared" si="16"/>
        <v>Error?</v>
      </c>
    </row>
    <row r="1108" spans="1:4" x14ac:dyDescent="0.2">
      <c r="A1108" s="5">
        <v>1047</v>
      </c>
      <c r="B1108" s="138">
        <f>'Expenditures 15-22'!K33</f>
        <v>6167962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165685</v>
      </c>
      <c r="C1110" s="2" t="s">
        <v>594</v>
      </c>
      <c r="D1110" s="2" t="str">
        <f t="shared" si="16"/>
        <v>Error?</v>
      </c>
    </row>
    <row r="1111" spans="1:4" x14ac:dyDescent="0.2">
      <c r="A1111" s="5">
        <v>1050</v>
      </c>
      <c r="B1111" s="138">
        <f>'Expenditures 15-22'!K38</f>
        <v>22532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93740</v>
      </c>
      <c r="C1113" s="2" t="s">
        <v>594</v>
      </c>
      <c r="D1113" s="2" t="str">
        <f t="shared" si="16"/>
        <v>Error?</v>
      </c>
    </row>
    <row r="1114" spans="1:4" x14ac:dyDescent="0.2">
      <c r="A1114" s="5">
        <v>1053</v>
      </c>
      <c r="B1114" s="138">
        <f>'Expenditures 15-22'!K41</f>
        <v>6456</v>
      </c>
      <c r="C1114" s="2" t="s">
        <v>594</v>
      </c>
      <c r="D1114" s="2" t="str">
        <f t="shared" si="16"/>
        <v>Error?</v>
      </c>
    </row>
    <row r="1115" spans="1:4" x14ac:dyDescent="0.2">
      <c r="A1115" s="5">
        <v>1054</v>
      </c>
      <c r="B1115" s="138">
        <f>'Expenditures 15-22'!K42</f>
        <v>288413</v>
      </c>
      <c r="C1115" s="2" t="s">
        <v>594</v>
      </c>
      <c r="D1115" s="2" t="str">
        <f t="shared" si="16"/>
        <v>Error?</v>
      </c>
    </row>
    <row r="1116" spans="1:4" x14ac:dyDescent="0.2">
      <c r="A1116" s="5">
        <v>1055</v>
      </c>
      <c r="B1116" s="138">
        <f>'Expenditures 15-22'!K44</f>
        <v>116826</v>
      </c>
      <c r="C1116" s="2" t="s">
        <v>594</v>
      </c>
      <c r="D1116" s="2" t="str">
        <f t="shared" si="16"/>
        <v>Error?</v>
      </c>
    </row>
    <row r="1117" spans="1:4" x14ac:dyDescent="0.2">
      <c r="A1117" s="5">
        <v>1056</v>
      </c>
      <c r="B1117" s="138">
        <f>'Expenditures 15-22'!K45</f>
        <v>65172</v>
      </c>
      <c r="C1117" s="2" t="s">
        <v>594</v>
      </c>
      <c r="D1117" s="2" t="str">
        <f t="shared" si="16"/>
        <v>Error?</v>
      </c>
    </row>
    <row r="1118" spans="1:4" x14ac:dyDescent="0.2">
      <c r="A1118" s="5">
        <v>1057</v>
      </c>
      <c r="B1118" s="138">
        <f>'Expenditures 15-22'!K46</f>
        <v>14609</v>
      </c>
      <c r="C1118" s="2" t="s">
        <v>594</v>
      </c>
      <c r="D1118" s="2" t="str">
        <f t="shared" si="16"/>
        <v>Error?</v>
      </c>
    </row>
    <row r="1119" spans="1:4" x14ac:dyDescent="0.2">
      <c r="A1119" s="5">
        <v>1058</v>
      </c>
      <c r="B1119" s="138">
        <f>'Expenditures 15-22'!K47</f>
        <v>196607</v>
      </c>
      <c r="C1119" s="2" t="s">
        <v>594</v>
      </c>
      <c r="D1119" s="2" t="str">
        <f t="shared" si="16"/>
        <v>Error?</v>
      </c>
    </row>
    <row r="1120" spans="1:4" x14ac:dyDescent="0.2">
      <c r="A1120" s="5">
        <v>1059</v>
      </c>
      <c r="B1120" s="138">
        <f>'Expenditures 15-22'!K49</f>
        <v>48785</v>
      </c>
      <c r="C1120" s="2" t="s">
        <v>594</v>
      </c>
      <c r="D1120" s="2" t="str">
        <f t="shared" si="16"/>
        <v>Error?</v>
      </c>
    </row>
    <row r="1121" spans="1:4" x14ac:dyDescent="0.2">
      <c r="A1121" s="5">
        <v>1060</v>
      </c>
      <c r="B1121" s="138">
        <f>'Expenditures 15-22'!K50</f>
        <v>147459</v>
      </c>
      <c r="C1121" s="2" t="s">
        <v>594</v>
      </c>
      <c r="D1121" s="2" t="str">
        <f t="shared" si="16"/>
        <v>Error?</v>
      </c>
    </row>
    <row r="1122" spans="1:4" x14ac:dyDescent="0.2">
      <c r="A1122" s="5">
        <v>1061</v>
      </c>
      <c r="B1122" s="138">
        <f>'Expenditures 15-22'!K53</f>
        <v>196244</v>
      </c>
      <c r="C1122" s="2" t="s">
        <v>594</v>
      </c>
      <c r="D1122" s="2" t="str">
        <f t="shared" si="16"/>
        <v>Error?</v>
      </c>
    </row>
    <row r="1123" spans="1:4" x14ac:dyDescent="0.2">
      <c r="A1123" s="5">
        <v>1062</v>
      </c>
      <c r="B1123" s="138">
        <f>'Expenditures 15-22'!K55</f>
        <v>531470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531470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72743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580069</v>
      </c>
      <c r="C1130" s="2" t="s">
        <v>594</v>
      </c>
      <c r="D1130" s="2" t="str">
        <f t="shared" si="16"/>
        <v>Error?</v>
      </c>
    </row>
    <row r="1131" spans="1:4" x14ac:dyDescent="0.2">
      <c r="A1131" s="5">
        <v>1070</v>
      </c>
      <c r="B1131" s="138">
        <f>'Expenditures 15-22'!K64</f>
        <v>22703</v>
      </c>
      <c r="C1131" s="2" t="s">
        <v>594</v>
      </c>
      <c r="D1131" s="2" t="str">
        <f t="shared" si="16"/>
        <v>Error?</v>
      </c>
    </row>
    <row r="1132" spans="1:4" x14ac:dyDescent="0.2">
      <c r="A1132" s="10">
        <v>1071</v>
      </c>
      <c r="D1132" s="2" t="str">
        <f t="shared" si="16"/>
        <v>OK</v>
      </c>
    </row>
    <row r="1133" spans="1:4" x14ac:dyDescent="0.2">
      <c r="A1133" s="5">
        <v>1072</v>
      </c>
      <c r="B1133" s="138">
        <f>'Expenditures 15-22'!K65</f>
        <v>675515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6024</v>
      </c>
      <c r="C1137" s="2" t="s">
        <v>594</v>
      </c>
      <c r="D1137" s="2" t="str">
        <f t="shared" si="16"/>
        <v>Error?</v>
      </c>
    </row>
    <row r="1138" spans="1:4" x14ac:dyDescent="0.2">
      <c r="A1138" s="10">
        <v>1077</v>
      </c>
      <c r="D1138" s="2" t="str">
        <f t="shared" si="16"/>
        <v>OK</v>
      </c>
    </row>
    <row r="1139" spans="1:4" x14ac:dyDescent="0.2">
      <c r="A1139" s="5">
        <v>1078</v>
      </c>
      <c r="B1139" s="138">
        <f>'Expenditures 15-22'!K71</f>
        <v>120231</v>
      </c>
      <c r="C1139" s="2" t="s">
        <v>594</v>
      </c>
      <c r="D1139" s="2" t="str">
        <f t="shared" si="16"/>
        <v>Error?</v>
      </c>
    </row>
    <row r="1140" spans="1:4" x14ac:dyDescent="0.2">
      <c r="A1140" s="10">
        <v>1079</v>
      </c>
      <c r="D1140" s="2" t="str">
        <f t="shared" si="16"/>
        <v>OK</v>
      </c>
    </row>
    <row r="1141" spans="1:4" x14ac:dyDescent="0.2">
      <c r="A1141" s="5">
        <v>1080</v>
      </c>
      <c r="B1141" s="138">
        <f>'Expenditures 15-22'!K72</f>
        <v>126255</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2014504</v>
      </c>
      <c r="C1143" s="2" t="s">
        <v>594</v>
      </c>
      <c r="D1143" s="2" t="str">
        <f t="shared" si="16"/>
        <v>Error?</v>
      </c>
    </row>
    <row r="1144" spans="1:4" x14ac:dyDescent="0.2">
      <c r="A1144" s="5">
        <v>1083</v>
      </c>
      <c r="B1144" s="138">
        <f>'Expenditures 15-22'!K75</f>
        <v>33383</v>
      </c>
      <c r="C1144" s="2" t="s">
        <v>594</v>
      </c>
      <c r="D1144" s="2" t="str">
        <f t="shared" si="16"/>
        <v>Error?</v>
      </c>
    </row>
    <row r="1145" spans="1:4" x14ac:dyDescent="0.2">
      <c r="A1145" s="5">
        <v>1084</v>
      </c>
      <c r="B1145" s="138">
        <f>'Expenditures 15-22'!K102</f>
        <v>354465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8570314</v>
      </c>
      <c r="C1152" s="2" t="s">
        <v>594</v>
      </c>
      <c r="D1152" s="2" t="str">
        <f t="shared" si="17"/>
        <v>Error?</v>
      </c>
    </row>
    <row r="1153" spans="1:4" x14ac:dyDescent="0.2">
      <c r="A1153" s="5">
        <v>1092</v>
      </c>
      <c r="B1153" s="138">
        <f>'Expenditures 15-22'!K115</f>
        <v>56977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358436</v>
      </c>
      <c r="D1221" s="2" t="str">
        <f t="shared" si="18"/>
        <v>Error?</v>
      </c>
    </row>
    <row r="1222" spans="1:4" x14ac:dyDescent="0.2">
      <c r="A1222" s="10">
        <v>1161</v>
      </c>
      <c r="D1222" s="2" t="str">
        <f t="shared" si="18"/>
        <v>OK</v>
      </c>
    </row>
    <row r="1223" spans="1:4" x14ac:dyDescent="0.2">
      <c r="A1223" s="5">
        <v>1162</v>
      </c>
      <c r="B1223" s="138">
        <f>'Expenditures 15-22'!C127</f>
        <v>358436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358436</v>
      </c>
      <c r="C1225" s="2" t="s">
        <v>594</v>
      </c>
      <c r="D1225" s="2" t="str">
        <f t="shared" si="18"/>
        <v>Error?</v>
      </c>
    </row>
    <row r="1226" spans="1:4" x14ac:dyDescent="0.2">
      <c r="A1226" s="5">
        <v>1165</v>
      </c>
      <c r="B1226" s="138">
        <f>'Expenditures 15-22'!C151</f>
        <v>358436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41262</v>
      </c>
      <c r="D1229" s="2" t="str">
        <f t="shared" si="18"/>
        <v>Error?</v>
      </c>
    </row>
    <row r="1230" spans="1:4" x14ac:dyDescent="0.2">
      <c r="A1230" s="10">
        <v>1169</v>
      </c>
      <c r="D1230" s="2" t="str">
        <f t="shared" si="18"/>
        <v>OK</v>
      </c>
    </row>
    <row r="1231" spans="1:4" x14ac:dyDescent="0.2">
      <c r="A1231" s="5">
        <v>1170</v>
      </c>
      <c r="B1231" s="138">
        <f>'Expenditures 15-22'!D127</f>
        <v>41262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41262</v>
      </c>
      <c r="C1233" s="2" t="s">
        <v>594</v>
      </c>
      <c r="D1233" s="2" t="str">
        <f t="shared" si="18"/>
        <v>Error?</v>
      </c>
    </row>
    <row r="1234" spans="1:4" x14ac:dyDescent="0.2">
      <c r="A1234" s="5">
        <v>1173</v>
      </c>
      <c r="B1234" s="138">
        <f>'Expenditures 15-22'!D151</f>
        <v>41262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985728</v>
      </c>
      <c r="D1237" s="2" t="str">
        <f t="shared" si="18"/>
        <v>Error?</v>
      </c>
    </row>
    <row r="1238" spans="1:4" x14ac:dyDescent="0.2">
      <c r="A1238" s="10">
        <v>1177</v>
      </c>
      <c r="D1238" s="2" t="str">
        <f t="shared" si="18"/>
        <v>OK</v>
      </c>
    </row>
    <row r="1239" spans="1:4" x14ac:dyDescent="0.2">
      <c r="A1239" s="5">
        <v>1178</v>
      </c>
      <c r="B1239" s="138">
        <f>'Expenditures 15-22'!E127</f>
        <v>985728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985728</v>
      </c>
      <c r="C1241" s="2" t="s">
        <v>594</v>
      </c>
      <c r="D1241" s="2" t="str">
        <f t="shared" si="18"/>
        <v>Error?</v>
      </c>
    </row>
    <row r="1242" spans="1:4" x14ac:dyDescent="0.2">
      <c r="A1242" s="5">
        <v>1181</v>
      </c>
      <c r="B1242" s="138">
        <f>'Expenditures 15-22'!E151</f>
        <v>985728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350742</v>
      </c>
      <c r="D1245" s="2" t="str">
        <f t="shared" si="18"/>
        <v>Error?</v>
      </c>
    </row>
    <row r="1246" spans="1:4" x14ac:dyDescent="0.2">
      <c r="A1246" s="10">
        <v>1185</v>
      </c>
      <c r="D1246" s="2" t="str">
        <f t="shared" si="18"/>
        <v>OK</v>
      </c>
    </row>
    <row r="1247" spans="1:4" x14ac:dyDescent="0.2">
      <c r="A1247" s="5">
        <v>1186</v>
      </c>
      <c r="B1247" s="138">
        <f>'Expenditures 15-22'!F127</f>
        <v>350742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350742</v>
      </c>
      <c r="C1249" s="2" t="s">
        <v>594</v>
      </c>
      <c r="D1249" s="2" t="str">
        <f t="shared" si="18"/>
        <v>Error?</v>
      </c>
    </row>
    <row r="1250" spans="1:4" x14ac:dyDescent="0.2">
      <c r="A1250" s="5">
        <v>1189</v>
      </c>
      <c r="B1250" s="138">
        <f>'Expenditures 15-22'!F151</f>
        <v>350742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41298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41298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41298</v>
      </c>
      <c r="C1258" s="2" t="s">
        <v>594</v>
      </c>
      <c r="D1258" s="2" t="str">
        <f t="shared" si="18"/>
        <v>Error?</v>
      </c>
    </row>
    <row r="1259" spans="1:4" x14ac:dyDescent="0.2">
      <c r="A1259" s="5">
        <v>1198</v>
      </c>
      <c r="B1259" s="138">
        <f>'Expenditures 15-22'!G151</f>
        <v>41298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9836</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9836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1777466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1777466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1777466</v>
      </c>
      <c r="C1281" s="2" t="s">
        <v>594</v>
      </c>
      <c r="D1281" s="2" t="str">
        <f t="shared" si="19"/>
        <v>Error?</v>
      </c>
    </row>
    <row r="1282" spans="1:4" x14ac:dyDescent="0.2">
      <c r="A1282" s="5">
        <v>1221</v>
      </c>
      <c r="B1282" s="138">
        <f>'Expenditures 15-22'!K139</f>
        <v>9836</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1787302</v>
      </c>
      <c r="C1288" s="2" t="s">
        <v>594</v>
      </c>
      <c r="D1288" s="2" t="str">
        <f t="shared" si="19"/>
        <v>Error?</v>
      </c>
    </row>
    <row r="1289" spans="1:4" x14ac:dyDescent="0.2">
      <c r="A1289" s="5">
        <v>1228</v>
      </c>
      <c r="B1289" s="138">
        <f>'Expenditures 15-22'!K152</f>
        <v>-445198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48346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1255000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1303846</v>
      </c>
      <c r="C1317" s="2" t="s">
        <v>594</v>
      </c>
      <c r="D1317" s="2" t="str">
        <f t="shared" si="19"/>
        <v>Error?</v>
      </c>
    </row>
    <row r="1318" spans="1:4" x14ac:dyDescent="0.2">
      <c r="A1318" s="5">
        <v>1257</v>
      </c>
      <c r="B1318" s="138">
        <f>'Expenditures 15-22'!H174</f>
        <v>1303846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48346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1255000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1303846</v>
      </c>
      <c r="C1331" s="2" t="s">
        <v>594</v>
      </c>
      <c r="D1331" s="2" t="str">
        <f t="shared" si="19"/>
        <v>Error?</v>
      </c>
    </row>
    <row r="1332" spans="1:4" x14ac:dyDescent="0.2">
      <c r="A1332" s="5">
        <v>1271</v>
      </c>
      <c r="B1332" s="138">
        <f>'Expenditures 15-22'!K174</f>
        <v>1303846</v>
      </c>
      <c r="C1332" s="2" t="s">
        <v>594</v>
      </c>
      <c r="D1332" s="2" t="str">
        <f t="shared" si="19"/>
        <v>Error?</v>
      </c>
    </row>
    <row r="1333" spans="1:4" x14ac:dyDescent="0.2">
      <c r="A1333" s="5">
        <v>1272</v>
      </c>
      <c r="B1333" s="138">
        <f>'Expenditures 15-22'!K175</f>
        <v>-21864</v>
      </c>
      <c r="C1333" s="2" t="s">
        <v>594</v>
      </c>
      <c r="D1333" s="2" t="str">
        <f t="shared" si="19"/>
        <v>Error?</v>
      </c>
    </row>
    <row r="1334" spans="1:4" x14ac:dyDescent="0.2">
      <c r="A1334" s="10">
        <v>1273</v>
      </c>
      <c r="D1334" s="2" t="str">
        <f t="shared" si="19"/>
        <v>OK</v>
      </c>
    </row>
    <row r="1335" spans="1:4" x14ac:dyDescent="0.2">
      <c r="A1335" s="5">
        <v>1274</v>
      </c>
      <c r="B1335" s="138">
        <f>'Expenditures 15-22'!C182</f>
        <v>671024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671024</v>
      </c>
      <c r="C1339" s="2" t="s">
        <v>594</v>
      </c>
      <c r="D1339" s="2" t="str">
        <f t="shared" si="19"/>
        <v>Error?</v>
      </c>
    </row>
    <row r="1340" spans="1:4" x14ac:dyDescent="0.2">
      <c r="A1340" s="5">
        <v>1279</v>
      </c>
      <c r="B1340" s="138">
        <f>'Expenditures 15-22'!C210</f>
        <v>671024</v>
      </c>
      <c r="C1340" s="2" t="s">
        <v>594</v>
      </c>
      <c r="D1340" s="2" t="str">
        <f t="shared" si="19"/>
        <v>Error?</v>
      </c>
    </row>
    <row r="1341" spans="1:4" x14ac:dyDescent="0.2">
      <c r="A1341" s="5">
        <v>1280</v>
      </c>
      <c r="B1341" s="138">
        <f>'Expenditures 15-22'!D182</f>
        <v>13585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13585</v>
      </c>
      <c r="C1345" s="2" t="s">
        <v>594</v>
      </c>
      <c r="D1345" s="2" t="str">
        <f t="shared" si="20"/>
        <v>Error?</v>
      </c>
    </row>
    <row r="1346" spans="1:4" x14ac:dyDescent="0.2">
      <c r="A1346" s="5">
        <v>1285</v>
      </c>
      <c r="B1346" s="138">
        <f>'Expenditures 15-22'!D210</f>
        <v>13585</v>
      </c>
      <c r="C1346" s="2" t="s">
        <v>594</v>
      </c>
      <c r="D1346" s="2" t="str">
        <f t="shared" si="20"/>
        <v>Error?</v>
      </c>
    </row>
    <row r="1347" spans="1:4" x14ac:dyDescent="0.2">
      <c r="A1347" s="5">
        <v>1286</v>
      </c>
      <c r="B1347" s="138">
        <f>'Expenditures 15-22'!E182</f>
        <v>59008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59008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59008</v>
      </c>
      <c r="C1353" s="2" t="s">
        <v>594</v>
      </c>
      <c r="D1353" s="2" t="str">
        <f t="shared" si="20"/>
        <v>Error?</v>
      </c>
    </row>
    <row r="1354" spans="1:4" x14ac:dyDescent="0.2">
      <c r="A1354" s="5">
        <v>1293</v>
      </c>
      <c r="B1354" s="138">
        <f>'Expenditures 15-22'!F182</f>
        <v>240230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240230</v>
      </c>
      <c r="C1358" s="2" t="s">
        <v>594</v>
      </c>
      <c r="D1358" s="2" t="str">
        <f t="shared" si="20"/>
        <v>Error?</v>
      </c>
    </row>
    <row r="1359" spans="1:4" x14ac:dyDescent="0.2">
      <c r="A1359" s="5">
        <v>1298</v>
      </c>
      <c r="B1359" s="138">
        <f>'Expenditures 15-22'!F210</f>
        <v>240230</v>
      </c>
      <c r="C1359" s="2" t="s">
        <v>594</v>
      </c>
      <c r="D1359" s="2" t="str">
        <f t="shared" si="20"/>
        <v>Error?</v>
      </c>
    </row>
    <row r="1360" spans="1:4" x14ac:dyDescent="0.2">
      <c r="A1360" s="5">
        <v>1299</v>
      </c>
      <c r="B1360" s="138">
        <f>'Expenditures 15-22'!G182</f>
        <v>7032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7032</v>
      </c>
      <c r="C1364" s="2" t="s">
        <v>594</v>
      </c>
      <c r="D1364" s="2" t="str">
        <f t="shared" si="20"/>
        <v>Error?</v>
      </c>
    </row>
    <row r="1365" spans="1:4" x14ac:dyDescent="0.2">
      <c r="A1365" s="5">
        <v>1304</v>
      </c>
      <c r="B1365" s="138">
        <f>'Expenditures 15-22'!G210</f>
        <v>7032</v>
      </c>
      <c r="C1365" s="2" t="s">
        <v>594</v>
      </c>
      <c r="D1365" s="2" t="str">
        <f t="shared" si="20"/>
        <v>Error?</v>
      </c>
    </row>
    <row r="1366" spans="1:4" x14ac:dyDescent="0.2">
      <c r="A1366" s="5">
        <v>1305</v>
      </c>
      <c r="B1366" s="138">
        <f>'Expenditures 15-22'!H182</f>
        <v>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24735</v>
      </c>
      <c r="C1375" s="2" t="s">
        <v>594</v>
      </c>
      <c r="D1375" s="2" t="str">
        <f t="shared" si="20"/>
        <v>Error?</v>
      </c>
    </row>
    <row r="1376" spans="1:4" x14ac:dyDescent="0.2">
      <c r="A1376" s="5">
        <v>1315</v>
      </c>
      <c r="B1376" s="138">
        <f>'Expenditures 15-22'!H210</f>
        <v>24800</v>
      </c>
      <c r="C1376" s="2" t="s">
        <v>594</v>
      </c>
      <c r="D1376" s="2" t="str">
        <f t="shared" si="20"/>
        <v>Error?</v>
      </c>
    </row>
    <row r="1377" spans="1:4" x14ac:dyDescent="0.2">
      <c r="A1377" s="5">
        <v>1316</v>
      </c>
      <c r="B1377" s="138">
        <f>'Expenditures 15-22'!K182</f>
        <v>990944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990944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24735</v>
      </c>
      <c r="C1387" s="2" t="s">
        <v>594</v>
      </c>
      <c r="D1387" s="2" t="str">
        <f t="shared" si="20"/>
        <v>Error?</v>
      </c>
    </row>
    <row r="1388" spans="1:4" x14ac:dyDescent="0.2">
      <c r="A1388" s="5">
        <v>1327</v>
      </c>
      <c r="B1388" s="138">
        <f>'Expenditures 15-22'!K210</f>
        <v>1015679</v>
      </c>
      <c r="C1388" s="2" t="s">
        <v>594</v>
      </c>
      <c r="D1388" s="2" t="str">
        <f t="shared" si="20"/>
        <v>Error?</v>
      </c>
    </row>
    <row r="1389" spans="1:4" x14ac:dyDescent="0.2">
      <c r="A1389" s="5">
        <v>1328</v>
      </c>
      <c r="B1389" s="138">
        <f>'Expenditures 15-22'!K211</f>
        <v>165313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2326</v>
      </c>
      <c r="D1407" s="2" t="str">
        <f t="shared" ref="D1407:D1470" si="21">IF(ISBLANK(B1407),"OK",IF(A1407-B1407=0,"OK","Error?"))</f>
        <v>Error?</v>
      </c>
    </row>
    <row r="1408" spans="1:4" x14ac:dyDescent="0.2">
      <c r="A1408" s="5">
        <v>1347</v>
      </c>
      <c r="B1408" s="138">
        <f>'Expenditures 15-22'!D223</f>
        <v>8782</v>
      </c>
      <c r="D1408" s="2" t="str">
        <f t="shared" si="21"/>
        <v>Error?</v>
      </c>
    </row>
    <row r="1409" spans="1:4" x14ac:dyDescent="0.2">
      <c r="A1409" s="5">
        <v>1348</v>
      </c>
      <c r="B1409" s="138">
        <f>'Expenditures 15-22'!D224</f>
        <v>8</v>
      </c>
      <c r="D1409" s="2" t="str">
        <f t="shared" si="21"/>
        <v>Error?</v>
      </c>
    </row>
    <row r="1410" spans="1:4" x14ac:dyDescent="0.2">
      <c r="A1410" s="5">
        <v>1349</v>
      </c>
      <c r="B1410" s="138">
        <f>'Expenditures 15-22'!D229</f>
        <v>178736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2291</v>
      </c>
      <c r="D1412" s="2" t="str">
        <f t="shared" si="21"/>
        <v>Error?</v>
      </c>
    </row>
    <row r="1413" spans="1:4" x14ac:dyDescent="0.2">
      <c r="A1413" s="5">
        <v>1352</v>
      </c>
      <c r="B1413" s="138">
        <f>'Expenditures 15-22'!D234</f>
        <v>5515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1290</v>
      </c>
      <c r="D1415" s="2" t="str">
        <f t="shared" si="21"/>
        <v>Error?</v>
      </c>
    </row>
    <row r="1416" spans="1:4" x14ac:dyDescent="0.2">
      <c r="A1416" s="5">
        <v>1355</v>
      </c>
      <c r="B1416" s="138">
        <f>'Expenditures 15-22'!D237</f>
        <v>347</v>
      </c>
      <c r="D1416" s="2" t="str">
        <f t="shared" si="21"/>
        <v>Error?</v>
      </c>
    </row>
    <row r="1417" spans="1:4" x14ac:dyDescent="0.2">
      <c r="A1417" s="5">
        <v>1356</v>
      </c>
      <c r="B1417" s="138">
        <f>'Expenditures 15-22'!D238</f>
        <v>9443</v>
      </c>
      <c r="C1417" s="2" t="s">
        <v>594</v>
      </c>
      <c r="D1417" s="2" t="str">
        <f t="shared" si="21"/>
        <v>Error?</v>
      </c>
    </row>
    <row r="1418" spans="1:4" x14ac:dyDescent="0.2">
      <c r="A1418" s="5">
        <v>1357</v>
      </c>
      <c r="B1418" s="138">
        <f>'Expenditures 15-22'!D240</f>
        <v>822</v>
      </c>
      <c r="D1418" s="2" t="str">
        <f t="shared" si="21"/>
        <v>Error?</v>
      </c>
    </row>
    <row r="1419" spans="1:4" x14ac:dyDescent="0.2">
      <c r="A1419" s="5">
        <v>1358</v>
      </c>
      <c r="B1419" s="138">
        <f>'Expenditures 15-22'!D241</f>
        <v>8742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9564</v>
      </c>
      <c r="C1421" s="2" t="s">
        <v>594</v>
      </c>
      <c r="D1421" s="2" t="str">
        <f t="shared" si="21"/>
        <v>Error?</v>
      </c>
    </row>
    <row r="1422" spans="1:4" x14ac:dyDescent="0.2">
      <c r="A1422" s="5">
        <v>1361</v>
      </c>
      <c r="B1422" s="138">
        <f>'Expenditures 15-22'!D245</f>
        <v>423</v>
      </c>
      <c r="D1422" s="2" t="str">
        <f t="shared" si="21"/>
        <v>Error?</v>
      </c>
    </row>
    <row r="1423" spans="1:4" x14ac:dyDescent="0.2">
      <c r="A1423" s="5">
        <v>1362</v>
      </c>
      <c r="B1423" s="138">
        <f>'Expenditures 15-22'!D246</f>
        <v>10236</v>
      </c>
      <c r="D1423" s="2" t="str">
        <f t="shared" si="21"/>
        <v>Error?</v>
      </c>
    </row>
    <row r="1424" spans="1:4" x14ac:dyDescent="0.2">
      <c r="A1424" s="5">
        <v>1363</v>
      </c>
      <c r="B1424" s="138">
        <f>'Expenditures 15-22'!D257</f>
        <v>11631</v>
      </c>
      <c r="C1424" s="2" t="s">
        <v>594</v>
      </c>
      <c r="D1424" s="2" t="str">
        <f t="shared" si="21"/>
        <v>Error?</v>
      </c>
    </row>
    <row r="1425" spans="1:4" x14ac:dyDescent="0.2">
      <c r="A1425" s="5">
        <v>1364</v>
      </c>
      <c r="B1425" s="138">
        <f>'Expenditures 15-22'!D259</f>
        <v>45699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45699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10939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68376</v>
      </c>
      <c r="D1431" s="2" t="str">
        <f t="shared" si="21"/>
        <v>Error?</v>
      </c>
    </row>
    <row r="1432" spans="1:4" x14ac:dyDescent="0.2">
      <c r="A1432" s="5">
        <v>1371</v>
      </c>
      <c r="B1432" s="138">
        <f>'Expenditures 15-22'!D267</f>
        <v>114897</v>
      </c>
      <c r="D1432" s="2" t="str">
        <f t="shared" si="21"/>
        <v>Error?</v>
      </c>
    </row>
    <row r="1433" spans="1:4" x14ac:dyDescent="0.2">
      <c r="A1433" s="5">
        <v>1372</v>
      </c>
      <c r="B1433" s="138">
        <f>'Expenditures 15-22'!D268</f>
        <v>40370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234582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78</v>
      </c>
      <c r="D1440" s="2" t="str">
        <f t="shared" si="21"/>
        <v>Error?</v>
      </c>
    </row>
    <row r="1441" spans="1:4" x14ac:dyDescent="0.2">
      <c r="A1441" s="10">
        <v>1380</v>
      </c>
      <c r="D1441" s="2" t="str">
        <f t="shared" si="21"/>
        <v>OK</v>
      </c>
    </row>
    <row r="1442" spans="1:4" x14ac:dyDescent="0.2">
      <c r="A1442" s="5">
        <v>1381</v>
      </c>
      <c r="B1442" s="138">
        <f>'Expenditures 15-22'!D276</f>
        <v>10777</v>
      </c>
      <c r="D1442" s="2" t="str">
        <f t="shared" si="21"/>
        <v>Error?</v>
      </c>
    </row>
    <row r="1443" spans="1:4" x14ac:dyDescent="0.2">
      <c r="A1443" s="10">
        <v>1382</v>
      </c>
      <c r="D1443" s="2" t="str">
        <f t="shared" si="21"/>
        <v>OK</v>
      </c>
    </row>
    <row r="1444" spans="1:4" x14ac:dyDescent="0.2">
      <c r="A1444" s="5">
        <v>1383</v>
      </c>
      <c r="B1444" s="138">
        <f>'Expenditures 15-22'!D277</f>
        <v>10855</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321774</v>
      </c>
      <c r="C1446" s="2" t="s">
        <v>594</v>
      </c>
      <c r="D1446" s="2" t="str">
        <f t="shared" si="21"/>
        <v>Error?</v>
      </c>
    </row>
    <row r="1447" spans="1:4" x14ac:dyDescent="0.2">
      <c r="A1447" s="5">
        <v>1386</v>
      </c>
      <c r="B1447" s="138">
        <f>'Expenditures 15-22'!D280</f>
        <v>4542</v>
      </c>
      <c r="D1447" s="2" t="str">
        <f t="shared" si="21"/>
        <v>Error?</v>
      </c>
    </row>
    <row r="1448" spans="1:4" x14ac:dyDescent="0.2">
      <c r="A1448" s="5">
        <v>1387</v>
      </c>
      <c r="B1448" s="138">
        <f>'Expenditures 15-22'!D295</f>
        <v>505052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2326</v>
      </c>
      <c r="C1471" s="2" t="s">
        <v>594</v>
      </c>
      <c r="D1471" s="2" t="str">
        <f t="shared" ref="D1471:D1534" si="22">IF(ISBLANK(B1471),"OK",IF(A1471-B1471=0,"OK","Error?"))</f>
        <v>Error?</v>
      </c>
    </row>
    <row r="1472" spans="1:4" x14ac:dyDescent="0.2">
      <c r="A1472" s="5">
        <v>1411</v>
      </c>
      <c r="B1472" s="138">
        <f>'Expenditures 15-22'!K223</f>
        <v>8782</v>
      </c>
      <c r="C1472" s="2" t="s">
        <v>594</v>
      </c>
      <c r="D1472" s="2" t="str">
        <f t="shared" si="22"/>
        <v>Error?</v>
      </c>
    </row>
    <row r="1473" spans="1:4" x14ac:dyDescent="0.2">
      <c r="A1473" s="5">
        <v>1412</v>
      </c>
      <c r="B1473" s="138">
        <f>'Expenditures 15-22'!K224</f>
        <v>8</v>
      </c>
      <c r="C1473" s="2" t="s">
        <v>594</v>
      </c>
      <c r="D1473" s="2" t="str">
        <f t="shared" si="22"/>
        <v>Error?</v>
      </c>
    </row>
    <row r="1474" spans="1:4" x14ac:dyDescent="0.2">
      <c r="A1474" s="5">
        <v>1413</v>
      </c>
      <c r="B1474" s="138">
        <f>'Expenditures 15-22'!K229</f>
        <v>178736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2291</v>
      </c>
      <c r="C1476" s="2" t="s">
        <v>594</v>
      </c>
      <c r="D1476" s="2" t="str">
        <f t="shared" si="22"/>
        <v>Error?</v>
      </c>
    </row>
    <row r="1477" spans="1:4" x14ac:dyDescent="0.2">
      <c r="A1477" s="5">
        <v>1416</v>
      </c>
      <c r="B1477" s="138">
        <f>'Expenditures 15-22'!K234</f>
        <v>5515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1290</v>
      </c>
      <c r="C1479" s="2" t="s">
        <v>594</v>
      </c>
      <c r="D1479" s="2" t="str">
        <f t="shared" si="22"/>
        <v>Error?</v>
      </c>
    </row>
    <row r="1480" spans="1:4" x14ac:dyDescent="0.2">
      <c r="A1480" s="5">
        <v>1419</v>
      </c>
      <c r="B1480" s="138">
        <f>'Expenditures 15-22'!K237</f>
        <v>347</v>
      </c>
      <c r="C1480" s="2" t="s">
        <v>594</v>
      </c>
      <c r="D1480" s="2" t="str">
        <f t="shared" si="22"/>
        <v>Error?</v>
      </c>
    </row>
    <row r="1481" spans="1:4" x14ac:dyDescent="0.2">
      <c r="A1481" s="5">
        <v>1420</v>
      </c>
      <c r="B1481" s="138">
        <f>'Expenditures 15-22'!K238</f>
        <v>9443</v>
      </c>
      <c r="C1481" s="2" t="s">
        <v>594</v>
      </c>
      <c r="D1481" s="2" t="str">
        <f t="shared" si="22"/>
        <v>Error?</v>
      </c>
    </row>
    <row r="1482" spans="1:4" x14ac:dyDescent="0.2">
      <c r="A1482" s="5">
        <v>1421</v>
      </c>
      <c r="B1482" s="138">
        <f>'Expenditures 15-22'!K240</f>
        <v>822</v>
      </c>
      <c r="C1482" s="2" t="s">
        <v>594</v>
      </c>
      <c r="D1482" s="2" t="str">
        <f t="shared" si="22"/>
        <v>Error?</v>
      </c>
    </row>
    <row r="1483" spans="1:4" x14ac:dyDescent="0.2">
      <c r="A1483" s="5">
        <v>1422</v>
      </c>
      <c r="B1483" s="138">
        <f>'Expenditures 15-22'!K241</f>
        <v>8742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9564</v>
      </c>
      <c r="C1485" s="2" t="s">
        <v>594</v>
      </c>
      <c r="D1485" s="2" t="str">
        <f t="shared" si="22"/>
        <v>Error?</v>
      </c>
    </row>
    <row r="1486" spans="1:4" x14ac:dyDescent="0.2">
      <c r="A1486" s="5">
        <v>1425</v>
      </c>
      <c r="B1486" s="138">
        <f>'Expenditures 15-22'!K245</f>
        <v>423</v>
      </c>
      <c r="C1486" s="2" t="s">
        <v>594</v>
      </c>
      <c r="D1486" s="2" t="str">
        <f t="shared" si="22"/>
        <v>Error?</v>
      </c>
    </row>
    <row r="1487" spans="1:4" x14ac:dyDescent="0.2">
      <c r="A1487" s="5">
        <v>1426</v>
      </c>
      <c r="B1487" s="138">
        <f>'Expenditures 15-22'!K246</f>
        <v>10236</v>
      </c>
      <c r="C1487" s="2" t="s">
        <v>594</v>
      </c>
      <c r="D1487" s="2" t="str">
        <f t="shared" si="22"/>
        <v>Error?</v>
      </c>
    </row>
    <row r="1488" spans="1:4" x14ac:dyDescent="0.2">
      <c r="A1488" s="5">
        <v>1427</v>
      </c>
      <c r="B1488" s="138">
        <f>'Expenditures 15-22'!K257</f>
        <v>11631</v>
      </c>
      <c r="C1488" s="2" t="s">
        <v>594</v>
      </c>
      <c r="D1488" s="2" t="str">
        <f t="shared" si="22"/>
        <v>Error?</v>
      </c>
    </row>
    <row r="1489" spans="1:4" x14ac:dyDescent="0.2">
      <c r="A1489" s="5">
        <v>1428</v>
      </c>
      <c r="B1489" s="138">
        <f>'Expenditures 15-22'!K259</f>
        <v>45699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45699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10939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68376</v>
      </c>
      <c r="C1495" s="2" t="s">
        <v>594</v>
      </c>
      <c r="D1495" s="2" t="str">
        <f t="shared" si="22"/>
        <v>Error?</v>
      </c>
    </row>
    <row r="1496" spans="1:4" x14ac:dyDescent="0.2">
      <c r="A1496" s="5">
        <v>1435</v>
      </c>
      <c r="B1496" s="138">
        <f>'Expenditures 15-22'!K267</f>
        <v>114897</v>
      </c>
      <c r="C1496" s="2" t="s">
        <v>594</v>
      </c>
      <c r="D1496" s="2" t="str">
        <f t="shared" si="22"/>
        <v>Error?</v>
      </c>
    </row>
    <row r="1497" spans="1:4" x14ac:dyDescent="0.2">
      <c r="A1497" s="5">
        <v>1436</v>
      </c>
      <c r="B1497" s="138">
        <f>'Expenditures 15-22'!K268</f>
        <v>40370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234582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78</v>
      </c>
      <c r="C1504" s="2" t="s">
        <v>594</v>
      </c>
      <c r="D1504" s="2" t="str">
        <f t="shared" si="22"/>
        <v>Error?</v>
      </c>
    </row>
    <row r="1505" spans="1:4" x14ac:dyDescent="0.2">
      <c r="A1505" s="10">
        <v>1444</v>
      </c>
      <c r="D1505" s="2" t="str">
        <f t="shared" si="22"/>
        <v>OK</v>
      </c>
    </row>
    <row r="1506" spans="1:4" x14ac:dyDescent="0.2">
      <c r="A1506" s="5">
        <v>1445</v>
      </c>
      <c r="B1506" s="138">
        <f>'Expenditures 15-22'!K276</f>
        <v>10777</v>
      </c>
      <c r="C1506" s="2" t="s">
        <v>594</v>
      </c>
      <c r="D1506" s="2" t="str">
        <f t="shared" si="22"/>
        <v>Error?</v>
      </c>
    </row>
    <row r="1507" spans="1:4" x14ac:dyDescent="0.2">
      <c r="A1507" s="10">
        <v>1446</v>
      </c>
      <c r="D1507" s="2" t="str">
        <f t="shared" si="22"/>
        <v>OK</v>
      </c>
    </row>
    <row r="1508" spans="1:4" x14ac:dyDescent="0.2">
      <c r="A1508" s="5">
        <v>1447</v>
      </c>
      <c r="B1508" s="138">
        <f>'Expenditures 15-22'!K277</f>
        <v>10855</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321774</v>
      </c>
      <c r="C1510" s="2" t="s">
        <v>594</v>
      </c>
      <c r="D1510" s="2" t="str">
        <f t="shared" si="22"/>
        <v>Error?</v>
      </c>
    </row>
    <row r="1511" spans="1:4" x14ac:dyDescent="0.2">
      <c r="A1511" s="5">
        <v>1450</v>
      </c>
      <c r="B1511" s="138">
        <f>'Expenditures 15-22'!K280</f>
        <v>4542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505052</v>
      </c>
      <c r="C1517" s="2" t="s">
        <v>594</v>
      </c>
      <c r="D1517" s="2" t="str">
        <f t="shared" si="22"/>
        <v>Error?</v>
      </c>
    </row>
    <row r="1518" spans="1:4" x14ac:dyDescent="0.2">
      <c r="A1518" s="5">
        <v>1457</v>
      </c>
      <c r="B1518" s="138">
        <f>'Expenditures 15-22'!K296</f>
        <v>-88152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714012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714012</v>
      </c>
      <c r="C1547" s="2" t="s">
        <v>594</v>
      </c>
      <c r="D1547" s="2" t="str">
        <f t="shared" si="23"/>
        <v>Error?</v>
      </c>
    </row>
    <row r="1548" spans="1:4" x14ac:dyDescent="0.2">
      <c r="A1548" s="5">
        <v>1487</v>
      </c>
      <c r="B1548" s="138">
        <f>'Expenditures 15-22'!G312</f>
        <v>714012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714012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714012</v>
      </c>
      <c r="C1559" s="2" t="s">
        <v>594</v>
      </c>
      <c r="D1559" s="2" t="str">
        <f t="shared" si="23"/>
        <v>Error?</v>
      </c>
    </row>
    <row r="1560" spans="1:4" x14ac:dyDescent="0.2">
      <c r="A1560" s="5">
        <v>1499</v>
      </c>
      <c r="B1560" s="138">
        <f>'Expenditures 15-22'!K312</f>
        <v>714012</v>
      </c>
      <c r="C1560" s="2" t="s">
        <v>594</v>
      </c>
      <c r="D1560" s="2" t="str">
        <f t="shared" si="23"/>
        <v>Error?</v>
      </c>
    </row>
    <row r="1561" spans="1:4" x14ac:dyDescent="0.2">
      <c r="A1561" s="5">
        <v>1500</v>
      </c>
      <c r="B1561" s="138">
        <f>'Expenditures 15-22'!K313</f>
        <v>-710200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93811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219553</v>
      </c>
      <c r="C1630" s="2" t="s">
        <v>594</v>
      </c>
      <c r="D1630" s="2" t="str">
        <f t="shared" si="24"/>
        <v>Error?</v>
      </c>
    </row>
    <row r="1631" spans="1:4" x14ac:dyDescent="0.2">
      <c r="A1631" s="5">
        <v>1570</v>
      </c>
      <c r="B1631" s="138">
        <f>'Acct Summary 7-8'!D79</f>
        <v>271635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102197</v>
      </c>
      <c r="C1644" s="2" t="s">
        <v>594</v>
      </c>
      <c r="D1644" s="2" t="str">
        <f t="shared" si="24"/>
        <v>Error?</v>
      </c>
    </row>
    <row r="1645" spans="1:4" x14ac:dyDescent="0.2">
      <c r="A1645" s="5">
        <v>1584</v>
      </c>
      <c r="B1645" s="138">
        <f>'Acct Summary 7-8'!E79</f>
        <v>274114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121250</v>
      </c>
      <c r="C1658" s="2" t="s">
        <v>594</v>
      </c>
      <c r="D1658" s="2" t="str">
        <f t="shared" si="24"/>
        <v>Error?</v>
      </c>
    </row>
    <row r="1659" spans="1:4" x14ac:dyDescent="0.2">
      <c r="A1659" s="5">
        <v>1598</v>
      </c>
      <c r="B1659" s="138">
        <f>'Acct Summary 7-8'!F79</f>
        <v>115727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281040</v>
      </c>
      <c r="C1672" s="2" t="s">
        <v>594</v>
      </c>
      <c r="D1672" s="2" t="str">
        <f t="shared" si="25"/>
        <v>Error?</v>
      </c>
    </row>
    <row r="1673" spans="1:4" x14ac:dyDescent="0.2">
      <c r="A1673" s="5">
        <v>1612</v>
      </c>
      <c r="B1673" s="138">
        <f>'Acct Summary 7-8'!G79</f>
        <v>254792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166640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11289800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3706918</v>
      </c>
      <c r="C1744" s="2" t="s">
        <v>594</v>
      </c>
      <c r="D1744" s="2" t="str">
        <f t="shared" si="26"/>
        <v>Error?</v>
      </c>
    </row>
    <row r="1745" spans="1:5" x14ac:dyDescent="0.2">
      <c r="A1745" s="5">
        <v>1684</v>
      </c>
      <c r="B1745" s="138">
        <f>'Tax Sched 23'!B5</f>
        <v>674020</v>
      </c>
      <c r="C1745" s="2" t="s">
        <v>594</v>
      </c>
      <c r="D1745" s="2" t="str">
        <f t="shared" si="26"/>
        <v>Error?</v>
      </c>
    </row>
    <row r="1746" spans="1:5" x14ac:dyDescent="0.2">
      <c r="A1746" s="5">
        <v>1685</v>
      </c>
      <c r="B1746" s="138">
        <f>'Tax Sched 23'!B6</f>
        <v>1280679</v>
      </c>
      <c r="C1746" s="2" t="s">
        <v>594</v>
      </c>
      <c r="D1746" s="2" t="str">
        <f t="shared" si="26"/>
        <v>Error?</v>
      </c>
    </row>
    <row r="1747" spans="1:5" x14ac:dyDescent="0.2">
      <c r="A1747" s="5">
        <v>1686</v>
      </c>
      <c r="B1747" s="138">
        <f>'Tax Sched 23'!B7</f>
        <v>337021</v>
      </c>
      <c r="C1747" s="2" t="s">
        <v>594</v>
      </c>
      <c r="D1747" s="2" t="str">
        <f t="shared" si="26"/>
        <v>Error?</v>
      </c>
    </row>
    <row r="1748" spans="1:5" x14ac:dyDescent="0.2">
      <c r="A1748" s="5">
        <v>1687</v>
      </c>
      <c r="B1748" s="138">
        <f>'Tax Sched 23'!B8</f>
        <v>199835</v>
      </c>
      <c r="C1748" s="2" t="s">
        <v>594</v>
      </c>
      <c r="D1748" s="2" t="str">
        <f t="shared" si="26"/>
        <v>Error?</v>
      </c>
    </row>
    <row r="1749" spans="1:5" x14ac:dyDescent="0.2">
      <c r="A1749" s="5">
        <v>1688</v>
      </c>
      <c r="B1749" s="138">
        <f>'Tax Sched 23'!B10</f>
        <v>67413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1097928</v>
      </c>
      <c r="C1752" s="2" t="s">
        <v>594</v>
      </c>
      <c r="D1752" s="2" t="str">
        <f t="shared" si="26"/>
        <v>Error?</v>
      </c>
    </row>
    <row r="1753" spans="1:5" x14ac:dyDescent="0.2">
      <c r="A1753" s="5">
        <v>1692</v>
      </c>
      <c r="B1753" s="138">
        <f>'Tax Sched 23'!B12</f>
        <v>25237</v>
      </c>
      <c r="C1753" s="2" t="s">
        <v>594</v>
      </c>
      <c r="D1753" s="2" t="str">
        <f t="shared" si="26"/>
        <v>Error?</v>
      </c>
    </row>
    <row r="1754" spans="1:5" x14ac:dyDescent="0.2">
      <c r="A1754" s="5">
        <v>1693</v>
      </c>
      <c r="B1754" s="138">
        <f>'Tax Sched 23'!B14</f>
        <v>53931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7710230</v>
      </c>
      <c r="C1759" s="2" t="s">
        <v>594</v>
      </c>
      <c r="D1759" s="2" t="str">
        <f t="shared" si="26"/>
        <v>Error?</v>
      </c>
    </row>
    <row r="1760" spans="1:5" x14ac:dyDescent="0.2">
      <c r="A1760" s="5">
        <v>1699</v>
      </c>
      <c r="B1760" s="138">
        <f>'Tax Sched 23'!D4</f>
        <v>3706918</v>
      </c>
      <c r="C1760" s="2" t="s">
        <v>594</v>
      </c>
      <c r="D1760" s="2" t="str">
        <f t="shared" si="26"/>
        <v>Error?</v>
      </c>
    </row>
    <row r="1761" spans="1:5" x14ac:dyDescent="0.2">
      <c r="A1761" s="5">
        <v>1700</v>
      </c>
      <c r="B1761" s="138">
        <f>'Tax Sched 23'!D5</f>
        <v>674020</v>
      </c>
      <c r="C1761" s="2" t="s">
        <v>594</v>
      </c>
      <c r="D1761" s="2" t="str">
        <f t="shared" si="26"/>
        <v>Error?</v>
      </c>
    </row>
    <row r="1762" spans="1:5" s="8" customFormat="1" x14ac:dyDescent="0.2">
      <c r="A1762" s="5">
        <v>1701</v>
      </c>
      <c r="B1762" s="138">
        <f>'Tax Sched 23'!D6</f>
        <v>1280679</v>
      </c>
      <c r="C1762" s="2" t="s">
        <v>594</v>
      </c>
      <c r="D1762" s="2" t="str">
        <f t="shared" si="26"/>
        <v>Error?</v>
      </c>
      <c r="E1762" s="9"/>
    </row>
    <row r="1763" spans="1:5" x14ac:dyDescent="0.2">
      <c r="A1763" s="5">
        <v>1702</v>
      </c>
      <c r="B1763" s="138">
        <f>'Tax Sched 23'!D7</f>
        <v>337021</v>
      </c>
      <c r="C1763" s="2" t="s">
        <v>594</v>
      </c>
      <c r="D1763" s="2" t="str">
        <f t="shared" si="26"/>
        <v>Error?</v>
      </c>
    </row>
    <row r="1764" spans="1:5" x14ac:dyDescent="0.2">
      <c r="A1764" s="5">
        <v>1703</v>
      </c>
      <c r="B1764" s="138">
        <f>'Tax Sched 23'!D8</f>
        <v>199835</v>
      </c>
      <c r="C1764" s="2" t="s">
        <v>594</v>
      </c>
      <c r="D1764" s="2" t="str">
        <f t="shared" si="26"/>
        <v>Error?</v>
      </c>
    </row>
    <row r="1765" spans="1:5" x14ac:dyDescent="0.2">
      <c r="A1765" s="5">
        <v>1704</v>
      </c>
      <c r="B1765" s="138">
        <f>'Tax Sched 23'!D10</f>
        <v>67413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1097928</v>
      </c>
      <c r="C1768" s="2" t="s">
        <v>594</v>
      </c>
      <c r="D1768" s="2" t="str">
        <f t="shared" si="26"/>
        <v>Error?</v>
      </c>
    </row>
    <row r="1769" spans="1:5" x14ac:dyDescent="0.2">
      <c r="A1769" s="5">
        <v>1708</v>
      </c>
      <c r="B1769" s="138">
        <f>'Tax Sched 23'!D12</f>
        <v>25237</v>
      </c>
      <c r="C1769" s="2" t="s">
        <v>594</v>
      </c>
      <c r="D1769" s="2" t="str">
        <f t="shared" si="26"/>
        <v>Error?</v>
      </c>
    </row>
    <row r="1770" spans="1:5" x14ac:dyDescent="0.2">
      <c r="A1770" s="5">
        <v>1709</v>
      </c>
      <c r="B1770" s="138">
        <f>'Tax Sched 23'!D14</f>
        <v>53931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7710230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3892713.0646964</v>
      </c>
      <c r="C1792" s="2" t="s">
        <v>594</v>
      </c>
      <c r="D1792" s="2" t="str">
        <f t="shared" si="27"/>
        <v>Error?</v>
      </c>
    </row>
    <row r="1793" spans="1:4" x14ac:dyDescent="0.2">
      <c r="A1793" s="5">
        <v>1732</v>
      </c>
      <c r="B1793" s="138">
        <f>'Tax Sched 23'!F5</f>
        <v>707775.23659499991</v>
      </c>
      <c r="C1793" s="2" t="s">
        <v>594</v>
      </c>
      <c r="D1793" s="2" t="str">
        <f t="shared" si="27"/>
        <v>Error?</v>
      </c>
    </row>
    <row r="1794" spans="1:4" x14ac:dyDescent="0.2">
      <c r="A1794" s="5">
        <v>1733</v>
      </c>
      <c r="B1794" s="138">
        <f>'Tax Sched 23'!F6</f>
        <v>254813.5813388</v>
      </c>
      <c r="C1794" s="2" t="s">
        <v>594</v>
      </c>
      <c r="D1794" s="2" t="str">
        <f t="shared" si="27"/>
        <v>Error?</v>
      </c>
    </row>
    <row r="1795" spans="1:4" x14ac:dyDescent="0.2">
      <c r="A1795" s="5">
        <v>1734</v>
      </c>
      <c r="B1795" s="138">
        <f>'Tax Sched 23'!F7</f>
        <v>353894.86637980002</v>
      </c>
      <c r="C1795" s="2" t="s">
        <v>594</v>
      </c>
      <c r="D1795" s="2" t="str">
        <f t="shared" si="27"/>
        <v>Error?</v>
      </c>
    </row>
    <row r="1796" spans="1:4" x14ac:dyDescent="0.2">
      <c r="A1796" s="5">
        <v>1735</v>
      </c>
      <c r="B1796" s="138">
        <f>'Tax Sched 23'!F8</f>
        <v>230010.64370819999</v>
      </c>
      <c r="C1796" s="2" t="s">
        <v>594</v>
      </c>
      <c r="D1796" s="2" t="str">
        <f t="shared" si="27"/>
        <v>Error?</v>
      </c>
    </row>
    <row r="1797" spans="1:4" x14ac:dyDescent="0.2">
      <c r="A1797" s="5">
        <v>1736</v>
      </c>
      <c r="B1797" s="138">
        <f>'Tax Sched 23'!F10</f>
        <v>70784.771741799996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1075006.5744068001</v>
      </c>
      <c r="C1800" s="2" t="s">
        <v>594</v>
      </c>
      <c r="D1800" s="2" t="str">
        <f t="shared" si="27"/>
        <v>Error?</v>
      </c>
    </row>
    <row r="1801" spans="1:4" x14ac:dyDescent="0.2">
      <c r="A1801" s="5">
        <v>1740</v>
      </c>
      <c r="B1801" s="138">
        <f>'Tax Sched 23'!F12</f>
        <v>70784.771741799996</v>
      </c>
      <c r="C1801" s="2" t="s">
        <v>594</v>
      </c>
      <c r="D1801" s="2" t="str">
        <f t="shared" si="27"/>
        <v>Error?</v>
      </c>
    </row>
    <row r="1802" spans="1:4" x14ac:dyDescent="0.2">
      <c r="A1802" s="5">
        <v>1741</v>
      </c>
      <c r="B1802" s="138">
        <f>'Tax Sched 23'!F14</f>
        <v>56622.018927600002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7013200.9449862</v>
      </c>
      <c r="C1807" s="2" t="s">
        <v>594</v>
      </c>
      <c r="D1807" s="2" t="str">
        <f t="shared" si="27"/>
        <v>Error?</v>
      </c>
    </row>
    <row r="1808" spans="1:4" x14ac:dyDescent="0.2">
      <c r="A1808" s="5">
        <v>1747</v>
      </c>
      <c r="B1808" s="138">
        <f>'Tax Sched 23'!E4</f>
        <v>3892713.0646964</v>
      </c>
      <c r="D1808" s="2" t="str">
        <f t="shared" si="27"/>
        <v>Error?</v>
      </c>
    </row>
    <row r="1809" spans="1:4" x14ac:dyDescent="0.2">
      <c r="A1809" s="5">
        <v>1748</v>
      </c>
      <c r="B1809" s="138">
        <f>'Tax Sched 23'!E5</f>
        <v>707775.23659499991</v>
      </c>
      <c r="D1809" s="2" t="str">
        <f t="shared" si="27"/>
        <v>Error?</v>
      </c>
    </row>
    <row r="1810" spans="1:4" x14ac:dyDescent="0.2">
      <c r="A1810" s="5">
        <v>1749</v>
      </c>
      <c r="B1810" s="138">
        <f>'Tax Sched 23'!E6</f>
        <v>254813.5813388</v>
      </c>
      <c r="D1810" s="2" t="str">
        <f t="shared" si="27"/>
        <v>Error?</v>
      </c>
    </row>
    <row r="1811" spans="1:4" x14ac:dyDescent="0.2">
      <c r="A1811" s="5">
        <v>1750</v>
      </c>
      <c r="B1811" s="138">
        <f>'Tax Sched 23'!E7</f>
        <v>353894.86637980002</v>
      </c>
      <c r="D1811" s="2" t="str">
        <f t="shared" si="27"/>
        <v>Error?</v>
      </c>
    </row>
    <row r="1812" spans="1:4" x14ac:dyDescent="0.2">
      <c r="A1812" s="5">
        <v>1751</v>
      </c>
      <c r="B1812" s="138">
        <f>'Tax Sched 23'!E8</f>
        <v>230010.64370819999</v>
      </c>
      <c r="D1812" s="2" t="str">
        <f t="shared" si="27"/>
        <v>Error?</v>
      </c>
    </row>
    <row r="1813" spans="1:4" x14ac:dyDescent="0.2">
      <c r="A1813" s="5">
        <v>1752</v>
      </c>
      <c r="B1813" s="138">
        <f>'Tax Sched 23'!E10</f>
        <v>70784.771741799996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1075006.5744068001</v>
      </c>
      <c r="D1816" s="2" t="str">
        <f t="shared" si="27"/>
        <v>Error?</v>
      </c>
    </row>
    <row r="1817" spans="1:4" x14ac:dyDescent="0.2">
      <c r="A1817" s="5">
        <v>1756</v>
      </c>
      <c r="B1817" s="138">
        <f>'Tax Sched 23'!E12</f>
        <v>70784.771741799996</v>
      </c>
      <c r="D1817" s="2" t="str">
        <f t="shared" si="27"/>
        <v>Error?</v>
      </c>
    </row>
    <row r="1818" spans="1:4" x14ac:dyDescent="0.2">
      <c r="A1818" s="5">
        <v>1757</v>
      </c>
      <c r="B1818" s="138">
        <f>'Tax Sched 23'!E14</f>
        <v>56622.018927600002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7013200.9449862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1574735</v>
      </c>
      <c r="C1939" s="2" t="s">
        <v>594</v>
      </c>
      <c r="D1939" s="2" t="str">
        <f t="shared" si="29"/>
        <v>Error?</v>
      </c>
    </row>
    <row r="1940" spans="1:5" x14ac:dyDescent="0.2">
      <c r="A1940" s="5">
        <v>1879</v>
      </c>
      <c r="B1940" s="138">
        <f>'Short-Term Long-Term Debt 24'!F49</f>
        <v>12000000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53931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53931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53931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754625</v>
      </c>
      <c r="D2008" s="2" t="str">
        <f t="shared" si="30"/>
        <v>Error?</v>
      </c>
    </row>
    <row r="2009" spans="1:4" x14ac:dyDescent="0.2">
      <c r="A2009" s="5">
        <v>1948</v>
      </c>
      <c r="B2009" s="138">
        <f>'Cap Outlay Deprec 26'!C8</f>
        <v>18144829</v>
      </c>
      <c r="D2009" s="2" t="str">
        <f t="shared" si="30"/>
        <v>Error?</v>
      </c>
    </row>
    <row r="2010" spans="1:4" x14ac:dyDescent="0.2">
      <c r="A2010" s="5">
        <v>1949</v>
      </c>
      <c r="B2010" s="138">
        <f>'Cap Outlay Deprec 26'!C10</f>
        <v>1878894</v>
      </c>
      <c r="D2010" s="2" t="str">
        <f t="shared" si="30"/>
        <v>Error?</v>
      </c>
    </row>
    <row r="2011" spans="1:4" x14ac:dyDescent="0.2">
      <c r="A2011" s="5">
        <v>1950</v>
      </c>
      <c r="B2011" s="138">
        <f>'Cap Outlay Deprec 26'!C12</f>
        <v>1210493</v>
      </c>
      <c r="D2011" s="2" t="str">
        <f t="shared" si="30"/>
        <v>Error?</v>
      </c>
    </row>
    <row r="2012" spans="1:4" x14ac:dyDescent="0.2">
      <c r="A2012" s="5">
        <v>1951</v>
      </c>
      <c r="B2012" s="138">
        <f>'Cap Outlay Deprec 26'!C13</f>
        <v>2759343</v>
      </c>
      <c r="D2012" s="2" t="str">
        <f t="shared" si="30"/>
        <v>Error?</v>
      </c>
    </row>
    <row r="2013" spans="1:4" x14ac:dyDescent="0.2">
      <c r="A2013" s="5">
        <v>1952</v>
      </c>
      <c r="B2013" s="138">
        <f>'Cap Outlay Deprec 26'!C16</f>
        <v>24748184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41298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28064</v>
      </c>
      <c r="D2017" s="2" t="str">
        <f t="shared" si="30"/>
        <v>Error?</v>
      </c>
    </row>
    <row r="2018" spans="1:4" x14ac:dyDescent="0.2">
      <c r="A2018" s="5">
        <v>1957</v>
      </c>
      <c r="B2018" s="138">
        <f>'Cap Outlay Deprec 26'!D13</f>
        <v>116868</v>
      </c>
      <c r="D2018" s="2" t="str">
        <f t="shared" si="30"/>
        <v>Error?</v>
      </c>
    </row>
    <row r="2019" spans="1:4" x14ac:dyDescent="0.2">
      <c r="A2019" s="5">
        <v>1958</v>
      </c>
      <c r="B2019" s="138">
        <f>'Cap Outlay Deprec 26'!D16</f>
        <v>900243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754625</v>
      </c>
      <c r="C2026" s="2" t="s">
        <v>594</v>
      </c>
      <c r="D2026" s="2" t="str">
        <f t="shared" si="30"/>
        <v>Error?</v>
      </c>
    </row>
    <row r="2027" spans="1:4" x14ac:dyDescent="0.2">
      <c r="A2027" s="5">
        <v>1966</v>
      </c>
      <c r="B2027" s="138">
        <f>'Cap Outlay Deprec 26'!F8</f>
        <v>18186127</v>
      </c>
      <c r="C2027" s="2" t="s">
        <v>594</v>
      </c>
      <c r="D2027" s="2" t="str">
        <f t="shared" si="30"/>
        <v>Error?</v>
      </c>
    </row>
    <row r="2028" spans="1:4" x14ac:dyDescent="0.2">
      <c r="A2028" s="5">
        <v>1967</v>
      </c>
      <c r="B2028" s="138">
        <f>'Cap Outlay Deprec 26'!F10</f>
        <v>1878894</v>
      </c>
      <c r="C2028" s="2" t="s">
        <v>594</v>
      </c>
      <c r="D2028" s="2" t="str">
        <f t="shared" si="30"/>
        <v>Error?</v>
      </c>
    </row>
    <row r="2029" spans="1:4" x14ac:dyDescent="0.2">
      <c r="A2029" s="5">
        <v>1968</v>
      </c>
      <c r="B2029" s="138">
        <f>'Cap Outlay Deprec 26'!F12</f>
        <v>1238557</v>
      </c>
      <c r="C2029" s="2" t="s">
        <v>594</v>
      </c>
      <c r="D2029" s="2" t="str">
        <f t="shared" si="30"/>
        <v>Error?</v>
      </c>
    </row>
    <row r="2030" spans="1:4" x14ac:dyDescent="0.2">
      <c r="A2030" s="5">
        <v>1969</v>
      </c>
      <c r="B2030" s="138">
        <f>'Cap Outlay Deprec 26'!F13</f>
        <v>2876211</v>
      </c>
      <c r="C2030" s="2" t="s">
        <v>594</v>
      </c>
      <c r="D2030" s="2" t="str">
        <f t="shared" si="30"/>
        <v>Error?</v>
      </c>
    </row>
    <row r="2031" spans="1:4" x14ac:dyDescent="0.2">
      <c r="A2031" s="5">
        <v>1970</v>
      </c>
      <c r="B2031" s="138">
        <f>'Cap Outlay Deprec 26'!F16</f>
        <v>25648427</v>
      </c>
      <c r="C2031" s="2" t="s">
        <v>594</v>
      </c>
      <c r="D2031" s="2" t="str">
        <f t="shared" si="30"/>
        <v>Error?</v>
      </c>
    </row>
    <row r="2032" spans="1:4" x14ac:dyDescent="0.2">
      <c r="A2032" s="10">
        <v>1971</v>
      </c>
      <c r="D2032" s="2" t="str">
        <f t="shared" si="30"/>
        <v>OK</v>
      </c>
    </row>
    <row r="2033" spans="1:4" x14ac:dyDescent="0.2">
      <c r="A2033" s="5">
        <v>1972</v>
      </c>
      <c r="B2033" s="138">
        <f>'Cap Outlay Deprec 26'!H8</f>
        <v>8980796</v>
      </c>
      <c r="D2033" s="2" t="str">
        <f t="shared" si="30"/>
        <v>Error?</v>
      </c>
    </row>
    <row r="2034" spans="1:4" x14ac:dyDescent="0.2">
      <c r="A2034" s="5">
        <v>1973</v>
      </c>
      <c r="B2034" s="138">
        <f>'Cap Outlay Deprec 26'!H10</f>
        <v>1414798</v>
      </c>
      <c r="D2034" s="2" t="str">
        <f t="shared" si="30"/>
        <v>Error?</v>
      </c>
    </row>
    <row r="2035" spans="1:4" x14ac:dyDescent="0.2">
      <c r="A2035" s="5">
        <v>1974</v>
      </c>
      <c r="B2035" s="138">
        <f>'Cap Outlay Deprec 26'!H12</f>
        <v>924146</v>
      </c>
      <c r="D2035" s="2" t="str">
        <f t="shared" si="30"/>
        <v>Error?</v>
      </c>
    </row>
    <row r="2036" spans="1:4" x14ac:dyDescent="0.2">
      <c r="A2036" s="5">
        <v>1975</v>
      </c>
      <c r="B2036" s="138">
        <f>'Cap Outlay Deprec 26'!H13</f>
        <v>2298464</v>
      </c>
      <c r="D2036" s="2" t="str">
        <f t="shared" si="30"/>
        <v>Error?</v>
      </c>
    </row>
    <row r="2037" spans="1:4" x14ac:dyDescent="0.2">
      <c r="A2037" s="5">
        <v>1976</v>
      </c>
      <c r="B2037" s="138">
        <f>'Cap Outlay Deprec 26'!H16</f>
        <v>13618204</v>
      </c>
      <c r="C2037" s="2" t="s">
        <v>594</v>
      </c>
      <c r="D2037" s="2" t="str">
        <f t="shared" si="30"/>
        <v>Error?</v>
      </c>
    </row>
    <row r="2038" spans="1:4" x14ac:dyDescent="0.2">
      <c r="A2038" s="10">
        <v>1977</v>
      </c>
      <c r="D2038" s="2" t="str">
        <f t="shared" si="30"/>
        <v>OK</v>
      </c>
    </row>
    <row r="2039" spans="1:4" x14ac:dyDescent="0.2">
      <c r="A2039" s="5">
        <v>1978</v>
      </c>
      <c r="B2039" s="138">
        <f>'Cap Outlay Deprec 26'!I8</f>
        <v>314302</v>
      </c>
      <c r="D2039" s="2" t="str">
        <f t="shared" si="30"/>
        <v>Error?</v>
      </c>
    </row>
    <row r="2040" spans="1:4" x14ac:dyDescent="0.2">
      <c r="A2040" s="5">
        <v>1979</v>
      </c>
      <c r="B2040" s="138">
        <f>'Cap Outlay Deprec 26'!I10</f>
        <v>86385</v>
      </c>
      <c r="D2040" s="2" t="str">
        <f t="shared" si="30"/>
        <v>Error?</v>
      </c>
    </row>
    <row r="2041" spans="1:4" x14ac:dyDescent="0.2">
      <c r="A2041" s="5">
        <v>1980</v>
      </c>
      <c r="B2041" s="138">
        <f>'Cap Outlay Deprec 26'!I12</f>
        <v>70459</v>
      </c>
      <c r="D2041" s="2" t="str">
        <f t="shared" si="30"/>
        <v>Error?</v>
      </c>
    </row>
    <row r="2042" spans="1:4" x14ac:dyDescent="0.2">
      <c r="A2042" s="5">
        <v>1981</v>
      </c>
      <c r="B2042" s="138">
        <f>'Cap Outlay Deprec 26'!I13</f>
        <v>150195</v>
      </c>
      <c r="D2042" s="2" t="str">
        <f t="shared" si="30"/>
        <v>Error?</v>
      </c>
    </row>
    <row r="2043" spans="1:4" x14ac:dyDescent="0.2">
      <c r="A2043" s="5">
        <v>1982</v>
      </c>
      <c r="B2043" s="138">
        <f>'Cap Outlay Deprec 26'!I16</f>
        <v>621341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9295098</v>
      </c>
      <c r="C2051" s="2" t="s">
        <v>594</v>
      </c>
      <c r="D2051" s="2" t="str">
        <f t="shared" si="31"/>
        <v>Error?</v>
      </c>
    </row>
    <row r="2052" spans="1:4" x14ac:dyDescent="0.2">
      <c r="A2052" s="5">
        <v>1991</v>
      </c>
      <c r="B2052" s="138">
        <f>'Cap Outlay Deprec 26'!K10</f>
        <v>1501183</v>
      </c>
      <c r="C2052" s="2" t="s">
        <v>594</v>
      </c>
      <c r="D2052" s="2" t="str">
        <f t="shared" si="31"/>
        <v>Error?</v>
      </c>
    </row>
    <row r="2053" spans="1:4" x14ac:dyDescent="0.2">
      <c r="A2053" s="5">
        <v>1992</v>
      </c>
      <c r="B2053" s="138">
        <f>'Cap Outlay Deprec 26'!K12</f>
        <v>994605</v>
      </c>
      <c r="C2053" s="2" t="s">
        <v>594</v>
      </c>
      <c r="D2053" s="2" t="str">
        <f t="shared" si="31"/>
        <v>Error?</v>
      </c>
    </row>
    <row r="2054" spans="1:4" x14ac:dyDescent="0.2">
      <c r="A2054" s="5">
        <v>1993</v>
      </c>
      <c r="B2054" s="138">
        <f>'Cap Outlay Deprec 26'!K13</f>
        <v>2448659</v>
      </c>
      <c r="C2054" s="2" t="s">
        <v>594</v>
      </c>
      <c r="D2054" s="2" t="str">
        <f t="shared" si="31"/>
        <v>Error?</v>
      </c>
    </row>
    <row r="2055" spans="1:4" x14ac:dyDescent="0.2">
      <c r="A2055" s="5">
        <v>1994</v>
      </c>
      <c r="B2055" s="138">
        <f>'Cap Outlay Deprec 26'!K16</f>
        <v>14239545</v>
      </c>
      <c r="C2055" s="2" t="s">
        <v>594</v>
      </c>
      <c r="D2055" s="2" t="str">
        <f t="shared" si="31"/>
        <v>Error?</v>
      </c>
    </row>
    <row r="2056" spans="1:4" x14ac:dyDescent="0.2">
      <c r="A2056" s="5">
        <v>1995</v>
      </c>
      <c r="B2056" s="138">
        <f>'Cap Outlay Deprec 26'!L5</f>
        <v>754625</v>
      </c>
      <c r="C2056" s="2" t="s">
        <v>594</v>
      </c>
      <c r="D2056" s="2" t="str">
        <f t="shared" si="31"/>
        <v>Error?</v>
      </c>
    </row>
    <row r="2057" spans="1:4" x14ac:dyDescent="0.2">
      <c r="A2057" s="5">
        <v>1996</v>
      </c>
      <c r="B2057" s="138">
        <f>'Cap Outlay Deprec 26'!L8</f>
        <v>8891029</v>
      </c>
      <c r="C2057" s="2" t="s">
        <v>594</v>
      </c>
      <c r="D2057" s="2" t="str">
        <f t="shared" si="31"/>
        <v>Error?</v>
      </c>
    </row>
    <row r="2058" spans="1:4" x14ac:dyDescent="0.2">
      <c r="A2058" s="5">
        <v>1997</v>
      </c>
      <c r="B2058" s="138">
        <f>'Cap Outlay Deprec 26'!L10</f>
        <v>377711</v>
      </c>
      <c r="C2058" s="2" t="s">
        <v>594</v>
      </c>
      <c r="D2058" s="2" t="str">
        <f t="shared" si="31"/>
        <v>Error?</v>
      </c>
    </row>
    <row r="2059" spans="1:4" x14ac:dyDescent="0.2">
      <c r="A2059" s="5">
        <v>1998</v>
      </c>
      <c r="B2059" s="138">
        <f>'Cap Outlay Deprec 26'!L12</f>
        <v>243952</v>
      </c>
      <c r="C2059" s="2" t="s">
        <v>594</v>
      </c>
      <c r="D2059" s="2" t="str">
        <f t="shared" si="31"/>
        <v>Error?</v>
      </c>
    </row>
    <row r="2060" spans="1:4" x14ac:dyDescent="0.2">
      <c r="A2060" s="5">
        <v>1999</v>
      </c>
      <c r="B2060" s="138">
        <f>'Cap Outlay Deprec 26'!L13</f>
        <v>427552</v>
      </c>
      <c r="C2060" s="2" t="s">
        <v>594</v>
      </c>
      <c r="D2060" s="2" t="str">
        <f t="shared" si="31"/>
        <v>Error?</v>
      </c>
    </row>
    <row r="2061" spans="1:4" x14ac:dyDescent="0.2">
      <c r="A2061" s="5">
        <v>2000</v>
      </c>
      <c r="B2061" s="138">
        <f>'Cap Outlay Deprec 26'!L16</f>
        <v>11408882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142124</v>
      </c>
      <c r="C2088" s="2" t="s">
        <v>594</v>
      </c>
      <c r="D2088" s="2" t="str">
        <f t="shared" si="31"/>
        <v>Error?</v>
      </c>
    </row>
    <row r="2089" spans="1:4" x14ac:dyDescent="0.2">
      <c r="A2089" s="5">
        <v>2028</v>
      </c>
      <c r="B2089" s="138">
        <f>'Expenditures 15-22'!K92</f>
        <v>212341</v>
      </c>
      <c r="C2089" s="2" t="s">
        <v>594</v>
      </c>
      <c r="D2089" s="2" t="str">
        <f t="shared" si="31"/>
        <v>Error?</v>
      </c>
    </row>
    <row r="2090" spans="1:4" x14ac:dyDescent="0.2">
      <c r="A2090" s="10">
        <v>2029</v>
      </c>
      <c r="D2090" s="2" t="str">
        <f t="shared" si="31"/>
        <v>OK</v>
      </c>
    </row>
    <row r="2091" spans="1:4" x14ac:dyDescent="0.2">
      <c r="A2091" s="5">
        <v>2030</v>
      </c>
      <c r="B2091" s="138">
        <f>'Expenditures 15-22'!H137</f>
        <v>9836</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9836</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167915</v>
      </c>
      <c r="C2105" s="2" t="s">
        <v>594</v>
      </c>
      <c r="D2105" s="2" t="str">
        <f t="shared" si="31"/>
        <v>Error?</v>
      </c>
    </row>
    <row r="2106" spans="1:4" x14ac:dyDescent="0.2">
      <c r="A2106" s="5">
        <v>2045</v>
      </c>
      <c r="B2106" s="138">
        <f>'Acct Summary 7-8'!I48</f>
        <v>44760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32560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40131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4466511</v>
      </c>
      <c r="C2551" s="2" t="s">
        <v>594</v>
      </c>
      <c r="D2551" s="2" t="str">
        <f t="shared" si="38"/>
        <v>Error?</v>
      </c>
    </row>
    <row r="2552" spans="1:4" x14ac:dyDescent="0.2">
      <c r="A2552" s="10">
        <v>2491</v>
      </c>
      <c r="D2552" s="2" t="str">
        <f t="shared" si="38"/>
        <v>OK</v>
      </c>
    </row>
    <row r="2553" spans="1:4" x14ac:dyDescent="0.2">
      <c r="A2553" s="5">
        <v>2492</v>
      </c>
      <c r="B2553" s="138">
        <f>'Acct Summary 7-8'!C6</f>
        <v>3384144</v>
      </c>
      <c r="C2553" s="2" t="s">
        <v>594</v>
      </c>
      <c r="D2553" s="2" t="str">
        <f t="shared" si="38"/>
        <v>Error?</v>
      </c>
    </row>
    <row r="2554" spans="1:4" x14ac:dyDescent="0.2">
      <c r="A2554" s="5">
        <v>2493</v>
      </c>
      <c r="B2554" s="138">
        <f>'Acct Summary 7-8'!C7</f>
        <v>776636</v>
      </c>
      <c r="C2554" s="2" t="s">
        <v>594</v>
      </c>
      <c r="D2554" s="2" t="str">
        <f t="shared" si="38"/>
        <v>Error?</v>
      </c>
    </row>
    <row r="2555" spans="1:4" x14ac:dyDescent="0.2">
      <c r="A2555" s="5">
        <v>2494</v>
      </c>
      <c r="B2555" s="138">
        <f>'Acct Summary 7-8'!C8</f>
        <v>8627291</v>
      </c>
      <c r="C2555" s="2" t="s">
        <v>594</v>
      </c>
      <c r="D2555" s="2" t="str">
        <f t="shared" si="38"/>
        <v>Error?</v>
      </c>
    </row>
    <row r="2556" spans="1:4" x14ac:dyDescent="0.2">
      <c r="A2556" s="5">
        <v>2495</v>
      </c>
      <c r="B2556" s="138">
        <f>'Acct Summary 7-8'!C12</f>
        <v>6167962</v>
      </c>
      <c r="C2556" s="2" t="s">
        <v>594</v>
      </c>
      <c r="D2556" s="2" t="str">
        <f t="shared" si="38"/>
        <v>Error?</v>
      </c>
    </row>
    <row r="2557" spans="1:4" x14ac:dyDescent="0.2">
      <c r="A2557" s="5">
        <v>2496</v>
      </c>
      <c r="B2557" s="138">
        <f>'Acct Summary 7-8'!C13</f>
        <v>2014504</v>
      </c>
      <c r="C2557" s="2" t="s">
        <v>594</v>
      </c>
      <c r="D2557" s="2" t="str">
        <f t="shared" si="38"/>
        <v>Error?</v>
      </c>
    </row>
    <row r="2558" spans="1:4" x14ac:dyDescent="0.2">
      <c r="A2558" s="5">
        <v>2497</v>
      </c>
      <c r="B2558" s="138">
        <f>'Acct Summary 7-8'!C14</f>
        <v>33383</v>
      </c>
      <c r="C2558" s="2" t="s">
        <v>594</v>
      </c>
      <c r="D2558" s="2" t="str">
        <f t="shared" si="38"/>
        <v>Error?</v>
      </c>
    </row>
    <row r="2559" spans="1:4" x14ac:dyDescent="0.2">
      <c r="A2559" s="5">
        <v>2498</v>
      </c>
      <c r="B2559" s="138">
        <f>'Acct Summary 7-8'!C15</f>
        <v>354465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8570314</v>
      </c>
      <c r="C2561" s="2" t="s">
        <v>594</v>
      </c>
      <c r="D2561" s="2" t="str">
        <f t="shared" si="39"/>
        <v>Error?</v>
      </c>
    </row>
    <row r="2562" spans="1:4" x14ac:dyDescent="0.2">
      <c r="A2562" s="5">
        <v>2501</v>
      </c>
      <c r="B2562" s="138">
        <f>'Acct Summary 7-8'!C20</f>
        <v>56977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1188533</v>
      </c>
      <c r="C2564" s="2" t="s">
        <v>594</v>
      </c>
      <c r="D2564" s="2" t="str">
        <f t="shared" si="39"/>
        <v>Error?</v>
      </c>
    </row>
    <row r="2565" spans="1:4" x14ac:dyDescent="0.2">
      <c r="A2565" s="10">
        <v>2504</v>
      </c>
      <c r="D2565" s="2" t="str">
        <f t="shared" si="39"/>
        <v>OK</v>
      </c>
    </row>
    <row r="2566" spans="1:4" x14ac:dyDescent="0.2">
      <c r="A2566" s="5">
        <v>2505</v>
      </c>
      <c r="B2566" s="138">
        <f>'Acct Summary 7-8'!D6</f>
        <v>153571</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1342104</v>
      </c>
      <c r="C2568" s="2" t="s">
        <v>594</v>
      </c>
      <c r="D2568" s="2" t="str">
        <f t="shared" si="39"/>
        <v>Error?</v>
      </c>
    </row>
    <row r="2569" spans="1:4" x14ac:dyDescent="0.2">
      <c r="A2569" s="5">
        <v>2508</v>
      </c>
      <c r="B2569" s="138">
        <f>'Acct Summary 7-8'!D13</f>
        <v>1777466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9836</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1787302</v>
      </c>
      <c r="C2573" s="2" t="s">
        <v>594</v>
      </c>
      <c r="D2573" s="2" t="str">
        <f t="shared" si="39"/>
        <v>Error?</v>
      </c>
    </row>
    <row r="2574" spans="1:4" x14ac:dyDescent="0.2">
      <c r="A2574" s="5">
        <v>2513</v>
      </c>
      <c r="B2574" s="138">
        <f>'Acct Summary 7-8'!D20</f>
        <v>-445198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338183</v>
      </c>
      <c r="C2591" s="2" t="s">
        <v>594</v>
      </c>
      <c r="D2591" s="2" t="str">
        <f t="shared" si="39"/>
        <v>Error?</v>
      </c>
    </row>
    <row r="2592" spans="1:4" x14ac:dyDescent="0.2">
      <c r="A2592" s="10">
        <v>2531</v>
      </c>
      <c r="D2592" s="2" t="str">
        <f t="shared" si="39"/>
        <v>OK</v>
      </c>
    </row>
    <row r="2593" spans="1:4" x14ac:dyDescent="0.2">
      <c r="A2593" s="5">
        <v>2532</v>
      </c>
      <c r="B2593" s="138">
        <f>'Acct Summary 7-8'!F6</f>
        <v>836214</v>
      </c>
      <c r="C2593" s="2" t="s">
        <v>594</v>
      </c>
      <c r="D2593" s="2" t="str">
        <f t="shared" si="39"/>
        <v>Error?</v>
      </c>
    </row>
    <row r="2594" spans="1:4" x14ac:dyDescent="0.2">
      <c r="A2594" s="5">
        <v>2533</v>
      </c>
      <c r="B2594" s="138">
        <f>'Acct Summary 7-8'!F7</f>
        <v>6595</v>
      </c>
      <c r="C2594" s="2" t="s">
        <v>594</v>
      </c>
      <c r="D2594" s="2" t="str">
        <f t="shared" si="39"/>
        <v>Error?</v>
      </c>
    </row>
    <row r="2595" spans="1:4" x14ac:dyDescent="0.2">
      <c r="A2595" s="5">
        <v>2534</v>
      </c>
      <c r="B2595" s="138">
        <f>'Acct Summary 7-8'!F8</f>
        <v>1180992</v>
      </c>
      <c r="C2595" s="2" t="s">
        <v>594</v>
      </c>
      <c r="D2595" s="2" t="str">
        <f t="shared" si="39"/>
        <v>Error?</v>
      </c>
    </row>
    <row r="2596" spans="1:4" x14ac:dyDescent="0.2">
      <c r="A2596" s="5">
        <v>2535</v>
      </c>
      <c r="B2596" s="138">
        <f>'Acct Summary 7-8'!F13</f>
        <v>990944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24735</v>
      </c>
      <c r="C2599" s="2" t="s">
        <v>594</v>
      </c>
      <c r="D2599" s="2" t="str">
        <f t="shared" si="39"/>
        <v>Error?</v>
      </c>
    </row>
    <row r="2600" spans="1:4" x14ac:dyDescent="0.2">
      <c r="A2600" s="5">
        <v>2539</v>
      </c>
      <c r="B2600" s="138">
        <f>'Acct Summary 7-8'!F17</f>
        <v>1015679</v>
      </c>
      <c r="C2600" s="2" t="s">
        <v>594</v>
      </c>
      <c r="D2600" s="2" t="str">
        <f t="shared" si="39"/>
        <v>Error?</v>
      </c>
    </row>
    <row r="2601" spans="1:4" x14ac:dyDescent="0.2">
      <c r="A2601" s="5">
        <v>2540</v>
      </c>
      <c r="B2601" s="138">
        <f>'Acct Summary 7-8'!F20</f>
        <v>165313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401067</v>
      </c>
      <c r="C2603" s="2" t="s">
        <v>594</v>
      </c>
      <c r="D2603" s="2" t="str">
        <f t="shared" si="39"/>
        <v>Error?</v>
      </c>
    </row>
    <row r="2604" spans="1:4" x14ac:dyDescent="0.2">
      <c r="A2604" s="5">
        <v>2543</v>
      </c>
      <c r="B2604" s="138">
        <f>'Acct Summary 7-8'!G6</f>
        <v>12186</v>
      </c>
      <c r="C2604" s="2" t="s">
        <v>594</v>
      </c>
      <c r="D2604" s="2" t="str">
        <f t="shared" si="39"/>
        <v>Error?</v>
      </c>
    </row>
    <row r="2605" spans="1:4" x14ac:dyDescent="0.2">
      <c r="A2605" s="5">
        <v>2544</v>
      </c>
      <c r="B2605" s="138">
        <f>'Acct Summary 7-8'!G7</f>
        <v>3647</v>
      </c>
      <c r="C2605" s="2" t="s">
        <v>594</v>
      </c>
      <c r="D2605" s="2" t="str">
        <f t="shared" si="39"/>
        <v>Error?</v>
      </c>
    </row>
    <row r="2606" spans="1:4" x14ac:dyDescent="0.2">
      <c r="A2606" s="5">
        <v>2545</v>
      </c>
      <c r="B2606" s="138">
        <f>'Acct Summary 7-8'!G8</f>
        <v>416900</v>
      </c>
      <c r="C2606" s="2" t="s">
        <v>594</v>
      </c>
      <c r="D2606" s="2" t="str">
        <f t="shared" si="39"/>
        <v>Error?</v>
      </c>
    </row>
    <row r="2607" spans="1:4" x14ac:dyDescent="0.2">
      <c r="A2607" s="5">
        <v>2546</v>
      </c>
      <c r="B2607" s="138">
        <f>'Acct Summary 7-8'!G12</f>
        <v>178736</v>
      </c>
      <c r="C2607" s="2" t="s">
        <v>594</v>
      </c>
      <c r="D2607" s="2" t="str">
        <f t="shared" si="39"/>
        <v>Error?</v>
      </c>
    </row>
    <row r="2608" spans="1:4" x14ac:dyDescent="0.2">
      <c r="A2608" s="5">
        <v>2547</v>
      </c>
      <c r="B2608" s="138">
        <f>'Acct Summary 7-8'!G13</f>
        <v>321774</v>
      </c>
      <c r="C2608" s="2" t="s">
        <v>594</v>
      </c>
      <c r="D2608" s="2" t="str">
        <f t="shared" si="39"/>
        <v>Error?</v>
      </c>
    </row>
    <row r="2609" spans="1:4" x14ac:dyDescent="0.2">
      <c r="A2609" s="5">
        <v>2548</v>
      </c>
      <c r="B2609" s="138">
        <f>'Acct Summary 7-8'!G14</f>
        <v>4542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505052</v>
      </c>
      <c r="C2612" s="2" t="s">
        <v>594</v>
      </c>
      <c r="D2612" s="2" t="str">
        <f t="shared" si="39"/>
        <v>Error?</v>
      </c>
    </row>
    <row r="2613" spans="1:4" x14ac:dyDescent="0.2">
      <c r="A2613" s="5">
        <v>2552</v>
      </c>
      <c r="B2613" s="138">
        <f>'Acct Summary 7-8'!G20</f>
        <v>-88152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1281982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1281982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1303846</v>
      </c>
      <c r="C2634" s="2" t="s">
        <v>594</v>
      </c>
      <c r="D2634" s="2" t="str">
        <f t="shared" si="40"/>
        <v>Error?</v>
      </c>
    </row>
    <row r="2635" spans="1:4" x14ac:dyDescent="0.2">
      <c r="A2635" s="5">
        <v>2574</v>
      </c>
      <c r="B2635" s="138">
        <f>'Acct Summary 7-8'!E17</f>
        <v>1303846</v>
      </c>
      <c r="C2635" s="2" t="s">
        <v>594</v>
      </c>
      <c r="D2635" s="2" t="str">
        <f t="shared" si="40"/>
        <v>Error?</v>
      </c>
    </row>
    <row r="2636" spans="1:4" x14ac:dyDescent="0.2">
      <c r="A2636" s="5">
        <v>2575</v>
      </c>
      <c r="B2636" s="138">
        <f>'Acct Summary 7-8'!E20</f>
        <v>-21864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3812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3812</v>
      </c>
      <c r="C2658" s="2" t="s">
        <v>594</v>
      </c>
      <c r="D2658" s="2" t="str">
        <f t="shared" si="40"/>
        <v>Error?</v>
      </c>
    </row>
    <row r="2659" spans="1:4" x14ac:dyDescent="0.2">
      <c r="A2659" s="5">
        <v>2598</v>
      </c>
      <c r="B2659" s="138">
        <f>'Acct Summary 7-8'!H13</f>
        <v>714012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714012</v>
      </c>
      <c r="C2661" s="2" t="s">
        <v>594</v>
      </c>
      <c r="D2661" s="2" t="str">
        <f t="shared" si="40"/>
        <v>Error?</v>
      </c>
    </row>
    <row r="2662" spans="1:4" x14ac:dyDescent="0.2">
      <c r="A2662" s="5">
        <v>2601</v>
      </c>
      <c r="B2662" s="138">
        <f>'Acct Summary 7-8'!H20</f>
        <v>-710200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131000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142124</v>
      </c>
      <c r="C2789" s="2" t="s">
        <v>594</v>
      </c>
      <c r="D2789" s="2" t="str">
        <f t="shared" si="42"/>
        <v>Error?</v>
      </c>
    </row>
    <row r="2790" spans="1:4" x14ac:dyDescent="0.2">
      <c r="A2790" s="5">
        <v>2729</v>
      </c>
      <c r="B2790" s="138">
        <f>'Expenditures 15-22'!E102</f>
        <v>142124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131000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714013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624290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237169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624290</v>
      </c>
      <c r="D2912" s="2" t="str">
        <f t="shared" si="44"/>
        <v>Error?</v>
      </c>
    </row>
    <row r="2913" spans="1:4" x14ac:dyDescent="0.2">
      <c r="A2913" s="5">
        <v>2852</v>
      </c>
      <c r="B2913" s="138">
        <f>'Assets-Liab 5-6'!I41</f>
        <v>624290</v>
      </c>
      <c r="C2913" s="2" t="s">
        <v>594</v>
      </c>
      <c r="D2913" s="2" t="str">
        <f t="shared" si="44"/>
        <v>Error?</v>
      </c>
    </row>
    <row r="2914" spans="1:4" x14ac:dyDescent="0.2">
      <c r="A2914" s="5">
        <v>2853</v>
      </c>
      <c r="B2914" s="138">
        <f>'Assets-Liab 5-6'!L33</f>
        <v>157203</v>
      </c>
      <c r="D2914" s="2" t="str">
        <f t="shared" si="44"/>
        <v>Error?</v>
      </c>
    </row>
    <row r="2915" spans="1:4" x14ac:dyDescent="0.2">
      <c r="A2915" s="10">
        <v>2854</v>
      </c>
      <c r="D2915" s="2" t="str">
        <f t="shared" si="44"/>
        <v>OK</v>
      </c>
    </row>
    <row r="2916" spans="1:4" x14ac:dyDescent="0.2">
      <c r="A2916" s="5">
        <v>2855</v>
      </c>
      <c r="B2916" s="138">
        <f>'Assets-Liab 5-6'!L34</f>
        <v>157203</v>
      </c>
      <c r="C2916" s="2" t="s">
        <v>594</v>
      </c>
      <c r="D2916" s="2" t="str">
        <f t="shared" si="44"/>
        <v>Error?</v>
      </c>
    </row>
    <row r="2917" spans="1:4" x14ac:dyDescent="0.2">
      <c r="A2917" s="5">
        <v>2856</v>
      </c>
      <c r="B2917" s="138">
        <f>'Assets-Liab 5-6'!L41</f>
        <v>237169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136132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5992</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136132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5992</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9836</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9836</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108625</v>
      </c>
      <c r="D3055" s="2" t="str">
        <f t="shared" si="46"/>
        <v>Error?</v>
      </c>
    </row>
    <row r="3056" spans="1:4" x14ac:dyDescent="0.2">
      <c r="A3056" s="5">
        <v>2995</v>
      </c>
      <c r="B3056" s="138">
        <f>'Expenditures 15-22'!D10</f>
        <v>15758</v>
      </c>
      <c r="D3056" s="2" t="str">
        <f t="shared" si="46"/>
        <v>Error?</v>
      </c>
    </row>
    <row r="3057" spans="1:4" x14ac:dyDescent="0.2">
      <c r="A3057" s="5">
        <v>2996</v>
      </c>
      <c r="B3057" s="138">
        <f>'Expenditures 15-22'!E10</f>
        <v>8137</v>
      </c>
      <c r="D3057" s="2" t="str">
        <f t="shared" si="46"/>
        <v>Error?</v>
      </c>
    </row>
    <row r="3058" spans="1:4" x14ac:dyDescent="0.2">
      <c r="A3058" s="5">
        <v>2997</v>
      </c>
      <c r="B3058" s="138">
        <f>'Expenditures 15-22'!F10</f>
        <v>13320</v>
      </c>
      <c r="D3058" s="2" t="str">
        <f t="shared" si="46"/>
        <v>Error?</v>
      </c>
    </row>
    <row r="3059" spans="1:4" x14ac:dyDescent="0.2">
      <c r="A3059" s="5">
        <v>2998</v>
      </c>
      <c r="B3059" s="138">
        <f>'Expenditures 15-22'!G10</f>
        <v>11260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157100</v>
      </c>
      <c r="C3062" s="2" t="s">
        <v>594</v>
      </c>
      <c r="D3062" s="2" t="str">
        <f t="shared" si="46"/>
        <v>Error?</v>
      </c>
    </row>
    <row r="3063" spans="1:4" x14ac:dyDescent="0.2">
      <c r="A3063" s="10">
        <v>3002</v>
      </c>
      <c r="D3063" s="2" t="str">
        <f t="shared" si="46"/>
        <v>OK</v>
      </c>
    </row>
    <row r="3064" spans="1:4" x14ac:dyDescent="0.2">
      <c r="A3064" s="5">
        <v>3003</v>
      </c>
      <c r="B3064" s="138">
        <f>'Expenditures 15-22'!D219</f>
        <v>2490</v>
      </c>
      <c r="D3064" s="2" t="str">
        <f t="shared" si="46"/>
        <v>Error?</v>
      </c>
    </row>
    <row r="3065" spans="1:4" x14ac:dyDescent="0.2">
      <c r="A3065" s="5">
        <v>3004</v>
      </c>
      <c r="B3065" s="138">
        <f>'Expenditures 15-22'!K219</f>
        <v>2490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79966</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71800</v>
      </c>
      <c r="C3225" s="2" t="s">
        <v>594</v>
      </c>
      <c r="D3225" s="2" t="str">
        <f t="shared" si="49"/>
        <v>Error?</v>
      </c>
    </row>
    <row r="3226" spans="1:4" x14ac:dyDescent="0.2">
      <c r="A3226" s="5">
        <v>3165</v>
      </c>
      <c r="B3226" s="138">
        <f>'Acct Summary 7-8'!I8</f>
        <v>71800</v>
      </c>
      <c r="C3226" s="2" t="s">
        <v>594</v>
      </c>
      <c r="D3226" s="2" t="str">
        <f t="shared" si="49"/>
        <v>Error?</v>
      </c>
    </row>
    <row r="3227" spans="1:4" x14ac:dyDescent="0.2">
      <c r="A3227" s="5">
        <v>3166</v>
      </c>
      <c r="B3227" s="138">
        <f>'Acct Summary 7-8'!I20</f>
        <v>71800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68765</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68765</v>
      </c>
      <c r="C3232" s="2" t="s">
        <v>594</v>
      </c>
      <c r="D3232" s="2" t="str">
        <f t="shared" si="49"/>
        <v>Error?</v>
      </c>
    </row>
    <row r="3233" spans="1:4" x14ac:dyDescent="0.2">
      <c r="A3233" s="5">
        <v>3172</v>
      </c>
      <c r="B3233" s="138">
        <f>'Acct Summary 7-8'!C78</f>
        <v>125742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275760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275760</v>
      </c>
      <c r="C3238" s="2" t="s">
        <v>594</v>
      </c>
      <c r="D3238" s="2" t="str">
        <f t="shared" si="49"/>
        <v>Error?</v>
      </c>
    </row>
    <row r="3239" spans="1:4" x14ac:dyDescent="0.2">
      <c r="A3239" s="5">
        <v>3178</v>
      </c>
      <c r="B3239" s="138">
        <f>'Acct Summary 7-8'!D78</f>
        <v>-169438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165313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-88152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131000</v>
      </c>
      <c r="C3276" s="2" t="s">
        <v>594</v>
      </c>
      <c r="D3276" s="2" t="str">
        <f t="shared" si="50"/>
        <v>Error?</v>
      </c>
    </row>
    <row r="3277" spans="1:4" x14ac:dyDescent="0.2">
      <c r="A3277" s="5">
        <v>3216</v>
      </c>
      <c r="B3277" s="138">
        <f>'Acct Summary 7-8'!E77</f>
        <v>-131000</v>
      </c>
      <c r="C3277" s="2" t="s">
        <v>594</v>
      </c>
      <c r="D3277" s="2" t="str">
        <f t="shared" si="50"/>
        <v>Error?</v>
      </c>
    </row>
    <row r="3278" spans="1:4" x14ac:dyDescent="0.2">
      <c r="A3278" s="5">
        <v>3217</v>
      </c>
      <c r="B3278" s="138">
        <f>'Acct Summary 7-8'!E78</f>
        <v>-152864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12000000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12000000</v>
      </c>
      <c r="C3299" s="2" t="s">
        <v>594</v>
      </c>
      <c r="D3299" s="2" t="str">
        <f t="shared" si="50"/>
        <v>Error?</v>
      </c>
    </row>
    <row r="3300" spans="1:4" x14ac:dyDescent="0.2">
      <c r="A3300" s="5">
        <v>3239</v>
      </c>
      <c r="B3300" s="138">
        <f>'Acct Summary 7-8'!H78</f>
        <v>11289800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212675</v>
      </c>
      <c r="C3318" s="2" t="s">
        <v>594</v>
      </c>
      <c r="D3318" s="2" t="str">
        <f t="shared" si="50"/>
        <v>Error?</v>
      </c>
    </row>
    <row r="3319" spans="1:4" x14ac:dyDescent="0.2">
      <c r="A3319" s="5">
        <v>3258</v>
      </c>
      <c r="B3319" s="138">
        <f>'Acct Summary 7-8'!I77</f>
        <v>-212675</v>
      </c>
      <c r="C3319" s="2" t="s">
        <v>594</v>
      </c>
      <c r="D3319" s="2" t="str">
        <f t="shared" si="50"/>
        <v>Error?</v>
      </c>
    </row>
    <row r="3320" spans="1:4" x14ac:dyDescent="0.2">
      <c r="A3320" s="5">
        <v>3259</v>
      </c>
      <c r="B3320" s="138">
        <f>'Acct Summary 7-8'!I78</f>
        <v>-140875</v>
      </c>
      <c r="C3320" s="2" t="s">
        <v>594</v>
      </c>
      <c r="D3320" s="2" t="str">
        <f t="shared" si="50"/>
        <v>Error?</v>
      </c>
    </row>
    <row r="3321" spans="1:4" x14ac:dyDescent="0.2">
      <c r="A3321" s="5">
        <v>3260</v>
      </c>
      <c r="B3321" s="138">
        <f>'Acct Summary 7-8'!I79</f>
        <v>765165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624290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1197484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83978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11721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24319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6294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1323796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51080</v>
      </c>
      <c r="D3387" s="2" t="str">
        <f t="shared" si="51"/>
        <v>Error?</v>
      </c>
    </row>
    <row r="3388" spans="1:4" x14ac:dyDescent="0.2">
      <c r="A3388" s="5">
        <v>3327</v>
      </c>
      <c r="B3388" s="138">
        <f>'Expenditures 15-22'!D217</f>
        <v>104876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51080</v>
      </c>
      <c r="C3390" s="2" t="s">
        <v>594</v>
      </c>
      <c r="D3390" s="2" t="str">
        <f t="shared" si="51"/>
        <v>Error?</v>
      </c>
    </row>
    <row r="3391" spans="1:4" x14ac:dyDescent="0.2">
      <c r="A3391" s="5">
        <v>3330</v>
      </c>
      <c r="B3391" s="138">
        <f>'Expenditures 15-22'!K217</f>
        <v>104876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225776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102197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121250</v>
      </c>
      <c r="D3417" s="2" t="str">
        <f t="shared" si="52"/>
        <v>Error?</v>
      </c>
    </row>
    <row r="3418" spans="1:4" x14ac:dyDescent="0.2">
      <c r="A3418" s="10">
        <v>3357</v>
      </c>
      <c r="D3418" s="2" t="str">
        <f t="shared" si="52"/>
        <v>OK</v>
      </c>
    </row>
    <row r="3419" spans="1:4" x14ac:dyDescent="0.2">
      <c r="A3419" s="5">
        <v>3358</v>
      </c>
      <c r="B3419" s="138">
        <f>'Assets-Liab 5-6'!F4</f>
        <v>281040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166640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11289800</v>
      </c>
      <c r="D3425" s="2" t="str">
        <f t="shared" si="52"/>
        <v>Error?</v>
      </c>
    </row>
    <row r="3426" spans="1:4" x14ac:dyDescent="0.2">
      <c r="A3426" s="10">
        <v>3365</v>
      </c>
      <c r="D3426" s="2" t="str">
        <f t="shared" si="52"/>
        <v>OK</v>
      </c>
    </row>
    <row r="3427" spans="1:4" x14ac:dyDescent="0.2">
      <c r="A3427" s="5">
        <v>3366</v>
      </c>
      <c r="B3427" s="138">
        <f>'Assets-Liab 5-6'!I4</f>
        <v>624290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237169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199835</v>
      </c>
      <c r="C3446" s="2" t="s">
        <v>594</v>
      </c>
      <c r="D3446" s="2" t="str">
        <f t="shared" si="52"/>
        <v>Error?</v>
      </c>
    </row>
    <row r="3447" spans="1:4" x14ac:dyDescent="0.2">
      <c r="A3447" s="5">
        <v>3386</v>
      </c>
      <c r="B3447" s="138">
        <f>'Tax Sched 23'!D16</f>
        <v>199835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230010.64370819999</v>
      </c>
      <c r="C3449" s="2" t="s">
        <v>594</v>
      </c>
      <c r="D3449" s="2" t="str">
        <f t="shared" si="52"/>
        <v>Error?</v>
      </c>
    </row>
    <row r="3450" spans="1:4" x14ac:dyDescent="0.2">
      <c r="A3450" s="5">
        <v>3389</v>
      </c>
      <c r="B3450" s="138">
        <f>'Tax Sched 23'!E16</f>
        <v>230010.64370819999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714013</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714013</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714013</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850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127037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127037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127037</v>
      </c>
      <c r="D3567" s="2" t="str">
        <f t="shared" si="54"/>
        <v>Error?</v>
      </c>
    </row>
    <row r="3568" spans="1:4" x14ac:dyDescent="0.2">
      <c r="A3568" s="5">
        <v>3507</v>
      </c>
      <c r="B3568" s="138">
        <f>'Assets-Liab 5-6'!K41</f>
        <v>127037</v>
      </c>
      <c r="C3568" s="2" t="s">
        <v>594</v>
      </c>
      <c r="D3568" s="2" t="str">
        <f t="shared" si="54"/>
        <v>Error?</v>
      </c>
    </row>
    <row r="3569" spans="1:4" x14ac:dyDescent="0.2">
      <c r="A3569" s="5">
        <v>3508</v>
      </c>
      <c r="B3569" s="138">
        <f>'Acct Summary 7-8'!K4</f>
        <v>25895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25895</v>
      </c>
      <c r="C3571" s="2" t="s">
        <v>594</v>
      </c>
      <c r="D3571" s="2" t="str">
        <f t="shared" si="54"/>
        <v>Error?</v>
      </c>
    </row>
    <row r="3572" spans="1:4" x14ac:dyDescent="0.2">
      <c r="A3572" s="5">
        <v>3511</v>
      </c>
      <c r="B3572" s="138">
        <f>'Acct Summary 7-8'!K13</f>
        <v>16536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16536</v>
      </c>
      <c r="C3575" s="2" t="s">
        <v>594</v>
      </c>
      <c r="D3575" s="2" t="str">
        <f t="shared" si="54"/>
        <v>Error?</v>
      </c>
    </row>
    <row r="3576" spans="1:4" x14ac:dyDescent="0.2">
      <c r="A3576" s="5">
        <v>3515</v>
      </c>
      <c r="B3576" s="138">
        <f>'Acct Summary 7-8'!K20</f>
        <v>9359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9359</v>
      </c>
      <c r="C3588" s="2" t="s">
        <v>594</v>
      </c>
      <c r="D3588" s="2" t="str">
        <f t="shared" si="55"/>
        <v>Error?</v>
      </c>
    </row>
    <row r="3589" spans="1:4" x14ac:dyDescent="0.2">
      <c r="A3589" s="5">
        <v>3528</v>
      </c>
      <c r="B3589" s="138">
        <f>'Acct Summary 7-8'!K79</f>
        <v>117678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127037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16536</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16536</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16536</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16536</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16536</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16536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16536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16536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9359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67413</v>
      </c>
      <c r="C3725" s="2" t="s">
        <v>594</v>
      </c>
      <c r="D3725" s="2" t="str">
        <f t="shared" si="57"/>
        <v>Error?</v>
      </c>
    </row>
    <row r="3726" spans="1:4" x14ac:dyDescent="0.2">
      <c r="A3726" s="5">
        <v>3665</v>
      </c>
      <c r="B3726" s="138">
        <f>'Tax Sched 23'!D13</f>
        <v>67413</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70784.771741799996</v>
      </c>
      <c r="C3728" s="2" t="s">
        <v>594</v>
      </c>
      <c r="D3728" s="2" t="str">
        <f t="shared" si="57"/>
        <v>Error?</v>
      </c>
    </row>
    <row r="3729" spans="1:4" x14ac:dyDescent="0.2">
      <c r="A3729" s="5">
        <v>3668</v>
      </c>
      <c r="B3729" s="138">
        <f>'Tax Sched 23'!E13</f>
        <v>70784.771741799996</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4013619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12640910</v>
      </c>
      <c r="C4122" s="2" t="s">
        <v>594</v>
      </c>
      <c r="D4122" s="2" t="str">
        <f t="shared" si="63"/>
        <v>Error?</v>
      </c>
    </row>
    <row r="4123" spans="1:4" x14ac:dyDescent="0.2">
      <c r="A4123" s="5">
        <v>4062</v>
      </c>
      <c r="B4123" s="138">
        <f>'Acct Summary 7-8'!D10</f>
        <v>1342104</v>
      </c>
      <c r="C4123" s="2" t="s">
        <v>594</v>
      </c>
      <c r="D4123" s="2" t="str">
        <f t="shared" si="63"/>
        <v>Error?</v>
      </c>
    </row>
    <row r="4124" spans="1:4" x14ac:dyDescent="0.2">
      <c r="A4124" s="5">
        <v>4063</v>
      </c>
      <c r="B4124" s="138">
        <f>'Acct Summary 7-8'!E10</f>
        <v>1281982</v>
      </c>
      <c r="C4124" s="2" t="s">
        <v>594</v>
      </c>
      <c r="D4124" s="2" t="str">
        <f t="shared" si="63"/>
        <v>Error?</v>
      </c>
    </row>
    <row r="4125" spans="1:4" x14ac:dyDescent="0.2">
      <c r="A4125" s="5">
        <v>4064</v>
      </c>
      <c r="B4125" s="138">
        <f>'Acct Summary 7-8'!F10</f>
        <v>1180992</v>
      </c>
      <c r="C4125" s="2" t="s">
        <v>594</v>
      </c>
      <c r="D4125" s="2" t="str">
        <f t="shared" si="63"/>
        <v>Error?</v>
      </c>
    </row>
    <row r="4126" spans="1:4" x14ac:dyDescent="0.2">
      <c r="A4126" s="5">
        <v>4065</v>
      </c>
      <c r="B4126" s="138">
        <f>'Acct Summary 7-8'!G10</f>
        <v>416900</v>
      </c>
      <c r="C4126" s="2" t="s">
        <v>594</v>
      </c>
      <c r="D4126" s="2" t="str">
        <f t="shared" si="63"/>
        <v>Error?</v>
      </c>
    </row>
    <row r="4127" spans="1:4" x14ac:dyDescent="0.2">
      <c r="A4127" s="5">
        <v>4066</v>
      </c>
      <c r="B4127" s="138">
        <f>'Acct Summary 7-8'!H10</f>
        <v>3812</v>
      </c>
      <c r="C4127" s="2" t="s">
        <v>594</v>
      </c>
      <c r="D4127" s="2" t="str">
        <f t="shared" si="63"/>
        <v>Error?</v>
      </c>
    </row>
    <row r="4128" spans="1:4" x14ac:dyDescent="0.2">
      <c r="A4128" s="5">
        <v>4067</v>
      </c>
      <c r="B4128" s="138">
        <f>'Acct Summary 7-8'!I10</f>
        <v>71800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25895</v>
      </c>
      <c r="C4130" s="2" t="s">
        <v>594</v>
      </c>
      <c r="D4130" s="2" t="str">
        <f t="shared" si="63"/>
        <v>Error?</v>
      </c>
    </row>
    <row r="4131" spans="1:4" x14ac:dyDescent="0.2">
      <c r="A4131" s="5">
        <v>4070</v>
      </c>
      <c r="B4131" s="138">
        <f>'Acct Summary 7-8'!C18</f>
        <v>4013619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12583933</v>
      </c>
      <c r="C4136" s="2" t="s">
        <v>594</v>
      </c>
      <c r="D4136" s="2" t="str">
        <f t="shared" si="63"/>
        <v>Error?</v>
      </c>
    </row>
    <row r="4137" spans="1:4" x14ac:dyDescent="0.2">
      <c r="A4137" s="5">
        <v>4076</v>
      </c>
      <c r="B4137" s="138">
        <f>'Acct Summary 7-8'!D19</f>
        <v>1787302</v>
      </c>
      <c r="C4137" s="2" t="s">
        <v>594</v>
      </c>
      <c r="D4137" s="2" t="str">
        <f t="shared" si="63"/>
        <v>Error?</v>
      </c>
    </row>
    <row r="4138" spans="1:4" x14ac:dyDescent="0.2">
      <c r="A4138" s="5">
        <v>4077</v>
      </c>
      <c r="B4138" s="138">
        <f>'Acct Summary 7-8'!E19</f>
        <v>1303846</v>
      </c>
      <c r="C4138" s="2" t="s">
        <v>594</v>
      </c>
      <c r="D4138" s="2" t="str">
        <f t="shared" si="63"/>
        <v>Error?</v>
      </c>
    </row>
    <row r="4139" spans="1:4" x14ac:dyDescent="0.2">
      <c r="A4139" s="5">
        <v>4078</v>
      </c>
      <c r="B4139" s="138">
        <f>'Acct Summary 7-8'!F19</f>
        <v>1015679</v>
      </c>
      <c r="C4139" s="2" t="s">
        <v>594</v>
      </c>
      <c r="D4139" s="2" t="str">
        <f t="shared" si="63"/>
        <v>Error?</v>
      </c>
    </row>
    <row r="4140" spans="1:4" x14ac:dyDescent="0.2">
      <c r="A4140" s="5">
        <v>4079</v>
      </c>
      <c r="B4140" s="138">
        <f>'Acct Summary 7-8'!G19</f>
        <v>505052</v>
      </c>
      <c r="C4140" s="2" t="s">
        <v>594</v>
      </c>
      <c r="D4140" s="2" t="str">
        <f t="shared" si="63"/>
        <v>Error?</v>
      </c>
    </row>
    <row r="4141" spans="1:4" x14ac:dyDescent="0.2">
      <c r="A4141" s="5">
        <v>4080</v>
      </c>
      <c r="B4141" s="138">
        <f>'Acct Summary 7-8'!H19</f>
        <v>714012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16536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12297305</v>
      </c>
      <c r="C4171" s="2" t="s">
        <v>594</v>
      </c>
      <c r="D4171" s="2" t="str">
        <f t="shared" si="64"/>
        <v>Error?</v>
      </c>
    </row>
    <row r="4172" spans="1:4" x14ac:dyDescent="0.2">
      <c r="A4172" s="5">
        <v>4111</v>
      </c>
      <c r="B4172" s="138">
        <f>'Short-Term Long-Term Debt 24'!J49</f>
        <v>12176055</v>
      </c>
      <c r="C4172" s="2" t="s">
        <v>594</v>
      </c>
      <c r="D4172" s="2" t="str">
        <f t="shared" si="64"/>
        <v>Error?</v>
      </c>
    </row>
    <row r="4173" spans="1:4" x14ac:dyDescent="0.2">
      <c r="A4173" s="5">
        <v>4112</v>
      </c>
      <c r="B4173" s="138">
        <f>'Short-Term Long-Term Debt 24'!H49</f>
        <v>1277430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22430</v>
      </c>
      <c r="D4210" s="2" t="str">
        <f t="shared" si="64"/>
        <v>Error?</v>
      </c>
    </row>
    <row r="4211" spans="1:4" x14ac:dyDescent="0.2">
      <c r="A4211" s="5">
        <v>4150</v>
      </c>
      <c r="B4211" s="138">
        <f>'Expenditures 15-22'!K206</f>
        <v>22430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10214</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2685.34</v>
      </c>
      <c r="C4265" s="2" t="s">
        <v>594</v>
      </c>
      <c r="D4265" s="2" t="str">
        <f t="shared" si="65"/>
        <v>Error?</v>
      </c>
      <c r="E4265" s="128"/>
    </row>
    <row r="4266" spans="1:5" x14ac:dyDescent="0.2">
      <c r="A4266" s="12">
        <v>4205</v>
      </c>
      <c r="B4266" s="138">
        <f>('FP Info 3'!F10)*100000</f>
        <v>488.24999999999994</v>
      </c>
      <c r="C4266" s="2" t="s">
        <v>594</v>
      </c>
      <c r="D4266" s="2" t="str">
        <f t="shared" si="65"/>
        <v>Error?</v>
      </c>
      <c r="E4266" s="128"/>
    </row>
    <row r="4267" spans="1:5" x14ac:dyDescent="0.2">
      <c r="A4267" s="12">
        <v>4206</v>
      </c>
      <c r="B4267" s="138">
        <f>('FP Info 3'!H10)*100000</f>
        <v>244.13</v>
      </c>
      <c r="C4267" s="2" t="s">
        <v>594</v>
      </c>
      <c r="D4267" s="2" t="str">
        <f t="shared" si="65"/>
        <v>Error?</v>
      </c>
      <c r="E4267" s="128"/>
    </row>
    <row r="4268" spans="1:5" x14ac:dyDescent="0.2">
      <c r="A4268" s="12">
        <v>4207</v>
      </c>
      <c r="B4268" s="138">
        <f>('FP Info 3'!J10)*100000</f>
        <v>3418</v>
      </c>
      <c r="C4268" s="2" t="s">
        <v>594</v>
      </c>
      <c r="D4268" s="2" t="str">
        <f t="shared" si="65"/>
        <v>Error?</v>
      </c>
    </row>
    <row r="4269" spans="1:5" x14ac:dyDescent="0.2">
      <c r="A4269" s="12">
        <v>4208</v>
      </c>
      <c r="B4269" s="138">
        <f>'FP Info 3'!J16</f>
        <v>1227080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12299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203910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9279</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2758</v>
      </c>
      <c r="D4409" s="2" t="str">
        <f t="shared" si="67"/>
        <v>Error?</v>
      </c>
    </row>
    <row r="4410" spans="1:4" x14ac:dyDescent="0.2">
      <c r="A4410" s="5">
        <v>4349</v>
      </c>
      <c r="B4410" s="138">
        <f>'Revenues 9-14'!G214</f>
        <v>921</v>
      </c>
      <c r="D4410" s="2" t="str">
        <f t="shared" si="67"/>
        <v>Error?</v>
      </c>
    </row>
    <row r="4411" spans="1:4" x14ac:dyDescent="0.2">
      <c r="A4411" s="5">
        <v>4350</v>
      </c>
      <c r="B4411" s="138">
        <f>'Revenues 9-14'!C216</f>
        <v>18669</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2758</v>
      </c>
      <c r="C4413" s="2" t="s">
        <v>594</v>
      </c>
      <c r="D4413" s="2" t="str">
        <f t="shared" si="67"/>
        <v>Error?</v>
      </c>
    </row>
    <row r="4414" spans="1:4" x14ac:dyDescent="0.2">
      <c r="A4414" s="5">
        <v>4353</v>
      </c>
      <c r="B4414" s="138">
        <f>'Revenues 9-14'!G216</f>
        <v>921</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42608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48.83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144961646</v>
      </c>
      <c r="D4995" s="2" t="str">
        <f t="shared" si="77"/>
        <v>Error?</v>
      </c>
    </row>
    <row r="4996" spans="1:4" x14ac:dyDescent="0.2">
      <c r="A4996" s="12">
        <v>4935</v>
      </c>
      <c r="B4996" s="138">
        <f>'FP Info 3'!H31</f>
        <v>20004707.148000002</v>
      </c>
      <c r="D4996" s="2" t="str">
        <f t="shared" si="77"/>
        <v>Error?</v>
      </c>
    </row>
    <row r="4997" spans="1:4" x14ac:dyDescent="0.2">
      <c r="A4997" s="12">
        <v>4936</v>
      </c>
      <c r="B4997" s="138">
        <f>'FP Info 3'!H37</f>
        <v>12297305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57200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3706918</v>
      </c>
      <c r="D5061" s="2" t="str">
        <f t="shared" si="78"/>
        <v>Error?</v>
      </c>
    </row>
    <row r="5062" spans="1:4" x14ac:dyDescent="0.2">
      <c r="A5062" s="10">
        <v>5001</v>
      </c>
      <c r="D5062" s="2" t="str">
        <f t="shared" si="78"/>
        <v>OK</v>
      </c>
    </row>
    <row r="5063" spans="1:4" x14ac:dyDescent="0.2">
      <c r="A5063" s="5">
        <v>5002</v>
      </c>
      <c r="B5063" s="138">
        <f>'Revenues 9-14'!C7</f>
        <v>53931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3818049</v>
      </c>
      <c r="C5066" s="2" t="s">
        <v>594</v>
      </c>
      <c r="D5066" s="2" t="str">
        <f t="shared" si="78"/>
        <v>Error?</v>
      </c>
    </row>
    <row r="5067" spans="1:4" x14ac:dyDescent="0.2">
      <c r="A5067" s="5">
        <v>5006</v>
      </c>
      <c r="B5067" s="138">
        <f>'Revenues 9-14'!C14</f>
        <v>603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603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153012</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153012</v>
      </c>
      <c r="C5087" s="2" t="s">
        <v>594</v>
      </c>
      <c r="D5087" s="2" t="str">
        <f t="shared" si="78"/>
        <v>Error?</v>
      </c>
    </row>
    <row r="5088" spans="1:4" x14ac:dyDescent="0.2">
      <c r="A5088" s="5">
        <v>5027</v>
      </c>
      <c r="B5088" s="138">
        <f>'Revenues 9-14'!C65</f>
        <v>5379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5379</v>
      </c>
      <c r="C5090" s="2" t="s">
        <v>594</v>
      </c>
      <c r="D5090" s="2" t="str">
        <f t="shared" si="78"/>
        <v>Error?</v>
      </c>
    </row>
    <row r="5091" spans="1:4" x14ac:dyDescent="0.2">
      <c r="A5091" s="5">
        <v>5030</v>
      </c>
      <c r="B5091" s="138">
        <f>'Revenues 9-14'!C70</f>
        <v>22959</v>
      </c>
      <c r="D5091" s="2" t="str">
        <f t="shared" si="78"/>
        <v>Error?</v>
      </c>
    </row>
    <row r="5092" spans="1:4" x14ac:dyDescent="0.2">
      <c r="A5092" s="5">
        <v>5031</v>
      </c>
      <c r="B5092" s="138">
        <f>'Revenues 9-14'!C71</f>
        <v>54005</v>
      </c>
      <c r="D5092" s="2" t="str">
        <f t="shared" si="78"/>
        <v>Error?</v>
      </c>
    </row>
    <row r="5093" spans="1:4" x14ac:dyDescent="0.2">
      <c r="A5093" s="5">
        <v>5032</v>
      </c>
      <c r="B5093" s="138">
        <f>'Revenues 9-14'!C72</f>
        <v>13881</v>
      </c>
      <c r="D5093" s="2" t="str">
        <f t="shared" si="78"/>
        <v>Error?</v>
      </c>
    </row>
    <row r="5094" spans="1:4" x14ac:dyDescent="0.2">
      <c r="A5094" s="5">
        <v>5033</v>
      </c>
      <c r="B5094" s="138">
        <f>'Revenues 9-14'!C73</f>
        <v>19336</v>
      </c>
      <c r="D5094" s="2" t="str">
        <f t="shared" si="78"/>
        <v>Error?</v>
      </c>
    </row>
    <row r="5095" spans="1:4" x14ac:dyDescent="0.2">
      <c r="A5095" s="5">
        <v>5034</v>
      </c>
      <c r="B5095" s="138">
        <f>'Revenues 9-14'!C74</f>
        <v>15047</v>
      </c>
      <c r="D5095" s="2" t="str">
        <f t="shared" si="78"/>
        <v>Error?</v>
      </c>
    </row>
    <row r="5096" spans="1:4" x14ac:dyDescent="0.2">
      <c r="A5096" s="5">
        <v>5035</v>
      </c>
      <c r="B5096" s="138">
        <f>'Revenues 9-14'!C75</f>
        <v>249227</v>
      </c>
      <c r="C5096" s="2" t="s">
        <v>594</v>
      </c>
      <c r="D5096" s="2" t="str">
        <f t="shared" si="78"/>
        <v>Error?</v>
      </c>
    </row>
    <row r="5097" spans="1:4" x14ac:dyDescent="0.2">
      <c r="A5097" s="5">
        <v>5036</v>
      </c>
      <c r="B5097" s="138">
        <f>'Revenues 9-14'!C77</f>
        <v>46289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37732</v>
      </c>
      <c r="D5099" s="2" t="str">
        <f t="shared" si="78"/>
        <v>Error?</v>
      </c>
    </row>
    <row r="5100" spans="1:4" x14ac:dyDescent="0.2">
      <c r="A5100" s="5">
        <v>5039</v>
      </c>
      <c r="B5100" s="138">
        <f>'Revenues 9-14'!C80</f>
        <v>4524</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88545</v>
      </c>
      <c r="C5102" s="2" t="s">
        <v>594</v>
      </c>
      <c r="D5102" s="2" t="str">
        <f t="shared" si="78"/>
        <v>Error?</v>
      </c>
    </row>
    <row r="5103" spans="1:4" x14ac:dyDescent="0.2">
      <c r="A5103" s="5">
        <v>5042</v>
      </c>
      <c r="B5103" s="138">
        <f>'Revenues 9-14'!C84</f>
        <v>52812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52812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79811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3385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8318</v>
      </c>
      <c r="D5119" s="2" t="str">
        <f t="shared" ref="D5119:D5182" si="79">IF(ISBLANK(B5119),"OK",IF(A5119-B5119=0,"OK","Error?"))</f>
        <v>Error?</v>
      </c>
    </row>
    <row r="5120" spans="1:4" x14ac:dyDescent="0.2">
      <c r="A5120" s="5">
        <v>5059</v>
      </c>
      <c r="B5120" s="138">
        <f>'Revenues 9-14'!C108</f>
        <v>98884</v>
      </c>
      <c r="C5120" s="2" t="s">
        <v>594</v>
      </c>
      <c r="D5120" s="2" t="str">
        <f t="shared" si="79"/>
        <v>Error?</v>
      </c>
    </row>
    <row r="5121" spans="1:4" x14ac:dyDescent="0.2">
      <c r="A5121" s="5">
        <v>5060</v>
      </c>
      <c r="B5121" s="138">
        <f>'Revenues 9-14'!C109</f>
        <v>4466511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2732571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2732571</v>
      </c>
      <c r="C5132" s="2" t="s">
        <v>594</v>
      </c>
      <c r="D5132" s="2" t="str">
        <f t="shared" si="79"/>
        <v>Error?</v>
      </c>
    </row>
    <row r="5133" spans="1:4" x14ac:dyDescent="0.2">
      <c r="A5133" s="5">
        <v>5072</v>
      </c>
      <c r="B5133" s="138">
        <f>'Revenues 9-14'!C124</f>
        <v>115247</v>
      </c>
      <c r="D5133" s="2" t="str">
        <f t="shared" si="79"/>
        <v>Error?</v>
      </c>
    </row>
    <row r="5134" spans="1:4" x14ac:dyDescent="0.2">
      <c r="A5134" s="5">
        <v>5073</v>
      </c>
      <c r="B5134" s="138">
        <f>'Revenues 9-14'!C125</f>
        <v>69826</v>
      </c>
      <c r="D5134" s="2" t="str">
        <f t="shared" si="79"/>
        <v>Error?</v>
      </c>
    </row>
    <row r="5135" spans="1:4" x14ac:dyDescent="0.2">
      <c r="A5135" s="5">
        <v>5074</v>
      </c>
      <c r="B5135" s="138">
        <f>'Revenues 9-14'!C126</f>
        <v>120392</v>
      </c>
      <c r="D5135" s="2" t="str">
        <f t="shared" si="79"/>
        <v>Error?</v>
      </c>
    </row>
    <row r="5136" spans="1:4" x14ac:dyDescent="0.2">
      <c r="A5136" s="10">
        <v>5075</v>
      </c>
      <c r="D5136" s="2" t="str">
        <f t="shared" si="79"/>
        <v>OK</v>
      </c>
    </row>
    <row r="5137" spans="1:4" x14ac:dyDescent="0.2">
      <c r="A5137" s="5">
        <v>5076</v>
      </c>
      <c r="B5137" s="138">
        <f>'Revenues 9-14'!C127</f>
        <v>7415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1545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314425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13905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4569</v>
      </c>
      <c r="D5167" s="2" t="str">
        <f t="shared" si="79"/>
        <v>Error?</v>
      </c>
    </row>
    <row r="5168" spans="1:4" x14ac:dyDescent="0.2">
      <c r="A5168" s="5">
        <v>5107</v>
      </c>
      <c r="B5168" s="138">
        <f>'Revenues 9-14'!C147</f>
        <v>14097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303827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651573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3384144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237930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78822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316752</v>
      </c>
      <c r="C5246" s="2" t="s">
        <v>594</v>
      </c>
      <c r="D5246" s="2" t="str">
        <f t="shared" si="80"/>
        <v>Error?</v>
      </c>
    </row>
    <row r="5247" spans="1:4" x14ac:dyDescent="0.2">
      <c r="A5247" s="5">
        <v>5186</v>
      </c>
      <c r="B5247" s="138">
        <f>'Revenues 9-14'!C203</f>
        <v>182398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9390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182398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776636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776636</v>
      </c>
      <c r="C5326" s="2" t="s">
        <v>594</v>
      </c>
      <c r="D5326" s="2" t="str">
        <f t="shared" si="82"/>
        <v>Error?</v>
      </c>
    </row>
    <row r="5327" spans="1:4" x14ac:dyDescent="0.2">
      <c r="A5327" s="5">
        <v>5266</v>
      </c>
      <c r="B5327" s="138">
        <f>'Revenues 9-14'!C275</f>
        <v>8627291</v>
      </c>
      <c r="C5327" s="2" t="s">
        <v>594</v>
      </c>
      <c r="D5327" s="2" t="str">
        <f t="shared" si="82"/>
        <v>Error?</v>
      </c>
    </row>
    <row r="5328" spans="1:4" x14ac:dyDescent="0.2">
      <c r="A5328" s="5">
        <v>5267</v>
      </c>
      <c r="B5328" s="138">
        <f>'Revenues 9-14'!D5</f>
        <v>674020</v>
      </c>
      <c r="D5328" s="2" t="str">
        <f t="shared" si="82"/>
        <v>Error?</v>
      </c>
    </row>
    <row r="5329" spans="1:4" x14ac:dyDescent="0.2">
      <c r="A5329" s="10">
        <v>5268</v>
      </c>
      <c r="D5329" s="2" t="str">
        <f t="shared" si="82"/>
        <v>OK</v>
      </c>
    </row>
    <row r="5330" spans="1:4" x14ac:dyDescent="0.2">
      <c r="A5330" s="5">
        <v>5269</v>
      </c>
      <c r="B5330" s="138">
        <f>'Revenues 9-14'!D6</f>
        <v>10213</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684233</v>
      </c>
      <c r="C5334" s="2" t="s">
        <v>594</v>
      </c>
      <c r="D5334" s="2" t="str">
        <f t="shared" si="82"/>
        <v>Error?</v>
      </c>
    </row>
    <row r="5335" spans="1:4" x14ac:dyDescent="0.2">
      <c r="A5335" s="5">
        <v>5274</v>
      </c>
      <c r="B5335" s="138">
        <f>'Revenues 9-14'!D14</f>
        <v>119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403271</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403390</v>
      </c>
      <c r="C5339" s="2" t="s">
        <v>594</v>
      </c>
      <c r="D5339" s="2" t="str">
        <f t="shared" si="82"/>
        <v>Error?</v>
      </c>
    </row>
    <row r="5340" spans="1:4" x14ac:dyDescent="0.2">
      <c r="A5340" s="5">
        <v>5279</v>
      </c>
      <c r="B5340" s="138">
        <f>'Revenues 9-14'!D65</f>
        <v>468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468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3045</v>
      </c>
      <c r="D5349" s="2" t="str">
        <f t="shared" si="82"/>
        <v>Error?</v>
      </c>
    </row>
    <row r="5350" spans="1:4" x14ac:dyDescent="0.2">
      <c r="A5350" s="5">
        <v>5289</v>
      </c>
      <c r="B5350" s="138">
        <f>'Revenues 9-14'!D96</f>
        <v>90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386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75551</v>
      </c>
      <c r="D5354" s="2" t="str">
        <f t="shared" si="82"/>
        <v>Error?</v>
      </c>
    </row>
    <row r="5355" spans="1:4" x14ac:dyDescent="0.2">
      <c r="A5355" s="5">
        <v>5294</v>
      </c>
      <c r="B5355" s="138">
        <f>'Revenues 9-14'!D108</f>
        <v>100442</v>
      </c>
      <c r="C5355" s="2" t="s">
        <v>594</v>
      </c>
      <c r="D5355" s="2" t="str">
        <f t="shared" si="82"/>
        <v>Error?</v>
      </c>
    </row>
    <row r="5356" spans="1:4" x14ac:dyDescent="0.2">
      <c r="A5356" s="5">
        <v>5295</v>
      </c>
      <c r="B5356" s="138">
        <f>'Revenues 9-14'!D109</f>
        <v>1188533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150000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3571</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3571</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153571</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1342104</v>
      </c>
      <c r="C5508" s="2" t="s">
        <v>594</v>
      </c>
      <c r="D5508" s="2" t="str">
        <f t="shared" si="85"/>
        <v>Error?</v>
      </c>
    </row>
    <row r="5509" spans="1:4" x14ac:dyDescent="0.2">
      <c r="A5509" s="5">
        <v>5448</v>
      </c>
      <c r="B5509" s="138">
        <f>'Revenues 9-14'!E5</f>
        <v>1280679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1280679</v>
      </c>
      <c r="C5513" s="2" t="s">
        <v>594</v>
      </c>
      <c r="D5513" s="2" t="str">
        <f t="shared" si="85"/>
        <v>Error?</v>
      </c>
    </row>
    <row r="5514" spans="1:4" x14ac:dyDescent="0.2">
      <c r="A5514" s="5">
        <v>5453</v>
      </c>
      <c r="B5514" s="138">
        <f>'Revenues 9-14'!E14</f>
        <v>217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217</v>
      </c>
      <c r="C5518" s="2" t="s">
        <v>594</v>
      </c>
      <c r="D5518" s="2" t="str">
        <f t="shared" si="85"/>
        <v>Error?</v>
      </c>
    </row>
    <row r="5519" spans="1:4" x14ac:dyDescent="0.2">
      <c r="A5519" s="5">
        <v>5458</v>
      </c>
      <c r="B5519" s="138">
        <f>'Revenues 9-14'!E65</f>
        <v>1086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1086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1281982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1281982</v>
      </c>
      <c r="C5552" s="2" t="s">
        <v>594</v>
      </c>
      <c r="D5552" s="2" t="str">
        <f t="shared" si="85"/>
        <v>Error?</v>
      </c>
    </row>
    <row r="5553" spans="1:4" x14ac:dyDescent="0.2">
      <c r="A5553" s="5">
        <v>5492</v>
      </c>
      <c r="B5553" s="138">
        <f>'Revenues 9-14'!F5</f>
        <v>337021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337021</v>
      </c>
      <c r="C5557" s="2" t="s">
        <v>594</v>
      </c>
      <c r="D5557" s="2" t="str">
        <f t="shared" si="85"/>
        <v>Error?</v>
      </c>
    </row>
    <row r="5558" spans="1:4" x14ac:dyDescent="0.2">
      <c r="A5558" s="5">
        <v>5497</v>
      </c>
      <c r="B5558" s="138">
        <f>'Revenues 9-14'!F14</f>
        <v>54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380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47</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427</v>
      </c>
      <c r="C5579" s="2" t="s">
        <v>594</v>
      </c>
      <c r="D5579" s="2" t="str">
        <f t="shared" si="86"/>
        <v>Error?</v>
      </c>
    </row>
    <row r="5580" spans="1:4" x14ac:dyDescent="0.2">
      <c r="A5580" s="5">
        <v>5519</v>
      </c>
      <c r="B5580" s="138">
        <f>'Revenues 9-14'!F65</f>
        <v>443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443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238</v>
      </c>
      <c r="D5586" s="2" t="str">
        <f t="shared" si="86"/>
        <v>Error?</v>
      </c>
    </row>
    <row r="5587" spans="1:4" x14ac:dyDescent="0.2">
      <c r="A5587" s="5">
        <v>5526</v>
      </c>
      <c r="B5587" s="138">
        <f>'Revenues 9-14'!F108</f>
        <v>238</v>
      </c>
      <c r="C5587" s="2" t="s">
        <v>594</v>
      </c>
      <c r="D5587" s="2" t="str">
        <f t="shared" si="86"/>
        <v>Error?</v>
      </c>
    </row>
    <row r="5588" spans="1:4" x14ac:dyDescent="0.2">
      <c r="A5588" s="5">
        <v>5527</v>
      </c>
      <c r="B5588" s="138">
        <f>'Revenues 9-14'!F109</f>
        <v>338183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456082</v>
      </c>
      <c r="D5615" s="2" t="str">
        <f t="shared" si="86"/>
        <v>Error?</v>
      </c>
    </row>
    <row r="5616" spans="1:4" x14ac:dyDescent="0.2">
      <c r="A5616" s="10">
        <v>5555</v>
      </c>
      <c r="D5616" s="2" t="str">
        <f t="shared" si="86"/>
        <v>OK</v>
      </c>
    </row>
    <row r="5617" spans="1:4" x14ac:dyDescent="0.2">
      <c r="A5617" s="5">
        <v>5556</v>
      </c>
      <c r="B5617" s="138">
        <f>'Revenues 9-14'!F152</f>
        <v>363632</v>
      </c>
      <c r="D5617" s="2" t="str">
        <f t="shared" si="86"/>
        <v>Error?</v>
      </c>
    </row>
    <row r="5618" spans="1:4" x14ac:dyDescent="0.2">
      <c r="A5618" s="5">
        <v>5557</v>
      </c>
      <c r="B5618" s="138">
        <f>'Revenues 9-14'!F154</f>
        <v>819714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16500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836214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836214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3837</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3837</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6595</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6595</v>
      </c>
      <c r="C5719" s="2" t="s">
        <v>594</v>
      </c>
      <c r="D5719" s="2" t="str">
        <f t="shared" si="88"/>
        <v>Error?</v>
      </c>
    </row>
    <row r="5720" spans="1:4" x14ac:dyDescent="0.2">
      <c r="A5720" s="5">
        <v>5659</v>
      </c>
      <c r="B5720" s="138">
        <f>'Revenues 9-14'!F275</f>
        <v>1180992</v>
      </c>
      <c r="C5720" s="2" t="s">
        <v>594</v>
      </c>
      <c r="D5720" s="2" t="str">
        <f t="shared" si="88"/>
        <v>Error?</v>
      </c>
    </row>
    <row r="5721" spans="1:4" x14ac:dyDescent="0.2">
      <c r="A5721" s="5">
        <v>5660</v>
      </c>
      <c r="B5721" s="138">
        <f>'Revenues 9-14'!G5</f>
        <v>199835</v>
      </c>
      <c r="D5721" s="2" t="str">
        <f t="shared" si="88"/>
        <v>Error?</v>
      </c>
    </row>
    <row r="5722" spans="1:4" x14ac:dyDescent="0.2">
      <c r="A5722" s="5">
        <v>5661</v>
      </c>
      <c r="B5722" s="138">
        <f>'Revenues 9-14'!G7</f>
        <v>0</v>
      </c>
      <c r="D5722" s="2" t="str">
        <f t="shared" si="88"/>
        <v>Error?</v>
      </c>
    </row>
    <row r="5723" spans="1:4" x14ac:dyDescent="0.2">
      <c r="A5723" s="5">
        <v>5662</v>
      </c>
      <c r="B5723" s="138">
        <f>'Revenues 9-14'!G8</f>
        <v>199835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399670</v>
      </c>
      <c r="C5725" s="2" t="s">
        <v>594</v>
      </c>
      <c r="D5725" s="2" t="str">
        <f t="shared" si="88"/>
        <v>Error?</v>
      </c>
    </row>
    <row r="5726" spans="1:4" x14ac:dyDescent="0.2">
      <c r="A5726" s="5">
        <v>5665</v>
      </c>
      <c r="B5726" s="138">
        <f>'Revenues 9-14'!G14</f>
        <v>73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73</v>
      </c>
      <c r="C5730" s="2" t="s">
        <v>594</v>
      </c>
      <c r="D5730" s="2" t="str">
        <f t="shared" si="88"/>
        <v>Error?</v>
      </c>
    </row>
    <row r="5731" spans="1:4" x14ac:dyDescent="0.2">
      <c r="A5731" s="5">
        <v>5670</v>
      </c>
      <c r="B5731" s="138">
        <f>'Revenues 9-14'!G65</f>
        <v>1324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1324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12186</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12186</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12186</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2726</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2726</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3647</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3647</v>
      </c>
      <c r="C5869" s="2" t="s">
        <v>594</v>
      </c>
      <c r="D5869" s="2" t="str">
        <f t="shared" si="90"/>
        <v>Error?</v>
      </c>
    </row>
    <row r="5870" spans="1:4" x14ac:dyDescent="0.2">
      <c r="A5870" s="5">
        <v>5809</v>
      </c>
      <c r="B5870" s="138">
        <f>'Revenues 9-14'!G275</f>
        <v>416900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3812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3812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3812</v>
      </c>
      <c r="C5915" s="2" t="s">
        <v>594</v>
      </c>
      <c r="D5915" s="2" t="str">
        <f t="shared" si="91"/>
        <v>Error?</v>
      </c>
    </row>
    <row r="5916" spans="1:4" x14ac:dyDescent="0.2">
      <c r="A5916" s="5">
        <v>5855</v>
      </c>
      <c r="B5916" s="138">
        <f>'Revenues 9-14'!I5</f>
        <v>67413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67413</v>
      </c>
      <c r="C5918" s="2" t="s">
        <v>594</v>
      </c>
      <c r="D5918" s="2" t="str">
        <f t="shared" si="91"/>
        <v>Error?</v>
      </c>
    </row>
    <row r="5919" spans="1:4" x14ac:dyDescent="0.2">
      <c r="A5919" s="5">
        <v>5858</v>
      </c>
      <c r="B5919" s="138">
        <f>'Revenues 9-14'!I14</f>
        <v>11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v>
      </c>
      <c r="C5923" s="2" t="s">
        <v>594</v>
      </c>
      <c r="D5923" s="2" t="str">
        <f t="shared" si="91"/>
        <v>Error?</v>
      </c>
    </row>
    <row r="5924" spans="1:4" x14ac:dyDescent="0.2">
      <c r="A5924" s="5">
        <v>5863</v>
      </c>
      <c r="B5924" s="138">
        <f>'Revenues 9-14'!I65</f>
        <v>4376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4376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71800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25237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25237</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658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658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25895</v>
      </c>
      <c r="C6023" s="2" t="s">
        <v>594</v>
      </c>
      <c r="D6023" s="2" t="str">
        <f t="shared" si="93"/>
        <v>Error?</v>
      </c>
    </row>
    <row r="6024" spans="1:5" x14ac:dyDescent="0.2">
      <c r="A6024" s="5">
        <v>5963</v>
      </c>
      <c r="B6024" s="138">
        <f>'Revenues 9-14'!G109</f>
        <v>401067</v>
      </c>
      <c r="C6024" s="2" t="s">
        <v>594</v>
      </c>
      <c r="D6024" s="2" t="str">
        <f t="shared" si="93"/>
        <v>Error?</v>
      </c>
    </row>
    <row r="6025" spans="1:5" x14ac:dyDescent="0.2">
      <c r="A6025" s="5">
        <v>5964</v>
      </c>
      <c r="B6025" s="138">
        <f>'Revenues 9-14'!H109</f>
        <v>3812</v>
      </c>
      <c r="C6025" s="2" t="s">
        <v>594</v>
      </c>
      <c r="D6025" s="2" t="str">
        <f t="shared" si="93"/>
        <v>Error?</v>
      </c>
    </row>
    <row r="6026" spans="1:5" x14ac:dyDescent="0.2">
      <c r="A6026" s="5">
        <v>5965</v>
      </c>
      <c r="B6026" s="138">
        <f>'Revenues 9-14'!I109</f>
        <v>71800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25895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123999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48502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994.01400000000001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74020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6186</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74020</v>
      </c>
      <c r="D6215" s="2" t="str">
        <f t="shared" si="96"/>
        <v>Error?</v>
      </c>
      <c r="E6215" s="2" t="s">
        <v>199</v>
      </c>
    </row>
    <row r="6216" spans="1:5" x14ac:dyDescent="0.2">
      <c r="A6216">
        <v>6155</v>
      </c>
      <c r="B6216" s="138">
        <f>'Assets-Liab 5-6'!J41</f>
        <v>74020</v>
      </c>
      <c r="D6216" s="2" t="str">
        <f t="shared" si="96"/>
        <v>Error?</v>
      </c>
      <c r="E6216" s="2" t="s">
        <v>199</v>
      </c>
    </row>
    <row r="6217" spans="1:5" x14ac:dyDescent="0.2">
      <c r="A6217">
        <v>6156</v>
      </c>
      <c r="B6217" s="138">
        <f>'Assets-Liab 5-6'!J4</f>
        <v>74020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1100327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1100327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1100327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1300146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1300146</v>
      </c>
      <c r="D6229" s="2" t="str">
        <f t="shared" si="96"/>
        <v>Error?</v>
      </c>
      <c r="E6229" s="2" t="s">
        <v>199</v>
      </c>
    </row>
    <row r="6230" spans="1:5" x14ac:dyDescent="0.2">
      <c r="A6230">
        <v>6169</v>
      </c>
      <c r="B6230" s="138">
        <f>'Acct Summary 7-8'!J20</f>
        <v>-199819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-199819</v>
      </c>
      <c r="D6263" s="2" t="str">
        <f t="shared" si="96"/>
        <v>Error?</v>
      </c>
      <c r="E6263" s="2" t="s">
        <v>199</v>
      </c>
    </row>
    <row r="6264" spans="1:5" x14ac:dyDescent="0.2">
      <c r="A6264">
        <v>6203</v>
      </c>
      <c r="B6264" s="138">
        <f>'Acct Summary 7-8'!J79</f>
        <v>273839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74020</v>
      </c>
      <c r="D6266" s="2" t="str">
        <f t="shared" si="96"/>
        <v>Error?</v>
      </c>
      <c r="E6266" s="2" t="s">
        <v>199</v>
      </c>
    </row>
    <row r="6267" spans="1:5" x14ac:dyDescent="0.2">
      <c r="A6267">
        <v>6206</v>
      </c>
      <c r="B6267" s="138">
        <f>'Acct Summary 7-8'!C82</f>
        <v>125742</v>
      </c>
      <c r="D6267" s="2" t="str">
        <f t="shared" si="96"/>
        <v>Error?</v>
      </c>
      <c r="E6267" s="2" t="s">
        <v>199</v>
      </c>
    </row>
    <row r="6268" spans="1:5" x14ac:dyDescent="0.2">
      <c r="A6268">
        <v>6207</v>
      </c>
      <c r="B6268" s="138">
        <f>'Acct Summary 7-8'!D82</f>
        <v>-169438</v>
      </c>
      <c r="D6268" s="2" t="str">
        <f t="shared" si="96"/>
        <v>Error?</v>
      </c>
      <c r="E6268" s="2" t="s">
        <v>199</v>
      </c>
    </row>
    <row r="6269" spans="1:5" x14ac:dyDescent="0.2">
      <c r="A6269">
        <v>6208</v>
      </c>
      <c r="B6269" s="138">
        <f>'Acct Summary 7-8'!E82</f>
        <v>-152864</v>
      </c>
      <c r="D6269" s="2" t="str">
        <f t="shared" si="96"/>
        <v>Error?</v>
      </c>
      <c r="E6269" s="2" t="s">
        <v>199</v>
      </c>
    </row>
    <row r="6270" spans="1:5" x14ac:dyDescent="0.2">
      <c r="A6270">
        <v>6209</v>
      </c>
      <c r="B6270" s="138">
        <f>'Acct Summary 7-8'!F82</f>
        <v>165313</v>
      </c>
      <c r="D6270" s="2" t="str">
        <f t="shared" si="96"/>
        <v>Error?</v>
      </c>
      <c r="E6270" s="2" t="s">
        <v>199</v>
      </c>
    </row>
    <row r="6271" spans="1:5" x14ac:dyDescent="0.2">
      <c r="A6271">
        <v>6210</v>
      </c>
      <c r="B6271" s="138">
        <f>'Acct Summary 7-8'!G82</f>
        <v>-88152</v>
      </c>
      <c r="D6271" s="2" t="str">
        <f t="shared" ref="D6271:D6334" si="97">IF(ISBLANK(B6271),"OK",IF(A6271-B6271=0,"OK","Error?"))</f>
        <v>Error?</v>
      </c>
      <c r="E6271" s="2" t="s">
        <v>199</v>
      </c>
    </row>
    <row r="6272" spans="1:5" x14ac:dyDescent="0.2">
      <c r="A6272">
        <v>6211</v>
      </c>
      <c r="B6272" s="138">
        <f>'Acct Summary 7-8'!H82</f>
        <v>11289800</v>
      </c>
      <c r="D6272" s="2" t="str">
        <f t="shared" si="97"/>
        <v>Error?</v>
      </c>
      <c r="E6272" s="2" t="s">
        <v>199</v>
      </c>
    </row>
    <row r="6273" spans="1:5" x14ac:dyDescent="0.2">
      <c r="A6273">
        <v>6212</v>
      </c>
      <c r="B6273" s="138">
        <f>'Acct Summary 7-8'!I82</f>
        <v>-140875</v>
      </c>
      <c r="D6273" s="2" t="str">
        <f t="shared" si="97"/>
        <v>Error?</v>
      </c>
      <c r="E6273" s="2" t="s">
        <v>199</v>
      </c>
    </row>
    <row r="6274" spans="1:5" x14ac:dyDescent="0.2">
      <c r="A6274">
        <v>6213</v>
      </c>
      <c r="B6274" s="138">
        <f>'Acct Summary 7-8'!J82</f>
        <v>-199819</v>
      </c>
      <c r="D6274" s="2" t="str">
        <f t="shared" si="97"/>
        <v>Error?</v>
      </c>
      <c r="E6274" s="2" t="s">
        <v>199</v>
      </c>
    </row>
    <row r="6275" spans="1:5" x14ac:dyDescent="0.2">
      <c r="A6275">
        <v>6214</v>
      </c>
      <c r="B6275" s="138">
        <f>'Acct Summary 7-8'!K82</f>
        <v>9359</v>
      </c>
      <c r="D6275" s="2" t="str">
        <f t="shared" si="97"/>
        <v>Error?</v>
      </c>
      <c r="E6275" s="2" t="s">
        <v>199</v>
      </c>
    </row>
    <row r="6276" spans="1:5" x14ac:dyDescent="0.2">
      <c r="A6276">
        <v>6215</v>
      </c>
      <c r="B6276" s="138">
        <f>'Acct Summary 7-8'!C83</f>
        <v>0.57271820471594559</v>
      </c>
      <c r="D6276" s="2" t="str">
        <f t="shared" si="97"/>
        <v>Error?</v>
      </c>
      <c r="E6276" s="2" t="s">
        <v>199</v>
      </c>
    </row>
    <row r="6277" spans="1:5" x14ac:dyDescent="0.2">
      <c r="A6277">
        <v>6216</v>
      </c>
      <c r="B6277" s="138">
        <f>'Acct Summary 7-8'!D83</f>
        <v>-1.6579547344833998</v>
      </c>
      <c r="D6277" s="2" t="str">
        <f t="shared" si="97"/>
        <v>Error?</v>
      </c>
      <c r="E6277" s="2" t="s">
        <v>199</v>
      </c>
    </row>
    <row r="6278" spans="1:5" x14ac:dyDescent="0.2">
      <c r="A6278">
        <v>6217</v>
      </c>
      <c r="B6278" s="138">
        <f>'Acct Summary 7-8'!E83</f>
        <v>-1.2607340206185567</v>
      </c>
      <c r="D6278" s="2" t="str">
        <f t="shared" si="97"/>
        <v>Error?</v>
      </c>
      <c r="E6278" s="2" t="s">
        <v>199</v>
      </c>
    </row>
    <row r="6279" spans="1:5" x14ac:dyDescent="0.2">
      <c r="A6279">
        <v>6218</v>
      </c>
      <c r="B6279" s="138">
        <f>'Acct Summary 7-8'!F83</f>
        <v>0.58821875889553088</v>
      </c>
      <c r="D6279" s="2" t="str">
        <f t="shared" si="97"/>
        <v>Error?</v>
      </c>
      <c r="E6279" s="2" t="s">
        <v>199</v>
      </c>
    </row>
    <row r="6280" spans="1:5" x14ac:dyDescent="0.2">
      <c r="A6280">
        <v>6219</v>
      </c>
      <c r="B6280" s="138">
        <f>'Acct Summary 7-8'!G83</f>
        <v>-0.52899663946231401</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-0.22565634560861139</v>
      </c>
      <c r="D6282" s="2" t="str">
        <f t="shared" si="97"/>
        <v>Error?</v>
      </c>
      <c r="E6282" s="2" t="s">
        <v>199</v>
      </c>
    </row>
    <row r="6283" spans="1:5" x14ac:dyDescent="0.2">
      <c r="A6283">
        <v>6222</v>
      </c>
      <c r="B6283" s="138">
        <f>'Acct Summary 7-8'!J83</f>
        <v>-2.6995271548230209</v>
      </c>
      <c r="D6283" s="2" t="str">
        <f t="shared" si="97"/>
        <v>Error?</v>
      </c>
      <c r="E6283" s="2" t="s">
        <v>199</v>
      </c>
    </row>
    <row r="6284" spans="1:5" x14ac:dyDescent="0.2">
      <c r="A6284">
        <v>6223</v>
      </c>
      <c r="B6284" s="138">
        <f>'Acct Summary 7-8'!K83</f>
        <v>7.3671450049985432E-2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1097928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1097928</v>
      </c>
      <c r="D6301" s="2" t="str">
        <f t="shared" si="97"/>
        <v>Error?</v>
      </c>
      <c r="E6301" s="2" t="s">
        <v>199</v>
      </c>
    </row>
    <row r="6302" spans="1:5" x14ac:dyDescent="0.2">
      <c r="A6302">
        <v>6241</v>
      </c>
      <c r="B6302" s="138">
        <f>'Revenues 9-14'!J14</f>
        <v>209</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209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2190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2190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21370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7370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1100327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3691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158647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21870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178040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65764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293021</v>
      </c>
      <c r="D6880" s="2" t="str">
        <f t="shared" si="106"/>
        <v>Error?</v>
      </c>
    </row>
    <row r="6881" spans="1:4" x14ac:dyDescent="0.2">
      <c r="A6881">
        <v>6820</v>
      </c>
      <c r="B6881" s="138">
        <f>'Expenditures 15-22'!K22</f>
        <v>293021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21870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191711</v>
      </c>
      <c r="D6983" s="2" t="str">
        <f t="shared" si="108"/>
        <v>Error?</v>
      </c>
    </row>
    <row r="6984" spans="1:4" x14ac:dyDescent="0.2">
      <c r="A6984">
        <v>6923</v>
      </c>
      <c r="B6984" s="138">
        <f>'Expenditures 15-22'!K86</f>
        <v>191711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20630</v>
      </c>
      <c r="D6987" s="2" t="str">
        <f t="shared" si="108"/>
        <v>Error?</v>
      </c>
    </row>
    <row r="6988" spans="1:4" x14ac:dyDescent="0.2">
      <c r="A6988">
        <v>6927</v>
      </c>
      <c r="B6988" s="138">
        <f>'Expenditures 15-22'!K88</f>
        <v>20630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212341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21870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1300146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1100327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2305</v>
      </c>
      <c r="D7067" s="2" t="str">
        <f t="shared" si="109"/>
        <v>Error?</v>
      </c>
    </row>
    <row r="7068" spans="1:4" x14ac:dyDescent="0.2">
      <c r="A7068">
        <v>7007</v>
      </c>
      <c r="B7068" s="138">
        <f>'Expenditures 15-22'!K205</f>
        <v>2305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8147</v>
      </c>
      <c r="D7073" s="2" t="str">
        <f t="shared" si="109"/>
        <v>Error?</v>
      </c>
    </row>
    <row r="7074" spans="1:4" x14ac:dyDescent="0.2">
      <c r="A7074">
        <v>7013</v>
      </c>
      <c r="B7074" s="138">
        <f>'Expenditures 15-22'!K216</f>
        <v>8147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1027</v>
      </c>
      <c r="D7079" s="2" t="str">
        <f t="shared" si="109"/>
        <v>Error?</v>
      </c>
    </row>
    <row r="7080" spans="1:4" x14ac:dyDescent="0.2">
      <c r="A7080">
        <v>7019</v>
      </c>
      <c r="B7080" s="138">
        <f>'Expenditures 15-22'!K226</f>
        <v>1027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972</v>
      </c>
      <c r="D7093" s="2" t="str">
        <f t="shared" si="109"/>
        <v>Error?</v>
      </c>
    </row>
    <row r="7094" spans="1:4" x14ac:dyDescent="0.2">
      <c r="A7094">
        <v>7033</v>
      </c>
      <c r="B7094" s="138">
        <f>'Expenditures 15-22'!K254</f>
        <v>972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70345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70345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6817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6817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114102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114102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901874</v>
      </c>
      <c r="D7172" s="2" t="str">
        <f t="shared" si="111"/>
        <v>Error?</v>
      </c>
    </row>
    <row r="7173" spans="1:4" x14ac:dyDescent="0.2">
      <c r="A7173">
        <v>7112</v>
      </c>
      <c r="B7173" s="138">
        <f>'Expenditures 15-22'!D325</f>
        <v>66410</v>
      </c>
      <c r="D7173" s="2" t="str">
        <f t="shared" si="111"/>
        <v>Error?</v>
      </c>
    </row>
    <row r="7174" spans="1:4" x14ac:dyDescent="0.2">
      <c r="A7174">
        <v>7113</v>
      </c>
      <c r="B7174" s="138">
        <f>'Expenditures 15-22'!E325</f>
        <v>71487</v>
      </c>
      <c r="D7174" s="2" t="str">
        <f t="shared" si="111"/>
        <v>Error?</v>
      </c>
    </row>
    <row r="7175" spans="1:4" x14ac:dyDescent="0.2">
      <c r="A7175">
        <v>7114</v>
      </c>
      <c r="B7175" s="138">
        <f>'Expenditures 15-22'!F325</f>
        <v>914</v>
      </c>
      <c r="D7175" s="2" t="str">
        <f t="shared" si="111"/>
        <v>Error?</v>
      </c>
    </row>
    <row r="7176" spans="1:4" x14ac:dyDescent="0.2">
      <c r="A7176">
        <v>7115</v>
      </c>
      <c r="B7176" s="138">
        <f>'Expenditures 15-22'!G325</f>
        <v>40357</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1081042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27840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27840</v>
      </c>
      <c r="D7198" s="2" t="str">
        <f t="shared" si="111"/>
        <v>Error?</v>
      </c>
    </row>
    <row r="7199" spans="1:4" x14ac:dyDescent="0.2">
      <c r="A7199">
        <v>7138</v>
      </c>
      <c r="B7199" s="138">
        <f>'Expenditures 15-22'!C330</f>
        <v>901874</v>
      </c>
      <c r="D7199" s="2" t="str">
        <f t="shared" si="111"/>
        <v>Error?</v>
      </c>
    </row>
    <row r="7200" spans="1:4" x14ac:dyDescent="0.2">
      <c r="A7200">
        <v>7139</v>
      </c>
      <c r="B7200" s="138">
        <f>'Expenditures 15-22'!D330</f>
        <v>66410</v>
      </c>
      <c r="D7200" s="2" t="str">
        <f t="shared" si="111"/>
        <v>Error?</v>
      </c>
    </row>
    <row r="7201" spans="1:4" x14ac:dyDescent="0.2">
      <c r="A7201">
        <v>7140</v>
      </c>
      <c r="B7201" s="138">
        <f>'Expenditures 15-22'!E330</f>
        <v>290591</v>
      </c>
      <c r="D7201" s="2" t="str">
        <f t="shared" si="111"/>
        <v>Error?</v>
      </c>
    </row>
    <row r="7202" spans="1:4" x14ac:dyDescent="0.2">
      <c r="A7202">
        <v>7141</v>
      </c>
      <c r="B7202" s="138">
        <f>'Expenditures 15-22'!F330</f>
        <v>914</v>
      </c>
      <c r="D7202" s="2" t="str">
        <f t="shared" si="111"/>
        <v>Error?</v>
      </c>
    </row>
    <row r="7203" spans="1:4" x14ac:dyDescent="0.2">
      <c r="A7203">
        <v>7142</v>
      </c>
      <c r="B7203" s="138">
        <f>'Expenditures 15-22'!G330</f>
        <v>40357</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1300146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901874</v>
      </c>
      <c r="D7216" s="2" t="str">
        <f t="shared" si="111"/>
        <v>Error?</v>
      </c>
    </row>
    <row r="7217" spans="1:4" x14ac:dyDescent="0.2">
      <c r="A7217">
        <v>7156</v>
      </c>
      <c r="B7217" s="138">
        <f>'Expenditures 15-22'!D342</f>
        <v>66410</v>
      </c>
      <c r="D7217" s="2" t="str">
        <f t="shared" si="111"/>
        <v>Error?</v>
      </c>
    </row>
    <row r="7218" spans="1:4" x14ac:dyDescent="0.2">
      <c r="A7218">
        <v>7157</v>
      </c>
      <c r="B7218" s="138">
        <f>'Expenditures 15-22'!E342</f>
        <v>290591</v>
      </c>
      <c r="D7218" s="2" t="str">
        <f t="shared" si="111"/>
        <v>Error?</v>
      </c>
    </row>
    <row r="7219" spans="1:4" x14ac:dyDescent="0.2">
      <c r="A7219">
        <v>7158</v>
      </c>
      <c r="B7219" s="138">
        <f>'Expenditures 15-22'!F342</f>
        <v>914</v>
      </c>
      <c r="D7219" s="2" t="str">
        <f t="shared" si="111"/>
        <v>Error?</v>
      </c>
    </row>
    <row r="7220" spans="1:4" x14ac:dyDescent="0.2">
      <c r="A7220">
        <v>7159</v>
      </c>
      <c r="B7220" s="138">
        <f>'Expenditures 15-22'!G342</f>
        <v>40357</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1300146</v>
      </c>
      <c r="D7224" s="2" t="str">
        <f t="shared" si="111"/>
        <v>Error?</v>
      </c>
    </row>
    <row r="7225" spans="1:4" x14ac:dyDescent="0.2">
      <c r="A7225">
        <v>7164</v>
      </c>
      <c r="B7225" s="138">
        <f>'Expenditures 15-22'!K343</f>
        <v>-199819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12324</v>
      </c>
      <c r="D7246" s="2" t="str">
        <f t="shared" si="112"/>
        <v>Error?</v>
      </c>
    </row>
    <row r="7247" spans="1:4" x14ac:dyDescent="0.2">
      <c r="A7247">
        <f t="shared" si="113"/>
        <v>7186</v>
      </c>
      <c r="B7247" s="138">
        <f>'Expenditures 15-22'!E7</f>
        <v>2476</v>
      </c>
      <c r="D7247" s="2" t="str">
        <f t="shared" si="112"/>
        <v>Error?</v>
      </c>
    </row>
    <row r="7248" spans="1:4" x14ac:dyDescent="0.2">
      <c r="A7248">
        <f t="shared" si="113"/>
        <v>7187</v>
      </c>
      <c r="B7248" s="138">
        <f>'Expenditures 15-22'!F7</f>
        <v>4593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63926</v>
      </c>
      <c r="D7263" s="2" t="str">
        <f t="shared" si="112"/>
        <v>Error?</v>
      </c>
    </row>
    <row r="7264" spans="1:4" x14ac:dyDescent="0.2">
      <c r="A7264">
        <f t="shared" si="113"/>
        <v>7203</v>
      </c>
      <c r="B7264" s="138">
        <f>'Expenditures 15-22'!D17</f>
        <v>1432</v>
      </c>
      <c r="D7264" s="2" t="str">
        <f t="shared" si="112"/>
        <v>Error?</v>
      </c>
    </row>
    <row r="7265" spans="1:5" x14ac:dyDescent="0.2">
      <c r="A7265">
        <f t="shared" si="113"/>
        <v>7204</v>
      </c>
      <c r="B7265" s="138">
        <f>'Expenditures 15-22'!E17</f>
        <v>135</v>
      </c>
      <c r="D7265" s="2" t="str">
        <f t="shared" si="112"/>
        <v>Error?</v>
      </c>
    </row>
    <row r="7266" spans="1:5" x14ac:dyDescent="0.2">
      <c r="A7266">
        <f t="shared" si="113"/>
        <v>7205</v>
      </c>
      <c r="B7266" s="138">
        <f>'Expenditures 15-22'!F17</f>
        <v>271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621341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7370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14097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21467</v>
      </c>
      <c r="D7719" s="2" t="str">
        <f t="shared" si="126"/>
        <v>Error?</v>
      </c>
      <c r="E7719" s="2" t="s">
        <v>881</v>
      </c>
    </row>
    <row r="7720" spans="1:6" x14ac:dyDescent="0.2">
      <c r="A7720">
        <v>7659</v>
      </c>
      <c r="B7720" s="138">
        <f>'Rest Tax Levies-Tort Im 25'!H14</f>
        <v>53931</v>
      </c>
      <c r="D7720" s="2" t="str">
        <f t="shared" si="126"/>
        <v>Error?</v>
      </c>
      <c r="E7720" s="2" t="s">
        <v>881</v>
      </c>
    </row>
    <row r="7721" spans="1:6" x14ac:dyDescent="0.2">
      <c r="A7721">
        <v>7660</v>
      </c>
      <c r="B7721" s="138">
        <f>'Rest Tax Levies-Tort Im 25'!K14</f>
        <v>21467</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67915</v>
      </c>
      <c r="D7748" s="2" t="str">
        <f t="shared" si="127"/>
        <v>Error?</v>
      </c>
      <c r="E7748" s="4" t="s">
        <v>1400</v>
      </c>
    </row>
    <row r="7749" spans="1:6" x14ac:dyDescent="0.2">
      <c r="A7749">
        <v>7688</v>
      </c>
      <c r="B7749" s="138">
        <f>'Acct Summary 7-8'!D25</f>
        <v>100000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402920</v>
      </c>
      <c r="D7797" s="2" t="str">
        <f t="shared" si="127"/>
        <v>Error?</v>
      </c>
      <c r="E7797" s="4" t="s">
        <v>2020</v>
      </c>
    </row>
    <row r="7798" spans="1:5" x14ac:dyDescent="0.2">
      <c r="A7798">
        <v>7737</v>
      </c>
      <c r="B7798" s="138">
        <f>'Contracts Paid in CY 29'!F141</f>
        <v>281443</v>
      </c>
      <c r="D7798" s="2" t="str">
        <f t="shared" si="127"/>
        <v>Error?</v>
      </c>
      <c r="E7798" s="4" t="s">
        <v>2020</v>
      </c>
    </row>
    <row r="7799" spans="1:5" x14ac:dyDescent="0.2">
      <c r="A7799">
        <v>7738</v>
      </c>
      <c r="B7799" s="138">
        <f>'Contracts Paid in CY 29'!G141</f>
        <v>121477</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Bureau Valley CUSD 340</v>
      </c>
      <c r="B7" s="2403"/>
      <c r="C7" s="2403"/>
      <c r="D7" s="2440"/>
      <c r="E7" s="2441">
        <f>COVER!A13</f>
        <v>28006340026</v>
      </c>
      <c r="F7" s="2442"/>
      <c r="G7" s="2409" t="str">
        <f>COVER!T23</f>
        <v>066-004501</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HOPKINS &amp; ASSOCIATES, CPAS</v>
      </c>
      <c r="H9" s="2416"/>
      <c r="I9" s="2416"/>
      <c r="J9" s="2416"/>
      <c r="K9" s="2416"/>
      <c r="L9" s="2417"/>
    </row>
    <row r="10" spans="1:29" ht="13.5" customHeight="1" x14ac:dyDescent="0.2">
      <c r="A10" s="2399" t="str">
        <f>COVER!A38</f>
        <v xml:space="preserve">ERIC LAWSON </v>
      </c>
      <c r="B10" s="2400"/>
      <c r="C10" s="2400"/>
      <c r="D10" s="2400"/>
      <c r="E10" s="2400"/>
      <c r="F10" s="2401"/>
      <c r="G10" s="2415" t="str">
        <f>COVER!T17</f>
        <v>314 S MCCOY ST</v>
      </c>
      <c r="H10" s="2428"/>
      <c r="I10" s="2428"/>
      <c r="J10" s="2428"/>
      <c r="K10" s="2428"/>
      <c r="L10" s="2429"/>
    </row>
    <row r="11" spans="1:29" ht="13.5" customHeight="1" x14ac:dyDescent="0.2">
      <c r="A11" s="1185" t="s">
        <v>1599</v>
      </c>
      <c r="B11" s="1186"/>
      <c r="C11" s="1187"/>
      <c r="D11" s="1192"/>
      <c r="E11" s="1187"/>
      <c r="F11" s="1191"/>
      <c r="G11" s="2415" t="str">
        <f>COVER!T19</f>
        <v>GRANVILLE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JOELHOPKINS@MSN.COM</v>
      </c>
      <c r="J13" s="2437"/>
      <c r="K13" s="2437"/>
      <c r="L13" s="2438"/>
    </row>
    <row r="14" spans="1:29" ht="13.5" customHeight="1" x14ac:dyDescent="0.2">
      <c r="A14" s="2415" t="str">
        <f>COVER!A19</f>
        <v>PO BOX 289</v>
      </c>
      <c r="B14" s="2428"/>
      <c r="C14" s="2428"/>
      <c r="D14" s="2428"/>
      <c r="E14" s="2428"/>
      <c r="F14" s="2429"/>
      <c r="G14" s="1196" t="s">
        <v>1247</v>
      </c>
      <c r="H14" s="1194"/>
      <c r="I14" s="1194"/>
      <c r="J14" s="1194"/>
      <c r="K14" s="1194"/>
      <c r="L14" s="1195"/>
    </row>
    <row r="15" spans="1:29" ht="13.5" customHeight="1" x14ac:dyDescent="0.2">
      <c r="A15" s="2415" t="str">
        <f>COVER!A21</f>
        <v>MANLIUS</v>
      </c>
      <c r="B15" s="2428"/>
      <c r="C15" s="2428"/>
      <c r="D15" s="2428"/>
      <c r="E15" s="2428"/>
      <c r="F15" s="2429"/>
      <c r="G15" s="2425" t="str">
        <f>COVER!T15</f>
        <v>JOEL HOPKINS</v>
      </c>
      <c r="H15" s="2426"/>
      <c r="I15" s="2426"/>
      <c r="J15" s="2426"/>
      <c r="K15" s="2426"/>
      <c r="L15" s="2427"/>
    </row>
    <row r="16" spans="1:29" ht="12.2" customHeight="1" x14ac:dyDescent="0.2">
      <c r="A16" s="2405">
        <f>COVER!A25</f>
        <v>61338</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815-339-6630</v>
      </c>
      <c r="H18" s="2403"/>
      <c r="I18" s="2403"/>
      <c r="J18" s="2403"/>
      <c r="K18" s="2402" t="str">
        <f>COVER!X21</f>
        <v>815-339-6643</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Bureau Valley CUSD 340</v>
      </c>
      <c r="B1" s="2439"/>
      <c r="C1" s="2439"/>
      <c r="D1" s="2439"/>
    </row>
    <row r="2" spans="1:11" s="1215" customFormat="1" ht="12.75" x14ac:dyDescent="0.2">
      <c r="A2" s="2444">
        <f>'Single Audit Cover'!E7</f>
        <v>28006340026</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Bureau Valley CUSD 340</v>
      </c>
      <c r="B1" s="2447"/>
      <c r="C1" s="2447"/>
      <c r="D1" s="2447"/>
      <c r="E1" s="2447"/>
    </row>
    <row r="2" spans="1:5" x14ac:dyDescent="0.2">
      <c r="A2" s="2448">
        <f>'Single Audit Cover'!E7</f>
        <v>28006340026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786878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48502</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-203910</v>
      </c>
    </row>
    <row r="19" spans="1:4" ht="13.5" thickBot="1" x14ac:dyDescent="0.25">
      <c r="A19" s="1265" t="s">
        <v>1297</v>
      </c>
      <c r="D19" s="1266">
        <f>SUM(D10:D17)</f>
        <v>631470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631470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631470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Bureau Valley CUSD 340</v>
      </c>
      <c r="B1" s="2452"/>
      <c r="C1" s="2452"/>
      <c r="D1" s="2452"/>
      <c r="E1" s="2452"/>
      <c r="F1" s="2452"/>
    </row>
    <row r="2" spans="1:7" ht="13.5" customHeight="1" x14ac:dyDescent="0.2">
      <c r="A2" s="2453">
        <f>'Single Audit Cover'!E7</f>
        <v>28006340026</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69" t="s">
        <v>1332</v>
      </c>
      <c r="D15" s="2457" t="s">
        <v>1331</v>
      </c>
      <c r="E15" s="2457"/>
      <c r="F15" s="2457"/>
    </row>
    <row r="16" spans="1:7" ht="13.5" customHeight="1" x14ac:dyDescent="0.2">
      <c r="A16" s="1282"/>
      <c r="B16" s="1276" t="s">
        <v>1330</v>
      </c>
      <c r="C16" s="1869"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61">
        <f>+C33+C34</f>
        <v>0</v>
      </c>
      <c r="F34" s="2462"/>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68"/>
      <c r="C50" s="1868"/>
      <c r="D50" s="1868"/>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Bureau Valley CUSD 340</v>
      </c>
      <c r="C1" s="2464"/>
      <c r="D1" s="2464"/>
      <c r="E1" s="2464"/>
      <c r="F1" s="2464"/>
      <c r="G1" s="2464"/>
      <c r="H1" s="2464"/>
      <c r="I1" s="2464"/>
      <c r="J1" s="2464"/>
      <c r="K1" s="2464"/>
      <c r="L1" s="2464"/>
      <c r="M1" s="2464"/>
    </row>
    <row r="2" spans="2:14" ht="15" x14ac:dyDescent="0.2">
      <c r="B2" s="2453">
        <f>'Single Audit Cover'!E7</f>
        <v>28006340026</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2"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2091</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2104</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2095</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Bureau Valley CUSD 340</v>
      </c>
      <c r="C1" s="2472"/>
      <c r="D1" s="2472"/>
      <c r="E1" s="2472"/>
      <c r="F1" s="2472"/>
      <c r="G1" s="2472"/>
      <c r="H1" s="2472"/>
      <c r="I1" s="2472"/>
      <c r="J1" s="1422"/>
    </row>
    <row r="2" spans="2:10" s="317" customFormat="1" ht="12.75" customHeight="1" x14ac:dyDescent="0.2">
      <c r="B2" s="2473">
        <f>'Single Audit Cover'!E7</f>
        <v>28006340026</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1952</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Bureau Valley CUSD 340</v>
      </c>
      <c r="C1" s="2471"/>
      <c r="D1" s="2471"/>
      <c r="E1" s="2471"/>
      <c r="F1" s="2471"/>
      <c r="G1" s="2471"/>
      <c r="H1" s="2471"/>
      <c r="I1" s="2471"/>
      <c r="J1" s="2471"/>
      <c r="K1" s="2471"/>
      <c r="L1" s="1374"/>
      <c r="M1" s="1374"/>
    </row>
    <row r="2" spans="1:13" ht="12" customHeight="1" x14ac:dyDescent="0.2">
      <c r="B2" s="2473">
        <f>'Single Audit Cover'!E7</f>
        <v>28006340026</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Bureau Valley CUSD 340</v>
      </c>
      <c r="C1" s="2498"/>
      <c r="D1" s="2498"/>
      <c r="E1" s="2498"/>
      <c r="F1" s="2498"/>
      <c r="G1" s="2498"/>
      <c r="H1" s="2498"/>
      <c r="I1" s="2498"/>
      <c r="J1" s="2498"/>
      <c r="K1" s="2498"/>
      <c r="L1" s="1465"/>
    </row>
    <row r="2" spans="1:12" ht="12.75" customHeight="1" x14ac:dyDescent="0.2">
      <c r="B2" s="2499">
        <f>'Single Audit Cover'!E7</f>
        <v>28006340026</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Bureau Valley CUSD 340</v>
      </c>
      <c r="C1" s="2471"/>
      <c r="D1" s="2471"/>
      <c r="E1" s="1491"/>
    </row>
    <row r="2" spans="2:5" s="1282" customFormat="1" ht="12.75" customHeight="1" x14ac:dyDescent="0.2">
      <c r="B2" s="2473">
        <f>'Single Audit Cover'!E7</f>
        <v>28006340026</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144961646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2.6853399999999999E-2</v>
      </c>
      <c r="E10" s="356" t="s">
        <v>1062</v>
      </c>
      <c r="F10" s="355">
        <v>4.8824999999999997E-3</v>
      </c>
      <c r="G10" s="356" t="s">
        <v>1062</v>
      </c>
      <c r="H10" s="355">
        <v>2.4413E-3</v>
      </c>
      <c r="I10" s="356" t="s">
        <v>1063</v>
      </c>
      <c r="J10" s="1754">
        <f>ROUND(D10+F10+H10,5)</f>
        <v>3.4180000000000002E-2</v>
      </c>
      <c r="K10" s="222"/>
      <c r="L10" s="355">
        <v>4.883E-4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11222187</v>
      </c>
      <c r="E16" s="356"/>
      <c r="F16" s="1755">
        <f>SUM('Acct Summary 7-8'!C17,'Acct Summary 7-8'!D17,'Acct Summary 7-8'!F17)</f>
        <v>11373295</v>
      </c>
      <c r="G16" s="356"/>
      <c r="H16" s="1755">
        <f>SUM(D16-F16)</f>
        <v>-151108</v>
      </c>
      <c r="I16" s="222"/>
      <c r="J16" s="1755">
        <f>SUM('Acct Summary 7-8'!C81,'Acct Summary 7-8'!D81,'Acct Summary 7-8'!F81,'Acct Summary 7-8'!I81)</f>
        <v>1227080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20004707.148000002</v>
      </c>
      <c r="I31" s="368"/>
      <c r="J31" s="222"/>
      <c r="K31" s="222"/>
      <c r="L31" s="222"/>
      <c r="M31" s="222"/>
    </row>
    <row r="32" spans="1:13" ht="13.35" customHeight="1" x14ac:dyDescent="0.2">
      <c r="B32" s="369" t="s">
        <v>2091</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12297305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Bureau Valley CUSD 340</v>
      </c>
      <c r="E7" s="391"/>
      <c r="G7" s="252"/>
      <c r="H7" s="387"/>
      <c r="I7" s="387"/>
      <c r="J7" s="387"/>
      <c r="K7" s="387"/>
      <c r="L7" s="329"/>
      <c r="M7" s="329"/>
      <c r="N7" s="329"/>
      <c r="O7" s="329"/>
      <c r="P7" s="329"/>
    </row>
    <row r="8" spans="1:18" ht="12.75" x14ac:dyDescent="0.2">
      <c r="A8" s="329"/>
      <c r="B8" s="329"/>
      <c r="C8" s="389" t="s">
        <v>1187</v>
      </c>
      <c r="D8" s="392">
        <f>COVER!A13</f>
        <v>28006340026</v>
      </c>
      <c r="E8" s="393"/>
      <c r="G8" s="329"/>
      <c r="H8" s="329"/>
      <c r="I8" s="329"/>
      <c r="J8" s="329"/>
      <c r="K8" s="329"/>
      <c r="L8" s="329"/>
      <c r="M8" s="329"/>
      <c r="N8" s="329"/>
      <c r="O8" s="329"/>
      <c r="P8" s="329"/>
    </row>
    <row r="9" spans="1:18" ht="12.75" x14ac:dyDescent="0.2">
      <c r="A9" s="329"/>
      <c r="B9" s="329"/>
      <c r="C9" s="389" t="s">
        <v>737</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1227080</v>
      </c>
      <c r="I12" s="404"/>
      <c r="J12" s="404"/>
      <c r="K12" s="405">
        <f>TRUNC((H12/H13*100000),5)/100000</f>
        <v>0.10934410550000001</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11222187</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11373295</v>
      </c>
      <c r="I17" s="404"/>
      <c r="J17" s="416"/>
      <c r="K17" s="405">
        <f>TRUNC((H17/H18*100000),5)/100000</f>
        <v>1.0134651115</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11222187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0.69394929999999999</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1233303</v>
      </c>
      <c r="I24" s="422"/>
      <c r="J24" s="422"/>
      <c r="K24" s="423">
        <f>TRUNC(((H24/H25*100000)/100000),2)</f>
        <v>39.03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31592.486110000002</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4211570.7012400003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12297305</v>
      </c>
      <c r="I32" s="420"/>
      <c r="J32" s="420"/>
      <c r="K32" s="423">
        <f>TRUNC(100-((((H32/H33*100))*100)/100),2)</f>
        <v>38.520000000000003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20004707.148000002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2.9</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6" activePane="bottomLeft" state="frozen"/>
      <selection activeCell="A47" sqref="A47"/>
      <selection pane="bottomLeft" activeCell="L39" sqref="L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225776</v>
      </c>
      <c r="D4" s="466">
        <v>102197</v>
      </c>
      <c r="E4" s="466">
        <f>69747+51503</f>
        <v>121250</v>
      </c>
      <c r="F4" s="466">
        <v>281040</v>
      </c>
      <c r="G4" s="466">
        <f>40131+126509</f>
        <v>166640</v>
      </c>
      <c r="H4" s="466">
        <v>11289800</v>
      </c>
      <c r="I4" s="466">
        <v>624290</v>
      </c>
      <c r="J4" s="467">
        <v>74020</v>
      </c>
      <c r="K4" s="466">
        <v>127037</v>
      </c>
      <c r="L4" s="466">
        <v>237169</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225776</v>
      </c>
      <c r="D13" s="1759">
        <f t="shared" ref="D13:L13" si="0">SUM(D4:D12)</f>
        <v>102197</v>
      </c>
      <c r="E13" s="1759">
        <f t="shared" si="0"/>
        <v>121250</v>
      </c>
      <c r="F13" s="1759">
        <f t="shared" si="0"/>
        <v>281040</v>
      </c>
      <c r="G13" s="1759">
        <f t="shared" si="0"/>
        <v>166640</v>
      </c>
      <c r="H13" s="1759">
        <f t="shared" si="0"/>
        <v>11289800</v>
      </c>
      <c r="I13" s="1759">
        <f t="shared" si="0"/>
        <v>624290</v>
      </c>
      <c r="J13" s="1759">
        <f t="shared" si="0"/>
        <v>74020</v>
      </c>
      <c r="K13" s="1759">
        <f t="shared" si="0"/>
        <v>127037</v>
      </c>
      <c r="L13" s="1759">
        <f t="shared" si="0"/>
        <v>237169</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754625</v>
      </c>
      <c r="N16" s="484"/>
    </row>
    <row r="17" spans="1:14" s="485" customFormat="1" ht="12.75" customHeight="1" x14ac:dyDescent="0.2">
      <c r="A17" s="482" t="s">
        <v>1470</v>
      </c>
      <c r="B17" s="483">
        <v>230</v>
      </c>
      <c r="C17" s="477"/>
      <c r="D17" s="477"/>
      <c r="E17" s="477"/>
      <c r="F17" s="477"/>
      <c r="G17" s="477"/>
      <c r="H17" s="477"/>
      <c r="I17" s="477"/>
      <c r="J17" s="477"/>
      <c r="K17" s="477"/>
      <c r="L17" s="477"/>
      <c r="M17" s="467">
        <v>18186127</v>
      </c>
      <c r="N17" s="484"/>
    </row>
    <row r="18" spans="1:14" s="485" customFormat="1" ht="12.75" customHeight="1" x14ac:dyDescent="0.2">
      <c r="A18" s="482" t="s">
        <v>1471</v>
      </c>
      <c r="B18" s="483">
        <v>240</v>
      </c>
      <c r="C18" s="477"/>
      <c r="D18" s="477"/>
      <c r="E18" s="477"/>
      <c r="F18" s="477"/>
      <c r="G18" s="477"/>
      <c r="H18" s="477"/>
      <c r="I18" s="477"/>
      <c r="J18" s="477"/>
      <c r="K18" s="477"/>
      <c r="L18" s="477"/>
      <c r="M18" s="467">
        <v>1878894</v>
      </c>
      <c r="N18" s="484"/>
    </row>
    <row r="19" spans="1:14" s="485" customFormat="1" ht="12.75" customHeight="1" x14ac:dyDescent="0.2">
      <c r="A19" s="482" t="s">
        <v>1472</v>
      </c>
      <c r="B19" s="483">
        <v>250</v>
      </c>
      <c r="C19" s="477"/>
      <c r="D19" s="477"/>
      <c r="E19" s="477"/>
      <c r="F19" s="477"/>
      <c r="G19" s="477"/>
      <c r="H19" s="477"/>
      <c r="I19" s="477"/>
      <c r="J19" s="477"/>
      <c r="K19" s="477"/>
      <c r="L19" s="477"/>
      <c r="M19" s="467">
        <f>2677726+1437042</f>
        <v>4114768</v>
      </c>
      <c r="N19" s="484"/>
    </row>
    <row r="20" spans="1:14" s="485" customFormat="1" ht="12.75" customHeight="1" x14ac:dyDescent="0.2">
      <c r="A20" s="482" t="s">
        <v>1473</v>
      </c>
      <c r="B20" s="483">
        <v>260</v>
      </c>
      <c r="C20" s="477"/>
      <c r="D20" s="477"/>
      <c r="E20" s="477"/>
      <c r="F20" s="477"/>
      <c r="G20" s="477"/>
      <c r="H20" s="477"/>
      <c r="I20" s="477"/>
      <c r="J20" s="477"/>
      <c r="K20" s="477"/>
      <c r="L20" s="477"/>
      <c r="M20" s="467">
        <v>714013</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121250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12176055</v>
      </c>
    </row>
    <row r="23" spans="1:14" ht="13.5" customHeight="1" thickBot="1" x14ac:dyDescent="0.25">
      <c r="A23" s="1758" t="s">
        <v>664</v>
      </c>
      <c r="B23" s="1763"/>
      <c r="C23" s="468"/>
      <c r="D23" s="468"/>
      <c r="E23" s="468"/>
      <c r="F23" s="468"/>
      <c r="G23" s="468"/>
      <c r="H23" s="468"/>
      <c r="I23" s="468"/>
      <c r="J23" s="468"/>
      <c r="K23" s="468"/>
      <c r="L23" s="468"/>
      <c r="M23" s="1710">
        <f>SUM(M15:M22)</f>
        <v>25648427</v>
      </c>
      <c r="N23" s="1710">
        <f>SUM(N21:N22)</f>
        <v>12297305</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f>998+3098+1636+454</f>
        <v>6186</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f>-17+32+22</f>
        <v>37</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157203</v>
      </c>
      <c r="M33" s="468"/>
      <c r="N33" s="469"/>
    </row>
    <row r="34" spans="1:14" ht="13.5" customHeight="1" thickBot="1" x14ac:dyDescent="0.25">
      <c r="A34" s="1760" t="s">
        <v>675</v>
      </c>
      <c r="B34" s="1761"/>
      <c r="C34" s="1762">
        <f>SUM(C25:C33)</f>
        <v>6223</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157203</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12297305</v>
      </c>
    </row>
    <row r="37" spans="1:14" ht="13.5" thickBot="1" x14ac:dyDescent="0.25">
      <c r="A37" s="1758" t="s">
        <v>674</v>
      </c>
      <c r="B37" s="1763"/>
      <c r="C37" s="477"/>
      <c r="D37" s="477"/>
      <c r="E37" s="477"/>
      <c r="F37" s="477"/>
      <c r="G37" s="477"/>
      <c r="H37" s="477"/>
      <c r="I37" s="477"/>
      <c r="J37" s="477"/>
      <c r="K37" s="477"/>
      <c r="L37" s="480"/>
      <c r="M37" s="468"/>
      <c r="N37" s="1710">
        <f>SUM(N36:N36)</f>
        <v>12297305</v>
      </c>
    </row>
    <row r="38" spans="1:14" s="329" customFormat="1" ht="13.5" customHeight="1" thickTop="1" x14ac:dyDescent="0.2">
      <c r="A38" s="496" t="s">
        <v>440</v>
      </c>
      <c r="B38" s="483">
        <v>714</v>
      </c>
      <c r="C38" s="466">
        <v>32560</v>
      </c>
      <c r="D38" s="466"/>
      <c r="E38" s="466"/>
      <c r="F38" s="466"/>
      <c r="G38" s="466">
        <v>40131</v>
      </c>
      <c r="H38" s="466"/>
      <c r="I38" s="466"/>
      <c r="J38" s="467"/>
      <c r="K38" s="466"/>
      <c r="L38" s="481">
        <v>79966</v>
      </c>
      <c r="M38" s="497"/>
      <c r="N38" s="497"/>
    </row>
    <row r="39" spans="1:14" s="329" customFormat="1" ht="13.5" customHeight="1" x14ac:dyDescent="0.2">
      <c r="A39" s="496" t="s">
        <v>360</v>
      </c>
      <c r="B39" s="483">
        <v>730</v>
      </c>
      <c r="C39" s="466">
        <f>225776-38783</f>
        <v>186993</v>
      </c>
      <c r="D39" s="466">
        <v>102197</v>
      </c>
      <c r="E39" s="466">
        <v>121250</v>
      </c>
      <c r="F39" s="466">
        <v>281040</v>
      </c>
      <c r="G39" s="466">
        <v>126509</v>
      </c>
      <c r="H39" s="466">
        <v>11289800</v>
      </c>
      <c r="I39" s="466">
        <v>624290</v>
      </c>
      <c r="J39" s="467">
        <v>74020</v>
      </c>
      <c r="K39" s="466">
        <v>127037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25648427</v>
      </c>
      <c r="N40" s="497"/>
    </row>
    <row r="41" spans="1:14" ht="13.5" customHeight="1" thickBot="1" x14ac:dyDescent="0.25">
      <c r="A41" s="1758" t="s">
        <v>676</v>
      </c>
      <c r="B41" s="1728"/>
      <c r="C41" s="1710">
        <f>(SUM(C34,C37,C38,C39))</f>
        <v>225776</v>
      </c>
      <c r="D41" s="1710">
        <f t="shared" ref="D41:L41" si="2">SUM(D34,D37,D38:D39)</f>
        <v>102197</v>
      </c>
      <c r="E41" s="1710">
        <f t="shared" si="2"/>
        <v>121250</v>
      </c>
      <c r="F41" s="1710">
        <f t="shared" si="2"/>
        <v>281040</v>
      </c>
      <c r="G41" s="1710">
        <f t="shared" si="2"/>
        <v>166640</v>
      </c>
      <c r="H41" s="1710">
        <f t="shared" si="2"/>
        <v>11289800</v>
      </c>
      <c r="I41" s="1710">
        <f t="shared" si="2"/>
        <v>624290</v>
      </c>
      <c r="J41" s="1710">
        <f t="shared" si="2"/>
        <v>74020</v>
      </c>
      <c r="K41" s="1710">
        <f t="shared" si="2"/>
        <v>127037</v>
      </c>
      <c r="L41" s="1710">
        <f t="shared" si="2"/>
        <v>237169</v>
      </c>
      <c r="M41" s="1710">
        <f>SUM(M40)</f>
        <v>25648427</v>
      </c>
      <c r="N41" s="1710">
        <f>SUM(N37)</f>
        <v>12297305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the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48" activePane="bottomLeft" state="frozenSplit"/>
      <selection activeCell="A47" sqref="A47"/>
      <selection pane="bottomLeft" activeCell="B84" sqref="B8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0" t="s">
        <v>1237</v>
      </c>
      <c r="B3" s="2151"/>
      <c r="C3" s="1595"/>
      <c r="D3" s="1596"/>
      <c r="E3" s="1596"/>
      <c r="F3" s="1596"/>
      <c r="G3" s="1596"/>
      <c r="H3" s="1596"/>
      <c r="I3" s="1596"/>
      <c r="J3" s="1596"/>
      <c r="K3" s="1597"/>
      <c r="L3" s="506"/>
    </row>
    <row r="4" spans="1:13" ht="15.75" customHeight="1" x14ac:dyDescent="0.2">
      <c r="A4" s="2152" t="s">
        <v>1579</v>
      </c>
      <c r="B4" s="2153"/>
      <c r="C4" s="1764">
        <f>'Revenues 9-14'!C109</f>
        <v>4466511</v>
      </c>
      <c r="D4" s="1764">
        <f>'Revenues 9-14'!D109</f>
        <v>1188533</v>
      </c>
      <c r="E4" s="1764">
        <f>'Revenues 9-14'!E109</f>
        <v>1281982</v>
      </c>
      <c r="F4" s="1764">
        <f>'Revenues 9-14'!F109</f>
        <v>338183</v>
      </c>
      <c r="G4" s="1764">
        <f>'Revenues 9-14'!G109</f>
        <v>401067</v>
      </c>
      <c r="H4" s="1764">
        <f>'Revenues 9-14'!H109</f>
        <v>3812</v>
      </c>
      <c r="I4" s="1764">
        <f>'Revenues 9-14'!I109</f>
        <v>71800</v>
      </c>
      <c r="J4" s="1764">
        <f>'Revenues 9-14'!J109</f>
        <v>1100327</v>
      </c>
      <c r="K4" s="1764">
        <f>'Revenues 9-14'!K109</f>
        <v>25895</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3384144</v>
      </c>
      <c r="D6" s="1765">
        <f>'Revenues 9-14'!D173</f>
        <v>153571</v>
      </c>
      <c r="E6" s="1765">
        <f>'Revenues 9-14'!E173</f>
        <v>0</v>
      </c>
      <c r="F6" s="1765">
        <f>'Revenues 9-14'!F173</f>
        <v>836214</v>
      </c>
      <c r="G6" s="1765">
        <f>'Revenues 9-14'!G173</f>
        <v>12186</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776636</v>
      </c>
      <c r="D7" s="1765">
        <f>'Revenues 9-14'!D274</f>
        <v>0</v>
      </c>
      <c r="E7" s="1765">
        <f>'Revenues 9-14'!E274</f>
        <v>0</v>
      </c>
      <c r="F7" s="1765">
        <f>'Revenues 9-14'!F274</f>
        <v>6595</v>
      </c>
      <c r="G7" s="1765">
        <f>'Revenues 9-14'!G274</f>
        <v>3647</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8627291</v>
      </c>
      <c r="D8" s="1710">
        <f t="shared" ref="D8:K8" si="0">SUM(D4:D7)</f>
        <v>1342104</v>
      </c>
      <c r="E8" s="1710">
        <f t="shared" si="0"/>
        <v>1281982</v>
      </c>
      <c r="F8" s="1710">
        <f t="shared" si="0"/>
        <v>1180992</v>
      </c>
      <c r="G8" s="1710">
        <f t="shared" si="0"/>
        <v>416900</v>
      </c>
      <c r="H8" s="1710">
        <f t="shared" si="0"/>
        <v>3812</v>
      </c>
      <c r="I8" s="1710">
        <f t="shared" si="0"/>
        <v>71800</v>
      </c>
      <c r="J8" s="1710">
        <f t="shared" si="0"/>
        <v>1100327</v>
      </c>
      <c r="K8" s="1710">
        <f t="shared" si="0"/>
        <v>25895</v>
      </c>
      <c r="L8" s="347"/>
    </row>
    <row r="9" spans="1:13" ht="15.75" thickTop="1" x14ac:dyDescent="0.2">
      <c r="A9" s="514" t="s">
        <v>1752</v>
      </c>
      <c r="B9" s="515">
        <v>3998</v>
      </c>
      <c r="C9" s="481">
        <v>4013619</v>
      </c>
      <c r="D9" s="516"/>
      <c r="E9" s="481"/>
      <c r="F9" s="481"/>
      <c r="G9" s="517"/>
      <c r="H9" s="481"/>
      <c r="I9" s="509" t="s">
        <v>1231</v>
      </c>
      <c r="J9" s="478"/>
      <c r="K9" s="481"/>
      <c r="L9" s="347"/>
    </row>
    <row r="10" spans="1:13" s="519" customFormat="1" ht="13.5" thickBot="1" x14ac:dyDescent="0.25">
      <c r="A10" s="1758" t="s">
        <v>1235</v>
      </c>
      <c r="B10" s="1731"/>
      <c r="C10" s="1710">
        <f>SUM(C8:C9)</f>
        <v>12640910</v>
      </c>
      <c r="D10" s="1710">
        <f t="shared" ref="D10:K10" si="1">SUM(D8:D9)</f>
        <v>1342104</v>
      </c>
      <c r="E10" s="1710">
        <f t="shared" si="1"/>
        <v>1281982</v>
      </c>
      <c r="F10" s="1710">
        <f t="shared" si="1"/>
        <v>1180992</v>
      </c>
      <c r="G10" s="1710">
        <f t="shared" si="1"/>
        <v>416900</v>
      </c>
      <c r="H10" s="1710">
        <f t="shared" si="1"/>
        <v>3812</v>
      </c>
      <c r="I10" s="1710">
        <f t="shared" si="1"/>
        <v>71800</v>
      </c>
      <c r="J10" s="1710">
        <f t="shared" si="1"/>
        <v>1100327</v>
      </c>
      <c r="K10" s="1710">
        <f t="shared" si="1"/>
        <v>25895</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6167962</v>
      </c>
      <c r="D12" s="520" t="s">
        <v>1231</v>
      </c>
      <c r="E12" s="468" t="s">
        <v>1231</v>
      </c>
      <c r="F12" s="468" t="s">
        <v>1231</v>
      </c>
      <c r="G12" s="1764">
        <f>'Expenditures 15-22'!K229</f>
        <v>178736</v>
      </c>
      <c r="H12" s="521"/>
      <c r="I12" s="468" t="s">
        <v>1231</v>
      </c>
      <c r="J12" s="468" t="s">
        <v>1231</v>
      </c>
      <c r="K12" s="521" t="s">
        <v>1231</v>
      </c>
      <c r="L12" s="347"/>
    </row>
    <row r="13" spans="1:13" ht="15.75" customHeight="1" x14ac:dyDescent="0.2">
      <c r="A13" s="1598" t="s">
        <v>477</v>
      </c>
      <c r="B13" s="1600">
        <v>2000</v>
      </c>
      <c r="C13" s="1765">
        <f>'Expenditures 15-22'!K74</f>
        <v>2014504</v>
      </c>
      <c r="D13" s="1765">
        <f>'Expenditures 15-22'!K129</f>
        <v>1777466</v>
      </c>
      <c r="E13" s="469" t="s">
        <v>1231</v>
      </c>
      <c r="F13" s="1765">
        <f>'Expenditures 15-22'!K184</f>
        <v>990944</v>
      </c>
      <c r="G13" s="1765">
        <f>'Expenditures 15-22'!K279</f>
        <v>321774</v>
      </c>
      <c r="H13" s="1765">
        <f>'Expenditures 15-22'!K303</f>
        <v>714012</v>
      </c>
      <c r="I13" s="468" t="s">
        <v>1231</v>
      </c>
      <c r="J13" s="1765">
        <f>'Expenditures 15-22'!K330</f>
        <v>1300146</v>
      </c>
      <c r="K13" s="1769">
        <f>'Expenditures 15-22'!K352</f>
        <v>16536</v>
      </c>
      <c r="L13" s="347"/>
    </row>
    <row r="14" spans="1:13" ht="15.75" customHeight="1" x14ac:dyDescent="0.2">
      <c r="A14" s="1598" t="s">
        <v>469</v>
      </c>
      <c r="B14" s="1600">
        <v>3000</v>
      </c>
      <c r="C14" s="1765">
        <f>'Expenditures 15-22'!K75</f>
        <v>33383</v>
      </c>
      <c r="D14" s="1765">
        <f>'Expenditures 15-22'!K130</f>
        <v>0</v>
      </c>
      <c r="E14" s="520" t="s">
        <v>1231</v>
      </c>
      <c r="F14" s="1765">
        <f>'Expenditures 15-22'!K185</f>
        <v>0</v>
      </c>
      <c r="G14" s="1765">
        <f>'Expenditures 15-22'!K280</f>
        <v>4542</v>
      </c>
      <c r="H14" s="512"/>
      <c r="I14" s="468" t="s">
        <v>1231</v>
      </c>
      <c r="J14" s="468" t="s">
        <v>1231</v>
      </c>
      <c r="K14" s="512" t="s">
        <v>1231</v>
      </c>
      <c r="L14" s="347"/>
    </row>
    <row r="15" spans="1:13" ht="15.75" customHeight="1" x14ac:dyDescent="0.2">
      <c r="A15" s="1598" t="s">
        <v>109</v>
      </c>
      <c r="B15" s="1600">
        <v>4000</v>
      </c>
      <c r="C15" s="1765">
        <f>'Expenditures 15-22'!K102</f>
        <v>354465</v>
      </c>
      <c r="D15" s="1765">
        <f>'Expenditures 15-22'!K139</f>
        <v>9836</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1303846</v>
      </c>
      <c r="F16" s="1765">
        <f>'Expenditures 15-22'!K208</f>
        <v>24735</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8570314</v>
      </c>
      <c r="D17" s="1710">
        <f t="shared" si="2"/>
        <v>1787302</v>
      </c>
      <c r="E17" s="1710">
        <f t="shared" si="2"/>
        <v>1303846</v>
      </c>
      <c r="F17" s="1710">
        <f t="shared" si="2"/>
        <v>1015679</v>
      </c>
      <c r="G17" s="1710">
        <f t="shared" si="2"/>
        <v>505052</v>
      </c>
      <c r="H17" s="1710">
        <f t="shared" si="2"/>
        <v>714012</v>
      </c>
      <c r="I17" s="468"/>
      <c r="J17" s="1710">
        <f>SUM(J12:J16)</f>
        <v>1300146</v>
      </c>
      <c r="K17" s="1710">
        <f>SUM(K12:K16)</f>
        <v>16536</v>
      </c>
      <c r="L17" s="347"/>
    </row>
    <row r="18" spans="1:12" ht="15" customHeight="1" thickTop="1" x14ac:dyDescent="0.2">
      <c r="A18" s="1766" t="s">
        <v>1753</v>
      </c>
      <c r="B18" s="1767">
        <v>4180</v>
      </c>
      <c r="C18" s="1764">
        <f t="shared" ref="C18:H18" si="3">C9</f>
        <v>4013619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12583933</v>
      </c>
      <c r="D19" s="1710">
        <f t="shared" si="4"/>
        <v>1787302</v>
      </c>
      <c r="E19" s="1710">
        <f t="shared" si="4"/>
        <v>1303846</v>
      </c>
      <c r="F19" s="1710">
        <f t="shared" si="4"/>
        <v>1015679</v>
      </c>
      <c r="G19" s="1710">
        <f t="shared" si="4"/>
        <v>505052</v>
      </c>
      <c r="H19" s="1710">
        <f t="shared" si="4"/>
        <v>714012</v>
      </c>
      <c r="I19" s="468"/>
      <c r="J19" s="1710">
        <f>SUM(J17:J18)</f>
        <v>1300146</v>
      </c>
      <c r="K19" s="1710">
        <f>SUM(K17:K18)</f>
        <v>16536</v>
      </c>
      <c r="L19" s="347"/>
    </row>
    <row r="20" spans="1:12" ht="16.5" thickTop="1" thickBot="1" x14ac:dyDescent="0.25">
      <c r="A20" s="2140" t="s">
        <v>1754</v>
      </c>
      <c r="B20" s="2141"/>
      <c r="C20" s="1768">
        <f>C8-C17</f>
        <v>56977</v>
      </c>
      <c r="D20" s="1768">
        <f t="shared" ref="D20:K20" si="5">D8-D17</f>
        <v>-445198</v>
      </c>
      <c r="E20" s="1768">
        <f t="shared" si="5"/>
        <v>-21864</v>
      </c>
      <c r="F20" s="1768">
        <f t="shared" si="5"/>
        <v>165313</v>
      </c>
      <c r="G20" s="1768">
        <f t="shared" si="5"/>
        <v>-88152</v>
      </c>
      <c r="H20" s="1768">
        <f t="shared" si="5"/>
        <v>-710200</v>
      </c>
      <c r="I20" s="1768">
        <f t="shared" si="5"/>
        <v>71800</v>
      </c>
      <c r="J20" s="1768">
        <f t="shared" si="5"/>
        <v>-199819</v>
      </c>
      <c r="K20" s="1768">
        <f t="shared" si="5"/>
        <v>9359</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48" t="s">
        <v>617</v>
      </c>
      <c r="B22" s="2149"/>
      <c r="C22" s="477"/>
      <c r="D22" s="477"/>
      <c r="E22" s="477"/>
      <c r="F22" s="477"/>
      <c r="G22" s="477"/>
      <c r="H22" s="477"/>
      <c r="I22" s="477"/>
      <c r="J22" s="477"/>
      <c r="K22" s="477"/>
      <c r="L22" s="347"/>
    </row>
    <row r="23" spans="1:12" s="485" customFormat="1" ht="15.75" customHeight="1" x14ac:dyDescent="0.2">
      <c r="A23" s="2144" t="s">
        <v>311</v>
      </c>
      <c r="B23" s="2145"/>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67915</v>
      </c>
      <c r="D25" s="467">
        <v>100000</v>
      </c>
      <c r="E25" s="467"/>
      <c r="F25" s="467"/>
      <c r="G25" s="467"/>
      <c r="H25" s="467"/>
      <c r="I25" s="477"/>
      <c r="J25" s="467"/>
      <c r="K25" s="467"/>
      <c r="L25" s="524"/>
    </row>
    <row r="26" spans="1:12" s="485" customFormat="1" ht="13.5" customHeight="1" x14ac:dyDescent="0.2">
      <c r="A26" s="1511" t="s">
        <v>193</v>
      </c>
      <c r="B26" s="483">
        <v>7120</v>
      </c>
      <c r="C26" s="467"/>
      <c r="D26" s="467">
        <v>44760</v>
      </c>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v>131000</v>
      </c>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6" t="s">
        <v>1038</v>
      </c>
      <c r="B32" s="2147"/>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v>12000000</v>
      </c>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v>850</v>
      </c>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5">
        <f>SUM(C24:C43)</f>
        <v>68765</v>
      </c>
      <c r="D44" s="1725">
        <f t="shared" ref="D44:K44" si="6">SUM(D24:D43)</f>
        <v>275760</v>
      </c>
      <c r="E44" s="1725">
        <f t="shared" si="6"/>
        <v>0</v>
      </c>
      <c r="F44" s="1725">
        <f t="shared" si="6"/>
        <v>0</v>
      </c>
      <c r="G44" s="1725">
        <f t="shared" si="6"/>
        <v>0</v>
      </c>
      <c r="H44" s="1725">
        <f t="shared" si="6"/>
        <v>12000000</v>
      </c>
      <c r="I44" s="1725">
        <f t="shared" si="6"/>
        <v>0</v>
      </c>
      <c r="J44" s="1725">
        <f t="shared" si="6"/>
        <v>0</v>
      </c>
      <c r="K44" s="1725">
        <f t="shared" si="6"/>
        <v>0</v>
      </c>
      <c r="L44" s="524"/>
    </row>
    <row r="45" spans="1:12" ht="15.75" customHeight="1" thickTop="1" x14ac:dyDescent="0.2">
      <c r="A45" s="2148" t="s">
        <v>110</v>
      </c>
      <c r="B45" s="2149"/>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167915</v>
      </c>
      <c r="J47" s="477"/>
      <c r="K47" s="477"/>
      <c r="L47" s="529"/>
    </row>
    <row r="48" spans="1:12" s="485" customFormat="1" ht="15" x14ac:dyDescent="0.2">
      <c r="A48" s="1512" t="s">
        <v>1759</v>
      </c>
      <c r="B48" s="483">
        <v>8120</v>
      </c>
      <c r="C48" s="480"/>
      <c r="D48" s="480"/>
      <c r="E48" s="477"/>
      <c r="F48" s="480"/>
      <c r="G48" s="477"/>
      <c r="H48" s="477"/>
      <c r="I48" s="1765">
        <f>SUM(C26:H26,J26,K26)</f>
        <v>44760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v>131000</v>
      </c>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60" t="s">
        <v>460</v>
      </c>
      <c r="B76" s="2161"/>
      <c r="C76" s="1725">
        <f t="shared" ref="C76:K76" si="7">SUM(C47:C75)</f>
        <v>0</v>
      </c>
      <c r="D76" s="1725">
        <f t="shared" si="7"/>
        <v>0</v>
      </c>
      <c r="E76" s="1725">
        <f t="shared" si="7"/>
        <v>131000</v>
      </c>
      <c r="F76" s="1725">
        <f t="shared" si="7"/>
        <v>0</v>
      </c>
      <c r="G76" s="1725">
        <f t="shared" si="7"/>
        <v>0</v>
      </c>
      <c r="H76" s="1725">
        <f t="shared" si="7"/>
        <v>0</v>
      </c>
      <c r="I76" s="1725">
        <f t="shared" si="7"/>
        <v>212675</v>
      </c>
      <c r="J76" s="1725">
        <f t="shared" si="7"/>
        <v>0</v>
      </c>
      <c r="K76" s="1725">
        <f t="shared" si="7"/>
        <v>0</v>
      </c>
      <c r="L76" s="524"/>
    </row>
    <row r="77" spans="1:12" ht="14.25" thickTop="1" thickBot="1" x14ac:dyDescent="0.25">
      <c r="A77" s="2132" t="s">
        <v>1239</v>
      </c>
      <c r="B77" s="2133"/>
      <c r="C77" s="1725">
        <f t="shared" ref="C77:K77" si="8">C44-C76</f>
        <v>68765</v>
      </c>
      <c r="D77" s="1725">
        <f t="shared" si="8"/>
        <v>275760</v>
      </c>
      <c r="E77" s="1725">
        <f t="shared" si="8"/>
        <v>-131000</v>
      </c>
      <c r="F77" s="1725">
        <f t="shared" si="8"/>
        <v>0</v>
      </c>
      <c r="G77" s="1725">
        <f t="shared" si="8"/>
        <v>0</v>
      </c>
      <c r="H77" s="1725">
        <f t="shared" si="8"/>
        <v>12000000</v>
      </c>
      <c r="I77" s="1725">
        <f t="shared" si="8"/>
        <v>-212675</v>
      </c>
      <c r="J77" s="1725">
        <f t="shared" si="8"/>
        <v>0</v>
      </c>
      <c r="K77" s="1725">
        <f t="shared" si="8"/>
        <v>0</v>
      </c>
      <c r="L77" s="347"/>
    </row>
    <row r="78" spans="1:12" ht="21.75" customHeight="1" thickTop="1" thickBot="1" x14ac:dyDescent="0.25">
      <c r="A78" s="2136" t="s">
        <v>618</v>
      </c>
      <c r="B78" s="2137"/>
      <c r="C78" s="1724">
        <f t="shared" ref="C78:K78" si="9">C20+C77</f>
        <v>125742</v>
      </c>
      <c r="D78" s="1724">
        <f t="shared" si="9"/>
        <v>-169438</v>
      </c>
      <c r="E78" s="1724">
        <f t="shared" si="9"/>
        <v>-152864</v>
      </c>
      <c r="F78" s="1724">
        <f t="shared" si="9"/>
        <v>165313</v>
      </c>
      <c r="G78" s="1724">
        <f t="shared" si="9"/>
        <v>-88152</v>
      </c>
      <c r="H78" s="1724">
        <f t="shared" si="9"/>
        <v>11289800</v>
      </c>
      <c r="I78" s="1724">
        <f t="shared" si="9"/>
        <v>-140875</v>
      </c>
      <c r="J78" s="1724">
        <f t="shared" si="9"/>
        <v>-199819</v>
      </c>
      <c r="K78" s="1724">
        <f t="shared" si="9"/>
        <v>9359</v>
      </c>
      <c r="L78" s="533"/>
    </row>
    <row r="79" spans="1:12" ht="13.5" thickTop="1" x14ac:dyDescent="0.2">
      <c r="A79" s="1516" t="s">
        <v>2073</v>
      </c>
      <c r="B79" s="534"/>
      <c r="C79" s="478">
        <v>93811</v>
      </c>
      <c r="D79" s="535">
        <v>271635</v>
      </c>
      <c r="E79" s="535">
        <v>274114</v>
      </c>
      <c r="F79" s="535">
        <v>115727</v>
      </c>
      <c r="G79" s="535">
        <v>254792</v>
      </c>
      <c r="H79" s="535"/>
      <c r="I79" s="535">
        <v>765165</v>
      </c>
      <c r="J79" s="535">
        <v>273839</v>
      </c>
      <c r="K79" s="535">
        <v>117678</v>
      </c>
      <c r="L79" s="347"/>
    </row>
    <row r="80" spans="1:12" x14ac:dyDescent="0.2">
      <c r="A80" s="2142" t="s">
        <v>1898</v>
      </c>
      <c r="B80" s="2143"/>
      <c r="C80" s="467"/>
      <c r="D80" s="467"/>
      <c r="E80" s="467"/>
      <c r="F80" s="467"/>
      <c r="G80" s="467"/>
      <c r="H80" s="467"/>
      <c r="I80" s="467"/>
      <c r="J80" s="467"/>
      <c r="K80" s="467"/>
      <c r="L80" s="347"/>
    </row>
    <row r="81" spans="1:12" ht="13.5" thickBot="1" x14ac:dyDescent="0.25">
      <c r="A81" s="2134" t="s">
        <v>2074</v>
      </c>
      <c r="B81" s="2135"/>
      <c r="C81" s="1710">
        <f>(SUM(C78:C80))</f>
        <v>219553</v>
      </c>
      <c r="D81" s="1710">
        <f>SUM(D78:D80)</f>
        <v>102197</v>
      </c>
      <c r="E81" s="1710">
        <f t="shared" ref="E81:K81" si="10">SUM(E78:E80)</f>
        <v>121250</v>
      </c>
      <c r="F81" s="1710">
        <f t="shared" si="10"/>
        <v>281040</v>
      </c>
      <c r="G81" s="1710">
        <f t="shared" si="10"/>
        <v>166640</v>
      </c>
      <c r="H81" s="1710">
        <f t="shared" si="10"/>
        <v>11289800</v>
      </c>
      <c r="I81" s="1710">
        <f t="shared" si="10"/>
        <v>624290</v>
      </c>
      <c r="J81" s="1710">
        <f t="shared" si="10"/>
        <v>74020</v>
      </c>
      <c r="K81" s="1710">
        <f t="shared" si="10"/>
        <v>127037</v>
      </c>
      <c r="L81" s="347"/>
    </row>
    <row r="82" spans="1:12" ht="0.75" customHeight="1" thickTop="1" thickBot="1" x14ac:dyDescent="0.25">
      <c r="A82" s="536" t="s">
        <v>361</v>
      </c>
      <c r="B82" s="537"/>
      <c r="C82" s="538">
        <f>(C81-C79)</f>
        <v>125742</v>
      </c>
      <c r="D82" s="538">
        <f t="shared" ref="D82:K82" si="11">(D81-D79)</f>
        <v>-169438</v>
      </c>
      <c r="E82" s="538">
        <f t="shared" si="11"/>
        <v>-152864</v>
      </c>
      <c r="F82" s="538">
        <f t="shared" si="11"/>
        <v>165313</v>
      </c>
      <c r="G82" s="538">
        <f t="shared" si="11"/>
        <v>-88152</v>
      </c>
      <c r="H82" s="538">
        <f t="shared" si="11"/>
        <v>11289800</v>
      </c>
      <c r="I82" s="538">
        <f t="shared" si="11"/>
        <v>-140875</v>
      </c>
      <c r="J82" s="538">
        <f t="shared" si="11"/>
        <v>-199819</v>
      </c>
      <c r="K82" s="538">
        <f t="shared" si="11"/>
        <v>9359</v>
      </c>
    </row>
    <row r="83" spans="1:12" ht="14.25" hidden="1" thickTop="1" thickBot="1" x14ac:dyDescent="0.25">
      <c r="A83" s="539" t="s">
        <v>362</v>
      </c>
      <c r="B83" s="464"/>
      <c r="C83" s="540">
        <f>C82/C81</f>
        <v>0.57271820471594559</v>
      </c>
      <c r="D83" s="540">
        <f t="shared" ref="D83:K83" si="12">D82/D81</f>
        <v>-1.6579547344833998</v>
      </c>
      <c r="E83" s="540">
        <f t="shared" si="12"/>
        <v>-1.2607340206185567</v>
      </c>
      <c r="F83" s="540">
        <f t="shared" si="12"/>
        <v>0.58821875889553088</v>
      </c>
      <c r="G83" s="540">
        <f t="shared" si="12"/>
        <v>-0.52899663946231401</v>
      </c>
      <c r="H83" s="540">
        <f t="shared" si="12"/>
        <v>1</v>
      </c>
      <c r="I83" s="540">
        <f t="shared" si="12"/>
        <v>-0.22565634560861139</v>
      </c>
      <c r="J83" s="540">
        <f t="shared" si="12"/>
        <v>-2.6995271548230209</v>
      </c>
      <c r="K83" s="540">
        <f t="shared" si="12"/>
        <v>7.3671450049985432E-2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3"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the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46" activePane="bottomLeft" state="frozen"/>
      <selection activeCell="A47" sqref="A47"/>
      <selection pane="bottomLeft" activeCell="K66" sqref="K6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8" t="s">
        <v>1905</v>
      </c>
      <c r="B1" s="452"/>
      <c r="C1" s="453" t="s">
        <v>445</v>
      </c>
      <c r="D1" s="453" t="s">
        <v>446</v>
      </c>
      <c r="E1" s="453" t="s">
        <v>447</v>
      </c>
      <c r="F1" s="453" t="s">
        <v>448</v>
      </c>
      <c r="G1" s="453" t="s">
        <v>449</v>
      </c>
      <c r="H1" s="453" t="s">
        <v>450</v>
      </c>
      <c r="I1" s="453" t="s">
        <v>451</v>
      </c>
      <c r="J1" s="453" t="s">
        <v>452</v>
      </c>
      <c r="K1" s="453" t="s">
        <v>780</v>
      </c>
    </row>
    <row r="2" spans="1:12" ht="36" x14ac:dyDescent="0.2">
      <c r="A2" s="213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3706918</v>
      </c>
      <c r="D5" s="481">
        <v>674020</v>
      </c>
      <c r="E5" s="466">
        <v>1280679</v>
      </c>
      <c r="F5" s="548">
        <v>337021</v>
      </c>
      <c r="G5" s="466">
        <v>199835</v>
      </c>
      <c r="H5" s="466"/>
      <c r="I5" s="466">
        <v>67413</v>
      </c>
      <c r="J5" s="467">
        <v>1097928</v>
      </c>
      <c r="K5" s="466">
        <v>25237</v>
      </c>
    </row>
    <row r="6" spans="1:12" ht="15" x14ac:dyDescent="0.2">
      <c r="A6" s="463" t="s">
        <v>1761</v>
      </c>
      <c r="B6" s="470">
        <v>1130</v>
      </c>
      <c r="C6" s="466">
        <v>57200</v>
      </c>
      <c r="D6" s="466">
        <v>10213</v>
      </c>
      <c r="E6" s="475"/>
      <c r="F6" s="475"/>
      <c r="G6" s="468"/>
      <c r="H6" s="468"/>
      <c r="I6" s="468"/>
      <c r="J6" s="468"/>
      <c r="K6" s="468"/>
    </row>
    <row r="7" spans="1:12" x14ac:dyDescent="0.2">
      <c r="A7" s="463" t="s">
        <v>112</v>
      </c>
      <c r="B7" s="549">
        <v>1140</v>
      </c>
      <c r="C7" s="466">
        <v>53931</v>
      </c>
      <c r="D7" s="466"/>
      <c r="E7" s="468"/>
      <c r="F7" s="467"/>
      <c r="G7" s="467"/>
      <c r="H7" s="467"/>
      <c r="I7" s="468"/>
      <c r="J7" s="468"/>
      <c r="K7" s="468"/>
    </row>
    <row r="8" spans="1:12" x14ac:dyDescent="0.2">
      <c r="A8" s="463" t="s">
        <v>433</v>
      </c>
      <c r="B8" s="470">
        <v>1150</v>
      </c>
      <c r="C8" s="475"/>
      <c r="D8" s="475"/>
      <c r="E8" s="477"/>
      <c r="F8" s="477"/>
      <c r="G8" s="481">
        <v>199835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3818049</v>
      </c>
      <c r="D12" s="1729">
        <f t="shared" si="0"/>
        <v>684233</v>
      </c>
      <c r="E12" s="1729">
        <f t="shared" si="0"/>
        <v>1280679</v>
      </c>
      <c r="F12" s="1729">
        <f t="shared" si="0"/>
        <v>337021</v>
      </c>
      <c r="G12" s="1729">
        <f t="shared" si="0"/>
        <v>399670</v>
      </c>
      <c r="H12" s="1729">
        <f t="shared" si="0"/>
        <v>0</v>
      </c>
      <c r="I12" s="1729">
        <f t="shared" si="0"/>
        <v>67413</v>
      </c>
      <c r="J12" s="1729">
        <f t="shared" si="0"/>
        <v>1097928</v>
      </c>
      <c r="K12" s="1710">
        <f t="shared" si="0"/>
        <v>25237</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603</v>
      </c>
      <c r="D14" s="466">
        <v>119</v>
      </c>
      <c r="E14" s="466">
        <v>217</v>
      </c>
      <c r="F14" s="466">
        <v>54</v>
      </c>
      <c r="G14" s="466">
        <f>39+34</f>
        <v>73</v>
      </c>
      <c r="H14" s="466"/>
      <c r="I14" s="466">
        <v>11</v>
      </c>
      <c r="J14" s="467">
        <v>209</v>
      </c>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403271</v>
      </c>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603</v>
      </c>
      <c r="D18" s="1732">
        <f t="shared" ref="D18:K18" si="1">SUM(D14:D17)</f>
        <v>403390</v>
      </c>
      <c r="E18" s="1732">
        <f t="shared" si="1"/>
        <v>217</v>
      </c>
      <c r="F18" s="1732">
        <f t="shared" si="1"/>
        <v>54</v>
      </c>
      <c r="G18" s="1732">
        <f t="shared" si="1"/>
        <v>73</v>
      </c>
      <c r="H18" s="1732">
        <f t="shared" si="1"/>
        <v>0</v>
      </c>
      <c r="I18" s="1732">
        <f t="shared" si="1"/>
        <v>11</v>
      </c>
      <c r="J18" s="1732">
        <f t="shared" si="1"/>
        <v>209</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v>153012</v>
      </c>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153012</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380</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47</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427</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5379</v>
      </c>
      <c r="D65" s="466">
        <v>468</v>
      </c>
      <c r="E65" s="466">
        <v>1086</v>
      </c>
      <c r="F65" s="467">
        <v>443</v>
      </c>
      <c r="G65" s="466">
        <f>522+802</f>
        <v>1324</v>
      </c>
      <c r="H65" s="466">
        <v>3812</v>
      </c>
      <c r="I65" s="466">
        <v>4376</v>
      </c>
      <c r="J65" s="467">
        <v>2190</v>
      </c>
      <c r="K65" s="466">
        <v>658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5379</v>
      </c>
      <c r="D67" s="1710">
        <f t="shared" ref="D67:K67" si="2">SUM(D65:D66)</f>
        <v>468</v>
      </c>
      <c r="E67" s="1710">
        <f t="shared" si="2"/>
        <v>1086</v>
      </c>
      <c r="F67" s="1710">
        <f t="shared" si="2"/>
        <v>443</v>
      </c>
      <c r="G67" s="1710">
        <f t="shared" si="2"/>
        <v>1324</v>
      </c>
      <c r="H67" s="1710">
        <f t="shared" si="2"/>
        <v>3812</v>
      </c>
      <c r="I67" s="1710">
        <f t="shared" si="2"/>
        <v>4376</v>
      </c>
      <c r="J67" s="1710">
        <f t="shared" si="2"/>
        <v>2190</v>
      </c>
      <c r="K67" s="1710">
        <f t="shared" si="2"/>
        <v>658</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123999</v>
      </c>
      <c r="D69" s="468"/>
      <c r="E69" s="468"/>
      <c r="F69" s="468"/>
      <c r="G69" s="468"/>
      <c r="H69" s="468"/>
      <c r="I69" s="468"/>
      <c r="J69" s="468"/>
      <c r="K69" s="468"/>
    </row>
    <row r="70" spans="1:11" ht="12.75" customHeight="1" x14ac:dyDescent="0.2">
      <c r="A70" s="463" t="s">
        <v>1054</v>
      </c>
      <c r="B70" s="470">
        <v>1612</v>
      </c>
      <c r="C70" s="551">
        <v>22959</v>
      </c>
      <c r="D70" s="468"/>
      <c r="E70" s="468"/>
      <c r="F70" s="468"/>
      <c r="G70" s="468"/>
      <c r="H70" s="468"/>
      <c r="I70" s="468"/>
      <c r="J70" s="468"/>
      <c r="K70" s="468"/>
    </row>
    <row r="71" spans="1:11" ht="12.75" customHeight="1" x14ac:dyDescent="0.2">
      <c r="A71" s="463" t="s">
        <v>291</v>
      </c>
      <c r="B71" s="470">
        <v>1613</v>
      </c>
      <c r="C71" s="551">
        <v>54005</v>
      </c>
      <c r="D71" s="468"/>
      <c r="E71" s="468"/>
      <c r="F71" s="468"/>
      <c r="G71" s="468"/>
      <c r="H71" s="468"/>
      <c r="I71" s="468"/>
      <c r="J71" s="468"/>
      <c r="K71" s="468"/>
    </row>
    <row r="72" spans="1:11" ht="12.75" customHeight="1" x14ac:dyDescent="0.2">
      <c r="A72" s="463" t="s">
        <v>24</v>
      </c>
      <c r="B72" s="470">
        <v>1614</v>
      </c>
      <c r="C72" s="551">
        <v>13881</v>
      </c>
      <c r="D72" s="468"/>
      <c r="E72" s="468"/>
      <c r="F72" s="468"/>
      <c r="G72" s="468"/>
      <c r="H72" s="468"/>
      <c r="I72" s="468"/>
      <c r="J72" s="468"/>
      <c r="K72" s="468"/>
    </row>
    <row r="73" spans="1:11" ht="12.75" customHeight="1" x14ac:dyDescent="0.2">
      <c r="A73" s="463" t="s">
        <v>1055</v>
      </c>
      <c r="B73" s="470">
        <v>1620</v>
      </c>
      <c r="C73" s="551">
        <v>19336</v>
      </c>
      <c r="D73" s="468"/>
      <c r="E73" s="468"/>
      <c r="F73" s="468"/>
      <c r="G73" s="468"/>
      <c r="H73" s="468"/>
      <c r="I73" s="468"/>
      <c r="J73" s="468"/>
      <c r="K73" s="468"/>
    </row>
    <row r="74" spans="1:11" ht="12.75" customHeight="1" x14ac:dyDescent="0.2">
      <c r="A74" s="463" t="s">
        <v>25</v>
      </c>
      <c r="B74" s="470">
        <v>1690</v>
      </c>
      <c r="C74" s="551">
        <v>15047</v>
      </c>
      <c r="D74" s="468"/>
      <c r="E74" s="468"/>
      <c r="F74" s="468"/>
      <c r="G74" s="468"/>
      <c r="H74" s="468"/>
      <c r="I74" s="468"/>
      <c r="J74" s="468"/>
      <c r="K74" s="468"/>
    </row>
    <row r="75" spans="1:11" ht="12.75" customHeight="1" thickBot="1" x14ac:dyDescent="0.25">
      <c r="A75" s="1730" t="s">
        <v>569</v>
      </c>
      <c r="B75" s="1731"/>
      <c r="C75" s="1710">
        <f>SUM(C69:C74)</f>
        <v>249227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46289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37732</v>
      </c>
      <c r="D79" s="466"/>
      <c r="E79" s="468"/>
      <c r="F79" s="468"/>
      <c r="G79" s="468"/>
      <c r="H79" s="468"/>
      <c r="I79" s="468"/>
      <c r="J79" s="468"/>
      <c r="K79" s="468"/>
    </row>
    <row r="80" spans="1:11" ht="12.75" customHeight="1" x14ac:dyDescent="0.2">
      <c r="A80" s="463" t="s">
        <v>572</v>
      </c>
      <c r="B80" s="470">
        <v>1730</v>
      </c>
      <c r="C80" s="551">
        <v>4524</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88545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52812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52812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3045</v>
      </c>
      <c r="E95" s="521"/>
      <c r="F95" s="521"/>
      <c r="G95" s="521"/>
      <c r="H95" s="521"/>
      <c r="I95" s="521"/>
      <c r="J95" s="521"/>
      <c r="K95" s="521"/>
    </row>
    <row r="96" spans="1:11" ht="12.75" customHeight="1" x14ac:dyDescent="0.2">
      <c r="A96" s="463" t="s">
        <v>409</v>
      </c>
      <c r="B96" s="470">
        <v>1920</v>
      </c>
      <c r="C96" s="551">
        <v>79811</v>
      </c>
      <c r="D96" s="551">
        <v>90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3385</v>
      </c>
      <c r="D99" s="466">
        <v>386</v>
      </c>
      <c r="E99" s="466"/>
      <c r="F99" s="466"/>
      <c r="G99" s="466"/>
      <c r="H99" s="466"/>
      <c r="I99" s="468"/>
      <c r="J99" s="467"/>
      <c r="K99" s="466"/>
    </row>
    <row r="100" spans="1:12" ht="12.75" customHeight="1" x14ac:dyDescent="0.2">
      <c r="A100" s="463" t="s">
        <v>263</v>
      </c>
      <c r="B100" s="470">
        <v>1960</v>
      </c>
      <c r="C100" s="489"/>
      <c r="D100" s="489">
        <v>21370</v>
      </c>
      <c r="E100" s="489"/>
      <c r="F100" s="489"/>
      <c r="G100" s="489"/>
      <c r="H100" s="489"/>
      <c r="I100" s="467"/>
      <c r="J100" s="489"/>
      <c r="K100" s="467"/>
    </row>
    <row r="101" spans="1:12" ht="12.75" customHeight="1" x14ac:dyDescent="0.2">
      <c r="A101" s="463" t="s">
        <v>264</v>
      </c>
      <c r="B101" s="470">
        <v>1970</v>
      </c>
      <c r="C101" s="489">
        <v>7370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8318</v>
      </c>
      <c r="D107" s="466">
        <v>75551</v>
      </c>
      <c r="E107" s="466"/>
      <c r="F107" s="466">
        <v>238</v>
      </c>
      <c r="G107" s="466"/>
      <c r="H107" s="466"/>
      <c r="I107" s="466"/>
      <c r="J107" s="467"/>
      <c r="K107" s="466"/>
    </row>
    <row r="108" spans="1:12" ht="12.75" customHeight="1" thickBot="1" x14ac:dyDescent="0.25">
      <c r="A108" s="1730" t="s">
        <v>508</v>
      </c>
      <c r="B108" s="1734"/>
      <c r="C108" s="1729">
        <f>SUM(C95:C107)</f>
        <v>98884</v>
      </c>
      <c r="D108" s="1729">
        <f t="shared" ref="D108:K108" si="3">SUM(D95:D107)</f>
        <v>100442</v>
      </c>
      <c r="E108" s="1729">
        <f t="shared" si="3"/>
        <v>0</v>
      </c>
      <c r="F108" s="1729">
        <f t="shared" si="3"/>
        <v>238</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4466511</v>
      </c>
      <c r="D109" s="1737">
        <f t="shared" si="4"/>
        <v>1188533</v>
      </c>
      <c r="E109" s="1737">
        <f t="shared" si="4"/>
        <v>1281982</v>
      </c>
      <c r="F109" s="1737">
        <f t="shared" si="4"/>
        <v>338183</v>
      </c>
      <c r="G109" s="1737">
        <f t="shared" si="4"/>
        <v>401067</v>
      </c>
      <c r="H109" s="1737">
        <f t="shared" si="4"/>
        <v>3812</v>
      </c>
      <c r="I109" s="1737">
        <f t="shared" si="4"/>
        <v>71800</v>
      </c>
      <c r="J109" s="1737">
        <f t="shared" si="4"/>
        <v>1100327</v>
      </c>
      <c r="K109" s="1724">
        <f t="shared" si="4"/>
        <v>25895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2732571</v>
      </c>
      <c r="D117" s="481">
        <v>150000</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2732571</v>
      </c>
      <c r="D121" s="1729">
        <f t="shared" si="5"/>
        <v>150000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115247</v>
      </c>
      <c r="D124" s="561"/>
      <c r="E124" s="468"/>
      <c r="F124" s="548"/>
      <c r="G124" s="468"/>
      <c r="H124" s="468"/>
      <c r="I124" s="468"/>
      <c r="J124" s="468"/>
      <c r="K124" s="468"/>
    </row>
    <row r="125" spans="1:11" ht="12.75" customHeight="1" x14ac:dyDescent="0.2">
      <c r="A125" s="463" t="s">
        <v>1521</v>
      </c>
      <c r="B125" s="562">
        <v>3105</v>
      </c>
      <c r="C125" s="466">
        <v>69826</v>
      </c>
      <c r="D125" s="561"/>
      <c r="E125" s="468"/>
      <c r="F125" s="466"/>
      <c r="G125" s="468"/>
      <c r="H125" s="468"/>
      <c r="I125" s="468"/>
      <c r="J125" s="468"/>
      <c r="K125" s="468"/>
    </row>
    <row r="126" spans="1:11" ht="12.75" customHeight="1" x14ac:dyDescent="0.2">
      <c r="A126" s="463" t="s">
        <v>922</v>
      </c>
      <c r="B126" s="562">
        <v>3110</v>
      </c>
      <c r="C126" s="551">
        <v>120392</v>
      </c>
      <c r="D126" s="466"/>
      <c r="E126" s="468"/>
      <c r="F126" s="466"/>
      <c r="G126" s="468"/>
      <c r="H126" s="468"/>
      <c r="I126" s="468"/>
      <c r="J126" s="468"/>
      <c r="K126" s="468"/>
    </row>
    <row r="127" spans="1:11" ht="12.75" customHeight="1" x14ac:dyDescent="0.2">
      <c r="A127" s="463" t="s">
        <v>107</v>
      </c>
      <c r="B127" s="562">
        <v>3120</v>
      </c>
      <c r="C127" s="466">
        <v>7415</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1545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314425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3691</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10214</v>
      </c>
      <c r="D139" s="466"/>
      <c r="E139" s="561"/>
      <c r="F139" s="477"/>
      <c r="G139" s="467"/>
      <c r="H139" s="468"/>
      <c r="I139" s="468"/>
      <c r="J139" s="468"/>
      <c r="K139" s="468"/>
    </row>
    <row r="140" spans="1:11" ht="12.75" customHeight="1" thickBot="1" x14ac:dyDescent="0.25">
      <c r="A140" s="1730" t="s">
        <v>624</v>
      </c>
      <c r="B140" s="1742"/>
      <c r="C140" s="1729">
        <f>SUM(C133:C139)</f>
        <v>13905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4569</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14097</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456082</v>
      </c>
      <c r="G151" s="467"/>
      <c r="H151" s="468"/>
      <c r="I151" s="468"/>
      <c r="J151" s="468"/>
      <c r="K151" s="468"/>
    </row>
    <row r="152" spans="1:11" ht="12.75" customHeight="1" x14ac:dyDescent="0.2">
      <c r="A152" s="463" t="s">
        <v>1117</v>
      </c>
      <c r="B152" s="562">
        <v>3510</v>
      </c>
      <c r="C152" s="551"/>
      <c r="D152" s="466"/>
      <c r="E152" s="561"/>
      <c r="F152" s="466">
        <v>363632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819714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303827</v>
      </c>
      <c r="D158" s="578">
        <v>3571</v>
      </c>
      <c r="E158" s="561"/>
      <c r="F158" s="576">
        <v>16500</v>
      </c>
      <c r="G158" s="576">
        <f>6448+5738</f>
        <v>12186</v>
      </c>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651573</v>
      </c>
      <c r="D172" s="1744">
        <f t="shared" si="6"/>
        <v>3571</v>
      </c>
      <c r="E172" s="1744">
        <f t="shared" si="6"/>
        <v>0</v>
      </c>
      <c r="F172" s="1744">
        <f t="shared" si="6"/>
        <v>836214</v>
      </c>
      <c r="G172" s="1744">
        <f t="shared" si="6"/>
        <v>12186</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3384144</v>
      </c>
      <c r="D173" s="1737">
        <f>SUM(D121,D172)</f>
        <v>153571</v>
      </c>
      <c r="E173" s="1737">
        <f>SUM(E121,E172)</f>
        <v>0</v>
      </c>
      <c r="F173" s="1737">
        <f t="shared" ref="F173:K173" si="7">SUM(F121,F172)</f>
        <v>836214</v>
      </c>
      <c r="G173" s="1737">
        <f t="shared" si="7"/>
        <v>12186</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237930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78822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316752</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182398</v>
      </c>
      <c r="D203" s="466"/>
      <c r="E203" s="468"/>
      <c r="F203" s="466">
        <v>3837</v>
      </c>
      <c r="G203" s="466">
        <f>2077+649</f>
        <v>2726</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182398</v>
      </c>
      <c r="D211" s="1729">
        <f>SUM(D203:D210)</f>
        <v>0</v>
      </c>
      <c r="E211" s="468"/>
      <c r="F211" s="1729">
        <f>SUM(F203:F210)</f>
        <v>3837</v>
      </c>
      <c r="G211" s="1729">
        <f>SUM(G203:G210)</f>
        <v>2726</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9390</v>
      </c>
      <c r="D213" s="466"/>
      <c r="E213" s="468"/>
      <c r="F213" s="466"/>
      <c r="G213" s="466"/>
      <c r="H213" s="468"/>
      <c r="I213" s="468"/>
      <c r="J213" s="468"/>
      <c r="K213" s="468"/>
    </row>
    <row r="214" spans="1:11" ht="12.75" customHeight="1" x14ac:dyDescent="0.2">
      <c r="A214" s="463" t="s">
        <v>1528</v>
      </c>
      <c r="B214" s="470">
        <v>4421</v>
      </c>
      <c r="C214" s="551">
        <v>9279</v>
      </c>
      <c r="D214" s="466"/>
      <c r="E214" s="468"/>
      <c r="F214" s="466">
        <v>2758</v>
      </c>
      <c r="G214" s="466">
        <f>633+288</f>
        <v>921</v>
      </c>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18669</v>
      </c>
      <c r="D216" s="1729">
        <f>SUM(D213:D215)</f>
        <v>0</v>
      </c>
      <c r="E216" s="468" t="s">
        <v>1231</v>
      </c>
      <c r="F216" s="1729">
        <f>SUM(F213:F215)</f>
        <v>2758</v>
      </c>
      <c r="G216" s="1729">
        <f>SUM(G213:G215)</f>
        <v>921</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42608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12299</v>
      </c>
      <c r="D270" s="576"/>
      <c r="E270" s="468"/>
      <c r="F270" s="576"/>
      <c r="G270" s="576"/>
      <c r="H270" s="468"/>
      <c r="I270" s="468"/>
      <c r="J270" s="468"/>
      <c r="K270" s="468"/>
    </row>
    <row r="271" spans="1:11" ht="12.75" customHeight="1" thickTop="1" thickBot="1" x14ac:dyDescent="0.25">
      <c r="A271" s="463" t="s">
        <v>395</v>
      </c>
      <c r="B271" s="470">
        <v>4992</v>
      </c>
      <c r="C271" s="575">
        <v>203910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776636</v>
      </c>
      <c r="D273" s="1737">
        <f t="shared" si="10"/>
        <v>0</v>
      </c>
      <c r="E273" s="1737">
        <f t="shared" si="10"/>
        <v>0</v>
      </c>
      <c r="F273" s="1737">
        <f t="shared" si="10"/>
        <v>6595</v>
      </c>
      <c r="G273" s="1737">
        <f t="shared" si="10"/>
        <v>3647</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776636</v>
      </c>
      <c r="D274" s="1737">
        <f>SUM(D178,D184,D273)</f>
        <v>0</v>
      </c>
      <c r="E274" s="1737">
        <f>SUM(E178,E273)</f>
        <v>0</v>
      </c>
      <c r="F274" s="1737">
        <f t="shared" ref="F274:K274" si="11">SUM(F178,F184,F273)</f>
        <v>6595</v>
      </c>
      <c r="G274" s="1737">
        <f t="shared" si="11"/>
        <v>3647</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8627291</v>
      </c>
      <c r="D275" s="1737">
        <f t="shared" si="12"/>
        <v>1342104</v>
      </c>
      <c r="E275" s="1737">
        <f t="shared" si="12"/>
        <v>1281982</v>
      </c>
      <c r="F275" s="1737">
        <f t="shared" si="12"/>
        <v>1180992</v>
      </c>
      <c r="G275" s="1737">
        <f t="shared" si="12"/>
        <v>416900</v>
      </c>
      <c r="H275" s="1737">
        <f t="shared" si="12"/>
        <v>3812</v>
      </c>
      <c r="I275" s="1737">
        <f t="shared" si="12"/>
        <v>71800</v>
      </c>
      <c r="J275" s="1737">
        <f t="shared" si="12"/>
        <v>1100327</v>
      </c>
      <c r="K275" s="1724">
        <f t="shared" si="12"/>
        <v>25895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the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71" activePane="bottomLeft" state="frozen"/>
      <selection activeCell="A47" sqref="A47"/>
      <selection pane="bottomLeft" activeCell="H124" sqref="H12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8"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3190324</v>
      </c>
      <c r="D5" s="466">
        <v>312141</v>
      </c>
      <c r="E5" s="466">
        <v>76222</v>
      </c>
      <c r="F5" s="466">
        <v>77154</v>
      </c>
      <c r="G5" s="466"/>
      <c r="H5" s="466"/>
      <c r="I5" s="467"/>
      <c r="J5" s="467">
        <v>21870</v>
      </c>
      <c r="K5" s="1693">
        <f>SUM(C5:J5)</f>
        <v>3677711</v>
      </c>
      <c r="L5" s="466">
        <v>3713095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158647</v>
      </c>
      <c r="D7" s="467">
        <v>12324</v>
      </c>
      <c r="E7" s="467">
        <v>2476</v>
      </c>
      <c r="F7" s="467">
        <v>4593</v>
      </c>
      <c r="G7" s="467"/>
      <c r="H7" s="467"/>
      <c r="I7" s="467"/>
      <c r="J7" s="467"/>
      <c r="K7" s="1693">
        <f t="shared" ref="K7:K32" si="0">SUM(C7:J7)</f>
        <v>178040</v>
      </c>
      <c r="L7" s="466">
        <v>171250</v>
      </c>
    </row>
    <row r="8" spans="1:14" x14ac:dyDescent="0.2">
      <c r="A8" s="1526" t="s">
        <v>166</v>
      </c>
      <c r="B8" s="615">
        <v>1200</v>
      </c>
      <c r="C8" s="466">
        <v>1197484</v>
      </c>
      <c r="D8" s="466">
        <v>83978</v>
      </c>
      <c r="E8" s="466">
        <v>11721</v>
      </c>
      <c r="F8" s="466">
        <v>24319</v>
      </c>
      <c r="G8" s="466">
        <v>6294</v>
      </c>
      <c r="H8" s="466"/>
      <c r="I8" s="467"/>
      <c r="J8" s="467"/>
      <c r="K8" s="1693">
        <f t="shared" si="0"/>
        <v>1323796</v>
      </c>
      <c r="L8" s="466">
        <v>1233419</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108625</v>
      </c>
      <c r="D10" s="466">
        <v>15758</v>
      </c>
      <c r="E10" s="466">
        <v>8137</v>
      </c>
      <c r="F10" s="466">
        <v>13320</v>
      </c>
      <c r="G10" s="466">
        <v>11260</v>
      </c>
      <c r="H10" s="466"/>
      <c r="I10" s="467"/>
      <c r="J10" s="467"/>
      <c r="K10" s="1693">
        <f t="shared" si="0"/>
        <v>157100</v>
      </c>
      <c r="L10" s="466">
        <v>153601</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153212</v>
      </c>
      <c r="D13" s="466">
        <v>16998</v>
      </c>
      <c r="E13" s="466">
        <v>1801</v>
      </c>
      <c r="F13" s="466">
        <v>14872</v>
      </c>
      <c r="G13" s="466"/>
      <c r="H13" s="466"/>
      <c r="I13" s="467"/>
      <c r="J13" s="467"/>
      <c r="K13" s="1693">
        <f t="shared" si="0"/>
        <v>186883</v>
      </c>
      <c r="L13" s="466">
        <v>178870</v>
      </c>
    </row>
    <row r="14" spans="1:14" x14ac:dyDescent="0.2">
      <c r="A14" s="1526" t="s">
        <v>1020</v>
      </c>
      <c r="B14" s="615">
        <v>1500</v>
      </c>
      <c r="C14" s="466">
        <v>204026</v>
      </c>
      <c r="D14" s="466">
        <v>1501</v>
      </c>
      <c r="E14" s="466">
        <v>31542</v>
      </c>
      <c r="F14" s="466">
        <v>33677</v>
      </c>
      <c r="G14" s="466"/>
      <c r="H14" s="466">
        <v>14355</v>
      </c>
      <c r="I14" s="467"/>
      <c r="J14" s="467"/>
      <c r="K14" s="1693">
        <f t="shared" si="0"/>
        <v>285101</v>
      </c>
      <c r="L14" s="466">
        <v>288275</v>
      </c>
    </row>
    <row r="15" spans="1:14" x14ac:dyDescent="0.2">
      <c r="A15" s="1526" t="s">
        <v>1021</v>
      </c>
      <c r="B15" s="615">
        <v>1600</v>
      </c>
      <c r="C15" s="466">
        <v>546</v>
      </c>
      <c r="D15" s="466"/>
      <c r="E15" s="466"/>
      <c r="F15" s="466"/>
      <c r="G15" s="466"/>
      <c r="H15" s="466"/>
      <c r="I15" s="467"/>
      <c r="J15" s="467"/>
      <c r="K15" s="1693">
        <f t="shared" si="0"/>
        <v>546</v>
      </c>
      <c r="L15" s="466">
        <v>4700</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63926</v>
      </c>
      <c r="D17" s="467">
        <v>1432</v>
      </c>
      <c r="E17" s="467">
        <v>135</v>
      </c>
      <c r="F17" s="467">
        <v>271</v>
      </c>
      <c r="G17" s="467"/>
      <c r="H17" s="467"/>
      <c r="I17" s="467"/>
      <c r="J17" s="467"/>
      <c r="K17" s="1693">
        <f t="shared" si="0"/>
        <v>65764</v>
      </c>
      <c r="L17" s="466">
        <v>69077</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293021</v>
      </c>
      <c r="I22" s="617"/>
      <c r="J22" s="477"/>
      <c r="K22" s="1693">
        <f t="shared" si="0"/>
        <v>293021</v>
      </c>
      <c r="L22" s="471">
        <v>275000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v>3000</v>
      </c>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5076790</v>
      </c>
      <c r="D33" s="1692">
        <f t="shared" ref="D33:L33" si="1">SUM(D5:D32)</f>
        <v>444132</v>
      </c>
      <c r="E33" s="1692">
        <f t="shared" si="1"/>
        <v>132034</v>
      </c>
      <c r="F33" s="1692">
        <f t="shared" si="1"/>
        <v>168206</v>
      </c>
      <c r="G33" s="1692">
        <f t="shared" si="1"/>
        <v>17554</v>
      </c>
      <c r="H33" s="1692">
        <f t="shared" si="1"/>
        <v>307376</v>
      </c>
      <c r="I33" s="1692">
        <f t="shared" si="1"/>
        <v>0</v>
      </c>
      <c r="J33" s="1692">
        <f t="shared" si="1"/>
        <v>21870</v>
      </c>
      <c r="K33" s="1692">
        <f t="shared" si="1"/>
        <v>6167962</v>
      </c>
      <c r="L33" s="1692">
        <f t="shared" si="1"/>
        <v>6090287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149320</v>
      </c>
      <c r="D37" s="466">
        <v>16365</v>
      </c>
      <c r="E37" s="466"/>
      <c r="F37" s="466"/>
      <c r="G37" s="466"/>
      <c r="H37" s="466"/>
      <c r="I37" s="467"/>
      <c r="J37" s="467"/>
      <c r="K37" s="1693">
        <f t="shared" si="2"/>
        <v>165685</v>
      </c>
      <c r="L37" s="466">
        <v>167766</v>
      </c>
    </row>
    <row r="38" spans="1:14" x14ac:dyDescent="0.2">
      <c r="A38" s="1526" t="s">
        <v>207</v>
      </c>
      <c r="B38" s="615">
        <v>2130</v>
      </c>
      <c r="C38" s="466">
        <v>22500</v>
      </c>
      <c r="D38" s="466">
        <v>32</v>
      </c>
      <c r="E38" s="466"/>
      <c r="F38" s="466"/>
      <c r="G38" s="466"/>
      <c r="H38" s="466"/>
      <c r="I38" s="467"/>
      <c r="J38" s="467"/>
      <c r="K38" s="1693">
        <f t="shared" si="2"/>
        <v>22532</v>
      </c>
      <c r="L38" s="466">
        <v>23032</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82819</v>
      </c>
      <c r="D40" s="466">
        <v>10921</v>
      </c>
      <c r="E40" s="466"/>
      <c r="F40" s="466"/>
      <c r="G40" s="466"/>
      <c r="H40" s="466"/>
      <c r="I40" s="467"/>
      <c r="J40" s="467"/>
      <c r="K40" s="1693">
        <f t="shared" si="2"/>
        <v>93740</v>
      </c>
      <c r="L40" s="466">
        <v>91263</v>
      </c>
    </row>
    <row r="41" spans="1:14" x14ac:dyDescent="0.2">
      <c r="A41" s="1526" t="s">
        <v>1768</v>
      </c>
      <c r="B41" s="615">
        <v>2190</v>
      </c>
      <c r="C41" s="466">
        <v>6406</v>
      </c>
      <c r="D41" s="466">
        <v>50</v>
      </c>
      <c r="E41" s="466"/>
      <c r="F41" s="466"/>
      <c r="G41" s="466"/>
      <c r="H41" s="466"/>
      <c r="I41" s="467"/>
      <c r="J41" s="467"/>
      <c r="K41" s="1693">
        <f t="shared" si="2"/>
        <v>6456</v>
      </c>
      <c r="L41" s="466">
        <v>12650</v>
      </c>
    </row>
    <row r="42" spans="1:14" ht="12.75" customHeight="1" thickBot="1" x14ac:dyDescent="0.25">
      <c r="A42" s="1690" t="s">
        <v>581</v>
      </c>
      <c r="B42" s="1691" t="s">
        <v>740</v>
      </c>
      <c r="C42" s="1692">
        <f>SUM(C36:C41)</f>
        <v>261045</v>
      </c>
      <c r="D42" s="1692">
        <f t="shared" ref="D42:L42" si="3">SUM(D36:D41)</f>
        <v>27368</v>
      </c>
      <c r="E42" s="1692">
        <f t="shared" si="3"/>
        <v>0</v>
      </c>
      <c r="F42" s="1692">
        <f t="shared" si="3"/>
        <v>0</v>
      </c>
      <c r="G42" s="1692">
        <f t="shared" si="3"/>
        <v>0</v>
      </c>
      <c r="H42" s="1692">
        <f t="shared" si="3"/>
        <v>0</v>
      </c>
      <c r="I42" s="1692">
        <f t="shared" si="3"/>
        <v>0</v>
      </c>
      <c r="J42" s="1692">
        <f t="shared" si="3"/>
        <v>0</v>
      </c>
      <c r="K42" s="1692">
        <f t="shared" si="3"/>
        <v>288413</v>
      </c>
      <c r="L42" s="1692">
        <f t="shared" si="3"/>
        <v>294711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22422</v>
      </c>
      <c r="D44" s="481">
        <f>1551+14250</f>
        <v>15801</v>
      </c>
      <c r="E44" s="481">
        <v>30989</v>
      </c>
      <c r="F44" s="481">
        <v>24607</v>
      </c>
      <c r="G44" s="481">
        <v>23007</v>
      </c>
      <c r="H44" s="481"/>
      <c r="I44" s="467"/>
      <c r="J44" s="467"/>
      <c r="K44" s="1694">
        <f>SUM(C44:J44)</f>
        <v>116826</v>
      </c>
      <c r="L44" s="481">
        <v>93284</v>
      </c>
    </row>
    <row r="45" spans="1:14" x14ac:dyDescent="0.2">
      <c r="A45" s="1526" t="s">
        <v>869</v>
      </c>
      <c r="B45" s="615">
        <v>2220</v>
      </c>
      <c r="C45" s="466">
        <v>49872</v>
      </c>
      <c r="D45" s="466"/>
      <c r="E45" s="466">
        <v>5552</v>
      </c>
      <c r="F45" s="466">
        <v>9748</v>
      </c>
      <c r="G45" s="466"/>
      <c r="H45" s="466"/>
      <c r="I45" s="467"/>
      <c r="J45" s="467"/>
      <c r="K45" s="1694">
        <f>SUM(C45:J45)</f>
        <v>65172</v>
      </c>
      <c r="L45" s="466">
        <v>66350</v>
      </c>
    </row>
    <row r="46" spans="1:14" x14ac:dyDescent="0.2">
      <c r="A46" s="1526" t="s">
        <v>870</v>
      </c>
      <c r="B46" s="615">
        <v>2230</v>
      </c>
      <c r="C46" s="466"/>
      <c r="D46" s="466"/>
      <c r="E46" s="466">
        <v>14609</v>
      </c>
      <c r="F46" s="466"/>
      <c r="G46" s="466"/>
      <c r="H46" s="466"/>
      <c r="I46" s="467"/>
      <c r="J46" s="467"/>
      <c r="K46" s="1694">
        <f>SUM(C46:J46)</f>
        <v>14609</v>
      </c>
      <c r="L46" s="466"/>
    </row>
    <row r="47" spans="1:14" ht="12.75" customHeight="1" thickBot="1" x14ac:dyDescent="0.25">
      <c r="A47" s="1690" t="s">
        <v>582</v>
      </c>
      <c r="B47" s="1691" t="s">
        <v>32</v>
      </c>
      <c r="C47" s="1692">
        <f>SUM(C44:C46)</f>
        <v>72294</v>
      </c>
      <c r="D47" s="1692">
        <f t="shared" ref="D47:K47" si="4">SUM(D44:D46)</f>
        <v>15801</v>
      </c>
      <c r="E47" s="1692">
        <f t="shared" si="4"/>
        <v>51150</v>
      </c>
      <c r="F47" s="1692">
        <f t="shared" si="4"/>
        <v>34355</v>
      </c>
      <c r="G47" s="1692">
        <f t="shared" si="4"/>
        <v>23007</v>
      </c>
      <c r="H47" s="1692">
        <f t="shared" si="4"/>
        <v>0</v>
      </c>
      <c r="I47" s="1692">
        <f t="shared" si="4"/>
        <v>0</v>
      </c>
      <c r="J47" s="1692">
        <f t="shared" si="4"/>
        <v>0</v>
      </c>
      <c r="K47" s="1692">
        <f t="shared" si="4"/>
        <v>196607</v>
      </c>
      <c r="L47" s="1692">
        <f>SUM(L44:L46)</f>
        <v>159634</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2985</v>
      </c>
      <c r="D49" s="481"/>
      <c r="E49" s="481">
        <f>13282+11500+9372</f>
        <v>34154</v>
      </c>
      <c r="F49" s="481">
        <v>8490</v>
      </c>
      <c r="G49" s="481"/>
      <c r="H49" s="481">
        <v>3156</v>
      </c>
      <c r="I49" s="467"/>
      <c r="J49" s="467"/>
      <c r="K49" s="1694">
        <f>SUM(C49:J49)</f>
        <v>48785</v>
      </c>
      <c r="L49" s="481">
        <v>59900</v>
      </c>
    </row>
    <row r="50" spans="1:14" x14ac:dyDescent="0.2">
      <c r="A50" s="1526" t="s">
        <v>872</v>
      </c>
      <c r="B50" s="615">
        <v>2320</v>
      </c>
      <c r="C50" s="466">
        <v>125029</v>
      </c>
      <c r="D50" s="466">
        <v>12134</v>
      </c>
      <c r="E50" s="466">
        <v>5543</v>
      </c>
      <c r="F50" s="466">
        <v>2376</v>
      </c>
      <c r="G50" s="466"/>
      <c r="H50" s="466">
        <v>2377</v>
      </c>
      <c r="I50" s="467"/>
      <c r="J50" s="467"/>
      <c r="K50" s="1694">
        <f>SUM(C50:J50)</f>
        <v>147459</v>
      </c>
      <c r="L50" s="466">
        <v>134930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128014</v>
      </c>
      <c r="D53" s="1692">
        <f t="shared" ref="D53:L53" si="5">SUM(D49:D52)</f>
        <v>12134</v>
      </c>
      <c r="E53" s="1692">
        <f t="shared" si="5"/>
        <v>39697</v>
      </c>
      <c r="F53" s="1692">
        <f t="shared" si="5"/>
        <v>10866</v>
      </c>
      <c r="G53" s="1692">
        <f t="shared" si="5"/>
        <v>0</v>
      </c>
      <c r="H53" s="1692">
        <f t="shared" si="5"/>
        <v>5533</v>
      </c>
      <c r="I53" s="1692">
        <f t="shared" si="5"/>
        <v>0</v>
      </c>
      <c r="J53" s="1692">
        <f t="shared" si="5"/>
        <v>0</v>
      </c>
      <c r="K53" s="1692">
        <f t="shared" si="5"/>
        <v>196244</v>
      </c>
      <c r="L53" s="1692">
        <f t="shared" si="5"/>
        <v>194830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234221+213663</f>
        <v>447884</v>
      </c>
      <c r="D55" s="481">
        <v>39635</v>
      </c>
      <c r="E55" s="481">
        <v>13980</v>
      </c>
      <c r="F55" s="481">
        <v>26791</v>
      </c>
      <c r="G55" s="481"/>
      <c r="H55" s="481">
        <v>3180</v>
      </c>
      <c r="I55" s="467"/>
      <c r="J55" s="467"/>
      <c r="K55" s="1694">
        <f>SUM(C55:J55)</f>
        <v>531470</v>
      </c>
      <c r="L55" s="481">
        <v>537608</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447884</v>
      </c>
      <c r="D57" s="1696">
        <f t="shared" ref="D57:K57" si="6">SUM(D55:D56)</f>
        <v>39635</v>
      </c>
      <c r="E57" s="1696">
        <f t="shared" si="6"/>
        <v>13980</v>
      </c>
      <c r="F57" s="1696">
        <f t="shared" si="6"/>
        <v>26791</v>
      </c>
      <c r="G57" s="1696">
        <f t="shared" si="6"/>
        <v>0</v>
      </c>
      <c r="H57" s="1696">
        <f t="shared" si="6"/>
        <v>3180</v>
      </c>
      <c r="I57" s="1696">
        <f t="shared" si="6"/>
        <v>0</v>
      </c>
      <c r="J57" s="1696">
        <f t="shared" si="6"/>
        <v>0</v>
      </c>
      <c r="K57" s="1696">
        <f t="shared" si="6"/>
        <v>531470</v>
      </c>
      <c r="L57" s="1692">
        <f>SUM(L55:L56)</f>
        <v>537608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53453</v>
      </c>
      <c r="D60" s="466">
        <v>4078</v>
      </c>
      <c r="E60" s="466">
        <v>14071</v>
      </c>
      <c r="F60" s="466">
        <v>1141</v>
      </c>
      <c r="G60" s="466"/>
      <c r="H60" s="466"/>
      <c r="I60" s="467"/>
      <c r="J60" s="467"/>
      <c r="K60" s="1694">
        <f t="shared" si="7"/>
        <v>72743</v>
      </c>
      <c r="L60" s="466">
        <v>64912</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217107</v>
      </c>
      <c r="D63" s="466">
        <v>10156</v>
      </c>
      <c r="E63" s="466">
        <v>5969</v>
      </c>
      <c r="F63" s="466">
        <v>317596</v>
      </c>
      <c r="G63" s="466">
        <v>28064</v>
      </c>
      <c r="H63" s="466">
        <v>1177</v>
      </c>
      <c r="I63" s="467"/>
      <c r="J63" s="467"/>
      <c r="K63" s="1694">
        <f t="shared" si="7"/>
        <v>580069</v>
      </c>
      <c r="L63" s="466">
        <v>611216</v>
      </c>
    </row>
    <row r="64" spans="1:14" s="610" customFormat="1" x14ac:dyDescent="0.2">
      <c r="A64" s="1531" t="s">
        <v>103</v>
      </c>
      <c r="B64" s="631">
        <v>2570</v>
      </c>
      <c r="C64" s="481"/>
      <c r="D64" s="481"/>
      <c r="E64" s="481">
        <v>22703</v>
      </c>
      <c r="F64" s="481"/>
      <c r="G64" s="481"/>
      <c r="H64" s="481"/>
      <c r="I64" s="467"/>
      <c r="J64" s="467"/>
      <c r="K64" s="1694">
        <f t="shared" si="7"/>
        <v>22703</v>
      </c>
      <c r="L64" s="481">
        <v>16800</v>
      </c>
    </row>
    <row r="65" spans="1:14" s="343" customFormat="1" ht="12.75" customHeight="1" thickBot="1" x14ac:dyDescent="0.25">
      <c r="A65" s="1690" t="s">
        <v>743</v>
      </c>
      <c r="B65" s="1691" t="s">
        <v>35</v>
      </c>
      <c r="C65" s="1692">
        <f>SUM(C59:C64)</f>
        <v>270560</v>
      </c>
      <c r="D65" s="1692">
        <f t="shared" ref="D65:L65" si="8">SUM(D59:D64)</f>
        <v>14234</v>
      </c>
      <c r="E65" s="1692">
        <f t="shared" si="8"/>
        <v>42743</v>
      </c>
      <c r="F65" s="1692">
        <f t="shared" si="8"/>
        <v>318737</v>
      </c>
      <c r="G65" s="1692">
        <f t="shared" si="8"/>
        <v>28064</v>
      </c>
      <c r="H65" s="1692">
        <f t="shared" si="8"/>
        <v>1177</v>
      </c>
      <c r="I65" s="1692">
        <f t="shared" si="8"/>
        <v>0</v>
      </c>
      <c r="J65" s="1692">
        <f t="shared" si="8"/>
        <v>0</v>
      </c>
      <c r="K65" s="1692">
        <f t="shared" si="8"/>
        <v>675515</v>
      </c>
      <c r="L65" s="1692">
        <f t="shared" si="8"/>
        <v>692928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v>5400</v>
      </c>
      <c r="D70" s="466">
        <v>624</v>
      </c>
      <c r="E70" s="466"/>
      <c r="F70" s="466"/>
      <c r="G70" s="466"/>
      <c r="H70" s="466"/>
      <c r="I70" s="467"/>
      <c r="J70" s="467"/>
      <c r="K70" s="1694">
        <f>SUM(C70:J70)</f>
        <v>6024</v>
      </c>
      <c r="L70" s="466">
        <v>12049</v>
      </c>
      <c r="M70" s="610"/>
      <c r="N70" s="610"/>
    </row>
    <row r="71" spans="1:14" s="343" customFormat="1" x14ac:dyDescent="0.2">
      <c r="A71" s="1526" t="s">
        <v>424</v>
      </c>
      <c r="B71" s="615">
        <v>2660</v>
      </c>
      <c r="C71" s="466">
        <v>50241</v>
      </c>
      <c r="D71" s="466">
        <v>6941</v>
      </c>
      <c r="E71" s="466">
        <v>20488</v>
      </c>
      <c r="F71" s="466">
        <v>13643</v>
      </c>
      <c r="G71" s="466">
        <v>28918</v>
      </c>
      <c r="H71" s="466"/>
      <c r="I71" s="467"/>
      <c r="J71" s="467"/>
      <c r="K71" s="1694">
        <f>SUM(C71:J71)</f>
        <v>120231</v>
      </c>
      <c r="L71" s="466">
        <v>127600</v>
      </c>
      <c r="M71" s="610"/>
      <c r="N71" s="610"/>
    </row>
    <row r="72" spans="1:14" s="343" customFormat="1" ht="12.75" customHeight="1" thickBot="1" x14ac:dyDescent="0.25">
      <c r="A72" s="1690" t="s">
        <v>37</v>
      </c>
      <c r="B72" s="1697" t="s">
        <v>36</v>
      </c>
      <c r="C72" s="1692">
        <f>SUM(C67:C71)</f>
        <v>55641</v>
      </c>
      <c r="D72" s="1692">
        <f t="shared" ref="D72:K72" si="9">SUM(D67:D71)</f>
        <v>7565</v>
      </c>
      <c r="E72" s="1692">
        <f t="shared" si="9"/>
        <v>20488</v>
      </c>
      <c r="F72" s="1692">
        <f t="shared" si="9"/>
        <v>13643</v>
      </c>
      <c r="G72" s="1692">
        <f t="shared" si="9"/>
        <v>28918</v>
      </c>
      <c r="H72" s="1692">
        <f t="shared" si="9"/>
        <v>0</v>
      </c>
      <c r="I72" s="1692">
        <f t="shared" si="9"/>
        <v>0</v>
      </c>
      <c r="J72" s="1692">
        <f t="shared" si="9"/>
        <v>0</v>
      </c>
      <c r="K72" s="1692">
        <f t="shared" si="9"/>
        <v>126255</v>
      </c>
      <c r="L72" s="1692">
        <f>SUM(L67:L71)</f>
        <v>139649</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1235438</v>
      </c>
      <c r="D74" s="1699">
        <f t="shared" ref="D74:K74" si="10">SUM(D42,D47,D53,D57,D65,D72,D73)</f>
        <v>116737</v>
      </c>
      <c r="E74" s="1699">
        <f t="shared" si="10"/>
        <v>168058</v>
      </c>
      <c r="F74" s="1699">
        <f t="shared" si="10"/>
        <v>404392</v>
      </c>
      <c r="G74" s="1699">
        <f t="shared" si="10"/>
        <v>79989</v>
      </c>
      <c r="H74" s="1699">
        <f t="shared" si="10"/>
        <v>9890</v>
      </c>
      <c r="I74" s="1699">
        <f t="shared" si="10"/>
        <v>0</v>
      </c>
      <c r="J74" s="1699">
        <f t="shared" si="10"/>
        <v>0</v>
      </c>
      <c r="K74" s="1699">
        <f t="shared" si="10"/>
        <v>2014504</v>
      </c>
      <c r="L74" s="1699">
        <f>SUM(L42,L47,L53,L57,L65,L72,L73)</f>
        <v>2019360</v>
      </c>
    </row>
    <row r="75" spans="1:14" s="259" customFormat="1" ht="15.75" customHeight="1" thickTop="1" thickBot="1" x14ac:dyDescent="0.25">
      <c r="A75" s="1632" t="s">
        <v>49</v>
      </c>
      <c r="B75" s="1633" t="s">
        <v>596</v>
      </c>
      <c r="C75" s="573">
        <v>26533</v>
      </c>
      <c r="D75" s="573"/>
      <c r="E75" s="573">
        <v>4825</v>
      </c>
      <c r="F75" s="573">
        <v>2025</v>
      </c>
      <c r="G75" s="573"/>
      <c r="H75" s="573"/>
      <c r="I75" s="531"/>
      <c r="J75" s="531"/>
      <c r="K75" s="1692">
        <f>SUM(C75:J75)</f>
        <v>33383</v>
      </c>
      <c r="L75" s="576">
        <v>33810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136132</v>
      </c>
      <c r="F79" s="617"/>
      <c r="G79" s="617"/>
      <c r="H79" s="466"/>
      <c r="I79" s="477"/>
      <c r="J79" s="477"/>
      <c r="K79" s="1693">
        <f t="shared" si="11"/>
        <v>136132</v>
      </c>
      <c r="L79" s="466">
        <v>140000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5992</v>
      </c>
      <c r="F83" s="617"/>
      <c r="G83" s="617"/>
      <c r="H83" s="466"/>
      <c r="I83" s="477"/>
      <c r="J83" s="477"/>
      <c r="K83" s="1693">
        <f t="shared" si="11"/>
        <v>5992</v>
      </c>
      <c r="L83" s="466">
        <v>5992</v>
      </c>
    </row>
    <row r="84" spans="1:12" ht="13.5" thickBot="1" x14ac:dyDescent="0.25">
      <c r="A84" s="1690" t="s">
        <v>1565</v>
      </c>
      <c r="B84" s="1700">
        <v>4100</v>
      </c>
      <c r="C84" s="617"/>
      <c r="D84" s="617"/>
      <c r="E84" s="1692">
        <f>SUM(E78:E83)</f>
        <v>142124</v>
      </c>
      <c r="F84" s="617"/>
      <c r="G84" s="617"/>
      <c r="H84" s="1692">
        <f>SUM(H78:H83)</f>
        <v>0</v>
      </c>
      <c r="I84" s="477"/>
      <c r="J84" s="477"/>
      <c r="K84" s="1692">
        <f>SUM(K78:K83)</f>
        <v>142124</v>
      </c>
      <c r="L84" s="1692">
        <f>SUM(L78:L83)</f>
        <v>145992</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191711</v>
      </c>
      <c r="I86" s="477"/>
      <c r="J86" s="477"/>
      <c r="K86" s="1699">
        <f t="shared" ref="K86:K98" si="12">H86</f>
        <v>191711</v>
      </c>
      <c r="L86" s="530">
        <v>187420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20630</v>
      </c>
      <c r="I88" s="477"/>
      <c r="J88" s="477"/>
      <c r="K88" s="1699">
        <f t="shared" si="12"/>
        <v>20630</v>
      </c>
      <c r="L88" s="530">
        <v>20000</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212341</v>
      </c>
      <c r="I92" s="477"/>
      <c r="J92" s="477"/>
      <c r="K92" s="1699">
        <f t="shared" si="12"/>
        <v>212341</v>
      </c>
      <c r="L92" s="1692">
        <f>SUM(L85:L91)</f>
        <v>207420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142124</v>
      </c>
      <c r="F102" s="617"/>
      <c r="G102" s="617"/>
      <c r="H102" s="1699">
        <f>SUM(H84,H92,H100,H101)</f>
        <v>212341</v>
      </c>
      <c r="I102" s="477"/>
      <c r="J102" s="477"/>
      <c r="K102" s="1699">
        <f>SUM(K84,K92,K100,K101)</f>
        <v>354465</v>
      </c>
      <c r="L102" s="1699">
        <f>SUM(L84,L92,L100,L101)</f>
        <v>353412</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6338761</v>
      </c>
      <c r="D114" s="1692">
        <f t="shared" ref="D114:K114" si="13">SUM(D33,D74,D75,D102,D112,D113)</f>
        <v>560869</v>
      </c>
      <c r="E114" s="1692">
        <f t="shared" si="13"/>
        <v>447041</v>
      </c>
      <c r="F114" s="1692">
        <f t="shared" si="13"/>
        <v>574623</v>
      </c>
      <c r="G114" s="1692">
        <f t="shared" si="13"/>
        <v>97543</v>
      </c>
      <c r="H114" s="1692">
        <f>SUM(H33,H74,H75,H102,H112,H113)</f>
        <v>529607</v>
      </c>
      <c r="I114" s="1692">
        <f t="shared" si="13"/>
        <v>0</v>
      </c>
      <c r="J114" s="1692">
        <f t="shared" si="13"/>
        <v>21870</v>
      </c>
      <c r="K114" s="1692">
        <f t="shared" si="13"/>
        <v>8570314</v>
      </c>
      <c r="L114" s="1692">
        <f>SUM(L33,L74,L75,L102,L112,L113)</f>
        <v>8496869</v>
      </c>
    </row>
    <row r="115" spans="1:14" ht="13.5" thickTop="1" x14ac:dyDescent="0.2">
      <c r="A115" s="2174" t="s">
        <v>1053</v>
      </c>
      <c r="B115" s="2175"/>
      <c r="C115" s="619"/>
      <c r="D115" s="619"/>
      <c r="E115" s="619"/>
      <c r="F115" s="619"/>
      <c r="G115" s="619"/>
      <c r="H115" s="619"/>
      <c r="I115" s="619"/>
      <c r="J115" s="619"/>
      <c r="K115" s="1706">
        <f>'Revenues 9-14'!C275-'Expenditures 15-22'!K114</f>
        <v>56977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358436</v>
      </c>
      <c r="D124" s="466">
        <v>41262</v>
      </c>
      <c r="E124" s="466">
        <v>985728</v>
      </c>
      <c r="F124" s="466">
        <v>350742</v>
      </c>
      <c r="G124" s="466">
        <v>41298</v>
      </c>
      <c r="H124" s="466"/>
      <c r="I124" s="467"/>
      <c r="J124" s="467"/>
      <c r="K124" s="1692">
        <f>SUM(C124:J124)</f>
        <v>1777466</v>
      </c>
      <c r="L124" s="466">
        <v>1751214</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358436</v>
      </c>
      <c r="D127" s="1692">
        <f t="shared" ref="D127:L127" si="14">SUM(D122:D126)</f>
        <v>41262</v>
      </c>
      <c r="E127" s="1692">
        <f t="shared" si="14"/>
        <v>985728</v>
      </c>
      <c r="F127" s="1692">
        <f t="shared" si="14"/>
        <v>350742</v>
      </c>
      <c r="G127" s="1692">
        <f t="shared" si="14"/>
        <v>41298</v>
      </c>
      <c r="H127" s="1692">
        <f t="shared" si="14"/>
        <v>0</v>
      </c>
      <c r="I127" s="1692">
        <f t="shared" si="14"/>
        <v>0</v>
      </c>
      <c r="J127" s="1692">
        <f t="shared" si="14"/>
        <v>0</v>
      </c>
      <c r="K127" s="1692">
        <f t="shared" si="14"/>
        <v>1777466</v>
      </c>
      <c r="L127" s="1692">
        <f t="shared" si="14"/>
        <v>1751214</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358436</v>
      </c>
      <c r="D129" s="1699">
        <f t="shared" ref="D129:L129" si="15">SUM(D120,D127,D128)</f>
        <v>41262</v>
      </c>
      <c r="E129" s="1699">
        <f t="shared" si="15"/>
        <v>985728</v>
      </c>
      <c r="F129" s="1699">
        <f t="shared" si="15"/>
        <v>350742</v>
      </c>
      <c r="G129" s="1699">
        <f t="shared" si="15"/>
        <v>41298</v>
      </c>
      <c r="H129" s="1699">
        <f t="shared" si="15"/>
        <v>0</v>
      </c>
      <c r="I129" s="1699">
        <f t="shared" si="15"/>
        <v>0</v>
      </c>
      <c r="J129" s="1699">
        <f t="shared" si="15"/>
        <v>0</v>
      </c>
      <c r="K129" s="1699">
        <f t="shared" si="15"/>
        <v>1777466</v>
      </c>
      <c r="L129" s="1699">
        <f t="shared" si="15"/>
        <v>1751214</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v>9836</v>
      </c>
      <c r="I135" s="477"/>
      <c r="J135" s="617"/>
      <c r="K135" s="1694">
        <f>SUM(E135,H135)</f>
        <v>9836</v>
      </c>
      <c r="L135" s="466">
        <v>9836</v>
      </c>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9836</v>
      </c>
      <c r="I137" s="477"/>
      <c r="J137" s="617"/>
      <c r="K137" s="1692">
        <f>SUM(K133:K136)</f>
        <v>9836</v>
      </c>
      <c r="L137" s="1692">
        <f>SUM(L133:L136)</f>
        <v>9836</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9836</v>
      </c>
      <c r="I139" s="477"/>
      <c r="J139" s="617"/>
      <c r="K139" s="1694">
        <f>SUM(K137,K138)</f>
        <v>9836</v>
      </c>
      <c r="L139" s="1701">
        <f>SUM(L137,L138)</f>
        <v>9836</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358436</v>
      </c>
      <c r="D151" s="1692">
        <f t="shared" ref="D151:K151" si="16">SUM(D129,D130,D139,D149,D150)</f>
        <v>41262</v>
      </c>
      <c r="E151" s="1692">
        <f t="shared" si="16"/>
        <v>985728</v>
      </c>
      <c r="F151" s="1692">
        <f t="shared" si="16"/>
        <v>350742</v>
      </c>
      <c r="G151" s="1692">
        <f t="shared" si="16"/>
        <v>41298</v>
      </c>
      <c r="H151" s="1692">
        <f t="shared" si="16"/>
        <v>9836</v>
      </c>
      <c r="I151" s="1692">
        <f t="shared" si="16"/>
        <v>0</v>
      </c>
      <c r="J151" s="1692">
        <f t="shared" si="16"/>
        <v>0</v>
      </c>
      <c r="K151" s="1692">
        <f t="shared" si="16"/>
        <v>1787302</v>
      </c>
      <c r="L151" s="1692">
        <f>SUM(L129,L130,L139,L149,L150)</f>
        <v>1761050</v>
      </c>
    </row>
    <row r="152" spans="1:14" ht="12.75" customHeight="1" thickTop="1" x14ac:dyDescent="0.2">
      <c r="A152" s="2194" t="s">
        <v>1240</v>
      </c>
      <c r="B152" s="2195"/>
      <c r="C152" s="619"/>
      <c r="D152" s="619"/>
      <c r="E152" s="619"/>
      <c r="F152" s="619"/>
      <c r="G152" s="619"/>
      <c r="H152" s="619"/>
      <c r="I152" s="619"/>
      <c r="J152" s="617"/>
      <c r="K152" s="1706">
        <f>'Revenues 9-14'!D275-'Expenditures 15-22'!K151</f>
        <v>-445198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48346</v>
      </c>
      <c r="I169" s="617"/>
      <c r="J169" s="617"/>
      <c r="K169" s="1693">
        <f>SUM(C169:H169)</f>
        <v>48346</v>
      </c>
      <c r="L169" s="657">
        <v>48846</v>
      </c>
    </row>
    <row r="170" spans="1:14" ht="33.75" customHeight="1" x14ac:dyDescent="0.2">
      <c r="A170" s="670" t="s">
        <v>1769</v>
      </c>
      <c r="B170" s="672" t="s">
        <v>31</v>
      </c>
      <c r="C170" s="617"/>
      <c r="D170" s="617"/>
      <c r="E170" s="617"/>
      <c r="F170" s="617"/>
      <c r="G170" s="617"/>
      <c r="H170" s="569">
        <v>1255000</v>
      </c>
      <c r="I170" s="617"/>
      <c r="J170" s="617"/>
      <c r="K170" s="1693">
        <f>SUM(C170:J170)</f>
        <v>1255000</v>
      </c>
      <c r="L170" s="569">
        <v>1255000</v>
      </c>
    </row>
    <row r="171" spans="1:14" ht="15.75" customHeight="1" x14ac:dyDescent="0.2">
      <c r="A171" s="622" t="s">
        <v>790</v>
      </c>
      <c r="B171" s="673" t="s">
        <v>86</v>
      </c>
      <c r="C171" s="617"/>
      <c r="D171" s="617"/>
      <c r="E171" s="466"/>
      <c r="F171" s="617"/>
      <c r="G171" s="617"/>
      <c r="H171" s="569">
        <v>500</v>
      </c>
      <c r="I171" s="477"/>
      <c r="J171" s="617"/>
      <c r="K171" s="1693">
        <f>SUM(C171:J171)</f>
        <v>500</v>
      </c>
      <c r="L171" s="569"/>
    </row>
    <row r="172" spans="1:14" ht="12.75" customHeight="1" thickBot="1" x14ac:dyDescent="0.25">
      <c r="A172" s="1690" t="s">
        <v>659</v>
      </c>
      <c r="B172" s="1691" t="s">
        <v>513</v>
      </c>
      <c r="C172" s="617"/>
      <c r="D172" s="617"/>
      <c r="E172" s="1699">
        <f>SUM(E168,E169,E170,E171)</f>
        <v>0</v>
      </c>
      <c r="F172" s="617"/>
      <c r="G172" s="617"/>
      <c r="H172" s="1699">
        <f>SUM(H168,H169,H170,H171)</f>
        <v>1303846</v>
      </c>
      <c r="I172" s="639"/>
      <c r="J172" s="617"/>
      <c r="K172" s="1699">
        <f>SUM(K168,K169,K170,K171)</f>
        <v>1303846</v>
      </c>
      <c r="L172" s="1699">
        <f>SUM(L168,L169,L170,L171)</f>
        <v>1303846</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1303846</v>
      </c>
      <c r="I174" s="639"/>
      <c r="J174" s="617"/>
      <c r="K174" s="1699">
        <f>SUM(K160,K172,K173)</f>
        <v>1303846</v>
      </c>
      <c r="L174" s="1699">
        <f>SUM(L160,L172,L173)</f>
        <v>1303846</v>
      </c>
    </row>
    <row r="175" spans="1:14" ht="13.5" thickTop="1" x14ac:dyDescent="0.2">
      <c r="A175" s="2174" t="s">
        <v>1053</v>
      </c>
      <c r="B175" s="2175"/>
      <c r="C175" s="617"/>
      <c r="D175" s="617"/>
      <c r="E175" s="617"/>
      <c r="F175" s="617"/>
      <c r="G175" s="617"/>
      <c r="H175" s="619"/>
      <c r="I175" s="617"/>
      <c r="J175" s="617"/>
      <c r="K175" s="1706">
        <f>'Revenues 9-14'!E275-'Expenditures 15-22'!K174</f>
        <v>-21864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671024</v>
      </c>
      <c r="D182" s="466">
        <v>13585</v>
      </c>
      <c r="E182" s="466">
        <v>59008</v>
      </c>
      <c r="F182" s="466">
        <v>240230</v>
      </c>
      <c r="G182" s="466">
        <v>7032</v>
      </c>
      <c r="H182" s="466">
        <v>65</v>
      </c>
      <c r="I182" s="467"/>
      <c r="J182" s="467"/>
      <c r="K182" s="1693">
        <f>SUM(C182:J182)</f>
        <v>990944</v>
      </c>
      <c r="L182" s="466">
        <v>986459</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671024</v>
      </c>
      <c r="D184" s="1699">
        <f t="shared" ref="D184:J184" si="17">SUM(D180,D182,D183)</f>
        <v>13585</v>
      </c>
      <c r="E184" s="1699">
        <f t="shared" si="17"/>
        <v>59008</v>
      </c>
      <c r="F184" s="1699">
        <f t="shared" si="17"/>
        <v>240230</v>
      </c>
      <c r="G184" s="1699">
        <f t="shared" si="17"/>
        <v>7032</v>
      </c>
      <c r="H184" s="1699">
        <f t="shared" si="17"/>
        <v>65</v>
      </c>
      <c r="I184" s="1699">
        <f t="shared" si="17"/>
        <v>0</v>
      </c>
      <c r="J184" s="1699">
        <f t="shared" si="17"/>
        <v>0</v>
      </c>
      <c r="K184" s="1699">
        <f>SUM(K180,K182,K183)</f>
        <v>990944</v>
      </c>
      <c r="L184" s="1699">
        <f>SUM(L180, L182:L183)</f>
        <v>986459</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v>2305</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2305</v>
      </c>
    </row>
    <row r="205" spans="1:14" ht="15.75" customHeight="1" thickTop="1" x14ac:dyDescent="0.2">
      <c r="A205" s="680" t="s">
        <v>85</v>
      </c>
      <c r="B205" s="681" t="s">
        <v>38</v>
      </c>
      <c r="C205" s="617"/>
      <c r="D205" s="617"/>
      <c r="E205" s="617"/>
      <c r="F205" s="617"/>
      <c r="G205" s="617"/>
      <c r="H205" s="535">
        <v>2305</v>
      </c>
      <c r="I205" s="617"/>
      <c r="J205" s="617"/>
      <c r="K205" s="1707">
        <f>SUM(H205)</f>
        <v>2305</v>
      </c>
      <c r="L205" s="535"/>
    </row>
    <row r="206" spans="1:14" ht="30" customHeight="1" x14ac:dyDescent="0.2">
      <c r="A206" s="682" t="s">
        <v>1770</v>
      </c>
      <c r="B206" s="673" t="s">
        <v>31</v>
      </c>
      <c r="C206" s="617"/>
      <c r="D206" s="617"/>
      <c r="E206" s="617"/>
      <c r="F206" s="617"/>
      <c r="G206" s="617"/>
      <c r="H206" s="466">
        <v>22430</v>
      </c>
      <c r="I206" s="617"/>
      <c r="J206" s="617"/>
      <c r="K206" s="1693">
        <f>SUM(H206)</f>
        <v>22430</v>
      </c>
      <c r="L206" s="466">
        <v>22430</v>
      </c>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24735</v>
      </c>
      <c r="I208" s="617"/>
      <c r="J208" s="617"/>
      <c r="K208" s="1699">
        <f>SUM(K204,K205,K206,K207)</f>
        <v>24735</v>
      </c>
      <c r="L208" s="1699">
        <f>SUM(L204,L205,L206,L207)</f>
        <v>24735</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671024</v>
      </c>
      <c r="D210" s="1692">
        <f>SUM(D184,D185)</f>
        <v>13585</v>
      </c>
      <c r="E210" s="1692">
        <f>SUM(E184,E185,E196)</f>
        <v>59008</v>
      </c>
      <c r="F210" s="1692">
        <f>SUM(F184,F185)</f>
        <v>240230</v>
      </c>
      <c r="G210" s="1692">
        <f>SUM(G184,G185)</f>
        <v>7032</v>
      </c>
      <c r="H210" s="1692">
        <f>SUM(H184,H185,H196,H208,H209)</f>
        <v>24800</v>
      </c>
      <c r="I210" s="1692">
        <f>SUM(I184,I185)</f>
        <v>0</v>
      </c>
      <c r="J210" s="1692">
        <f>SUM(J184,J185)</f>
        <v>0</v>
      </c>
      <c r="K210" s="1693">
        <f>SUM(K184,K185,K196,K208,K209)</f>
        <v>1015679</v>
      </c>
      <c r="L210" s="1692">
        <f>SUM(L184,L185,L196,L208,L209)</f>
        <v>1011194</v>
      </c>
    </row>
    <row r="211" spans="1:14" ht="13.5" thickTop="1" x14ac:dyDescent="0.2">
      <c r="A211" s="2174" t="s">
        <v>1053</v>
      </c>
      <c r="B211" s="2175"/>
      <c r="C211" s="619"/>
      <c r="D211" s="619"/>
      <c r="E211" s="619"/>
      <c r="F211" s="619"/>
      <c r="G211" s="619"/>
      <c r="H211" s="619"/>
      <c r="I211" s="617"/>
      <c r="J211" s="617"/>
      <c r="K211" s="1706">
        <f>'Revenues 9-14'!F275-'Expenditures 15-22'!K210</f>
        <v>165313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47169+3911</f>
        <v>51080</v>
      </c>
      <c r="E215" s="617"/>
      <c r="F215" s="617"/>
      <c r="G215" s="617"/>
      <c r="H215" s="617"/>
      <c r="I215" s="617"/>
      <c r="J215" s="617"/>
      <c r="K215" s="1693">
        <f>D215</f>
        <v>51080</v>
      </c>
      <c r="L215" s="466">
        <v>47900</v>
      </c>
    </row>
    <row r="216" spans="1:14" x14ac:dyDescent="0.2">
      <c r="A216" s="1526" t="s">
        <v>165</v>
      </c>
      <c r="B216" s="615" t="s">
        <v>1024</v>
      </c>
      <c r="C216" s="617"/>
      <c r="D216" s="467">
        <f>3319+4061+767</f>
        <v>8147</v>
      </c>
      <c r="E216" s="617"/>
      <c r="F216" s="617"/>
      <c r="G216" s="617"/>
      <c r="H216" s="617"/>
      <c r="I216" s="617"/>
      <c r="J216" s="617"/>
      <c r="K216" s="1693">
        <f t="shared" ref="K216:K228" si="19">D216</f>
        <v>8147</v>
      </c>
      <c r="L216" s="466">
        <v>7317</v>
      </c>
    </row>
    <row r="217" spans="1:14" x14ac:dyDescent="0.2">
      <c r="A217" s="1526" t="s">
        <v>166</v>
      </c>
      <c r="B217" s="615">
        <v>1200</v>
      </c>
      <c r="C217" s="617"/>
      <c r="D217" s="466">
        <f>50546+54330</f>
        <v>104876</v>
      </c>
      <c r="E217" s="617"/>
      <c r="F217" s="617"/>
      <c r="G217" s="617"/>
      <c r="H217" s="617"/>
      <c r="I217" s="617"/>
      <c r="J217" s="617"/>
      <c r="K217" s="1693">
        <f t="shared" si="19"/>
        <v>104876</v>
      </c>
      <c r="L217" s="466">
        <v>106620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f>654+1836</f>
        <v>2490</v>
      </c>
      <c r="E219" s="617"/>
      <c r="F219" s="617"/>
      <c r="G219" s="617"/>
      <c r="H219" s="617"/>
      <c r="I219" s="617"/>
      <c r="J219" s="617"/>
      <c r="K219" s="1693">
        <f t="shared" si="19"/>
        <v>2490</v>
      </c>
      <c r="L219" s="466">
        <v>2593</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2326</v>
      </c>
      <c r="E222" s="617"/>
      <c r="F222" s="617"/>
      <c r="G222" s="617"/>
      <c r="H222" s="617"/>
      <c r="I222" s="617"/>
      <c r="J222" s="617"/>
      <c r="K222" s="1693">
        <f t="shared" si="19"/>
        <v>2326</v>
      </c>
      <c r="L222" s="466">
        <v>2500</v>
      </c>
    </row>
    <row r="223" spans="1:14" x14ac:dyDescent="0.2">
      <c r="A223" s="1526" t="s">
        <v>1020</v>
      </c>
      <c r="B223" s="615">
        <v>1500</v>
      </c>
      <c r="C223" s="617"/>
      <c r="D223" s="466">
        <f>2058+6724</f>
        <v>8782</v>
      </c>
      <c r="E223" s="617"/>
      <c r="F223" s="617"/>
      <c r="G223" s="617"/>
      <c r="H223" s="617"/>
      <c r="I223" s="617"/>
      <c r="J223" s="617"/>
      <c r="K223" s="1693">
        <f t="shared" si="19"/>
        <v>8782</v>
      </c>
      <c r="L223" s="466">
        <v>9100</v>
      </c>
    </row>
    <row r="224" spans="1:14" x14ac:dyDescent="0.2">
      <c r="A224" s="1526" t="s">
        <v>1021</v>
      </c>
      <c r="B224" s="615">
        <v>1600</v>
      </c>
      <c r="C224" s="617"/>
      <c r="D224" s="466">
        <v>8</v>
      </c>
      <c r="E224" s="617"/>
      <c r="F224" s="617"/>
      <c r="G224" s="617"/>
      <c r="H224" s="617"/>
      <c r="I224" s="617"/>
      <c r="J224" s="617"/>
      <c r="K224" s="1693">
        <f t="shared" si="19"/>
        <v>8</v>
      </c>
      <c r="L224" s="466">
        <v>100</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1027</v>
      </c>
      <c r="E226" s="617"/>
      <c r="F226" s="617"/>
      <c r="G226" s="617"/>
      <c r="H226" s="617"/>
      <c r="I226" s="617"/>
      <c r="J226" s="617"/>
      <c r="K226" s="1693">
        <f t="shared" si="19"/>
        <v>1027</v>
      </c>
      <c r="L226" s="466">
        <v>1200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178736</v>
      </c>
      <c r="E229" s="617"/>
      <c r="F229" s="617"/>
      <c r="G229" s="617"/>
      <c r="H229" s="617"/>
      <c r="I229" s="617"/>
      <c r="J229" s="617"/>
      <c r="K229" s="1692">
        <f>SUM(K215:K228)</f>
        <v>178736</v>
      </c>
      <c r="L229" s="1692">
        <f>SUM(L215:L228)</f>
        <v>177330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2291</v>
      </c>
      <c r="E233" s="617"/>
      <c r="F233" s="617"/>
      <c r="G233" s="617"/>
      <c r="H233" s="617"/>
      <c r="I233" s="617"/>
      <c r="J233" s="617"/>
      <c r="K233" s="1693">
        <f t="shared" si="20"/>
        <v>2291</v>
      </c>
      <c r="L233" s="466">
        <v>2500</v>
      </c>
    </row>
    <row r="234" spans="1:12" x14ac:dyDescent="0.2">
      <c r="A234" s="1526" t="s">
        <v>207</v>
      </c>
      <c r="B234" s="615">
        <v>2130</v>
      </c>
      <c r="C234" s="617"/>
      <c r="D234" s="466">
        <f>3051+2464</f>
        <v>5515</v>
      </c>
      <c r="E234" s="617"/>
      <c r="F234" s="617"/>
      <c r="G234" s="617"/>
      <c r="H234" s="617"/>
      <c r="I234" s="617"/>
      <c r="J234" s="617"/>
      <c r="K234" s="1693">
        <f t="shared" si="20"/>
        <v>5515</v>
      </c>
      <c r="L234" s="466">
        <v>5700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1290</v>
      </c>
      <c r="E236" s="617"/>
      <c r="F236" s="617"/>
      <c r="G236" s="617"/>
      <c r="H236" s="617"/>
      <c r="I236" s="617"/>
      <c r="J236" s="617"/>
      <c r="K236" s="1693">
        <f t="shared" si="20"/>
        <v>1290</v>
      </c>
      <c r="L236" s="466">
        <v>1400</v>
      </c>
    </row>
    <row r="237" spans="1:12" x14ac:dyDescent="0.2">
      <c r="A237" s="1526" t="s">
        <v>167</v>
      </c>
      <c r="B237" s="615">
        <v>2190</v>
      </c>
      <c r="C237" s="617"/>
      <c r="D237" s="466">
        <f>158+189</f>
        <v>347</v>
      </c>
      <c r="E237" s="617"/>
      <c r="F237" s="617"/>
      <c r="G237" s="617"/>
      <c r="H237" s="617"/>
      <c r="I237" s="617"/>
      <c r="J237" s="617"/>
      <c r="K237" s="1693">
        <f t="shared" si="20"/>
        <v>347</v>
      </c>
      <c r="L237" s="466">
        <v>425</v>
      </c>
    </row>
    <row r="238" spans="1:12" ht="12.75" customHeight="1" thickBot="1" x14ac:dyDescent="0.25">
      <c r="A238" s="1690" t="s">
        <v>581</v>
      </c>
      <c r="B238" s="1697" t="s">
        <v>740</v>
      </c>
      <c r="C238" s="617"/>
      <c r="D238" s="1692">
        <f>SUM(D232:D237)</f>
        <v>9443</v>
      </c>
      <c r="E238" s="617"/>
      <c r="F238" s="617"/>
      <c r="G238" s="617"/>
      <c r="H238" s="617"/>
      <c r="I238" s="617"/>
      <c r="J238" s="617"/>
      <c r="K238" s="1692">
        <f>SUM(K232:K237)</f>
        <v>9443</v>
      </c>
      <c r="L238" s="1692">
        <f>SUM(L232:L237)</f>
        <v>10025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f>90+732</f>
        <v>822</v>
      </c>
      <c r="E240" s="617"/>
      <c r="F240" s="617"/>
      <c r="G240" s="617"/>
      <c r="H240" s="617"/>
      <c r="I240" s="617"/>
      <c r="J240" s="617"/>
      <c r="K240" s="1694">
        <f>D240</f>
        <v>822</v>
      </c>
      <c r="L240" s="481">
        <v>300</v>
      </c>
    </row>
    <row r="241" spans="1:12" x14ac:dyDescent="0.2">
      <c r="A241" s="1526" t="s">
        <v>869</v>
      </c>
      <c r="B241" s="615">
        <v>2220</v>
      </c>
      <c r="C241" s="617"/>
      <c r="D241" s="466">
        <f>4781+3961</f>
        <v>8742</v>
      </c>
      <c r="E241" s="617"/>
      <c r="F241" s="617"/>
      <c r="G241" s="617"/>
      <c r="H241" s="617"/>
      <c r="I241" s="617"/>
      <c r="J241" s="617"/>
      <c r="K241" s="1694">
        <f>D241</f>
        <v>8742</v>
      </c>
      <c r="L241" s="466">
        <v>12750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9564</v>
      </c>
      <c r="E243" s="617"/>
      <c r="F243" s="617"/>
      <c r="G243" s="617"/>
      <c r="H243" s="617"/>
      <c r="I243" s="617"/>
      <c r="J243" s="617"/>
      <c r="K243" s="1692">
        <f>SUM(K240:K242)</f>
        <v>9564</v>
      </c>
      <c r="L243" s="1692">
        <f>SUM(L240:L242)</f>
        <v>13050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f>195+228</f>
        <v>423</v>
      </c>
      <c r="E245" s="617"/>
      <c r="F245" s="617"/>
      <c r="G245" s="617"/>
      <c r="H245" s="617"/>
      <c r="I245" s="617"/>
      <c r="J245" s="617"/>
      <c r="K245" s="1694">
        <f>D245</f>
        <v>423</v>
      </c>
      <c r="L245" s="481">
        <v>450</v>
      </c>
    </row>
    <row r="246" spans="1:12" x14ac:dyDescent="0.2">
      <c r="A246" s="1526" t="s">
        <v>872</v>
      </c>
      <c r="B246" s="615">
        <v>2320</v>
      </c>
      <c r="C246" s="617"/>
      <c r="D246" s="466">
        <f>3989+6247</f>
        <v>10236</v>
      </c>
      <c r="E246" s="617"/>
      <c r="F246" s="617"/>
      <c r="G246" s="617"/>
      <c r="H246" s="617"/>
      <c r="I246" s="617"/>
      <c r="J246" s="617"/>
      <c r="K246" s="1694">
        <f t="shared" ref="K246:K256" si="21">D246</f>
        <v>10236</v>
      </c>
      <c r="L246" s="466">
        <v>9175</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f>156+816</f>
        <v>972</v>
      </c>
      <c r="E254" s="617"/>
      <c r="F254" s="617"/>
      <c r="G254" s="617"/>
      <c r="H254" s="617"/>
      <c r="I254" s="617"/>
      <c r="J254" s="617"/>
      <c r="K254" s="1694">
        <f t="shared" si="21"/>
        <v>972</v>
      </c>
      <c r="L254" s="466">
        <v>1450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11631</v>
      </c>
      <c r="E257" s="617"/>
      <c r="F257" s="617"/>
      <c r="G257" s="617"/>
      <c r="H257" s="617"/>
      <c r="I257" s="617"/>
      <c r="J257" s="617"/>
      <c r="K257" s="1692">
        <f>SUM(K245:K256)</f>
        <v>11631</v>
      </c>
      <c r="L257" s="1692">
        <f>SUM(L245:L256)</f>
        <v>11075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23537+22162</f>
        <v>45699</v>
      </c>
      <c r="E259" s="617"/>
      <c r="F259" s="617"/>
      <c r="G259" s="617"/>
      <c r="H259" s="617"/>
      <c r="I259" s="617"/>
      <c r="J259" s="617"/>
      <c r="K259" s="1694">
        <f>D259</f>
        <v>45699</v>
      </c>
      <c r="L259" s="481">
        <v>43945</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45699</v>
      </c>
      <c r="E261" s="617"/>
      <c r="F261" s="617"/>
      <c r="G261" s="617"/>
      <c r="H261" s="617"/>
      <c r="I261" s="617"/>
      <c r="J261" s="617"/>
      <c r="K261" s="1692">
        <f>SUM(K259:K260)</f>
        <v>45699</v>
      </c>
      <c r="L261" s="1692">
        <f>SUM(L259:L260)</f>
        <v>43945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f>6244+4695</f>
        <v>10939</v>
      </c>
      <c r="E264" s="617"/>
      <c r="F264" s="617"/>
      <c r="G264" s="617"/>
      <c r="H264" s="617"/>
      <c r="I264" s="617"/>
      <c r="J264" s="617"/>
      <c r="K264" s="1694">
        <f t="shared" ref="K264:K269" si="22">D264</f>
        <v>10939</v>
      </c>
      <c r="L264" s="466">
        <v>10500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37666+30710</f>
        <v>68376</v>
      </c>
      <c r="E266" s="617"/>
      <c r="F266" s="617"/>
      <c r="G266" s="617"/>
      <c r="H266" s="617"/>
      <c r="I266" s="617"/>
      <c r="J266" s="617"/>
      <c r="K266" s="1694">
        <f t="shared" si="22"/>
        <v>68376</v>
      </c>
      <c r="L266" s="466">
        <v>70100</v>
      </c>
    </row>
    <row r="267" spans="1:14" x14ac:dyDescent="0.2">
      <c r="A267" s="1526" t="s">
        <v>1010</v>
      </c>
      <c r="B267" s="615">
        <v>2550</v>
      </c>
      <c r="C267" s="617"/>
      <c r="D267" s="466">
        <f>61396+53501</f>
        <v>114897</v>
      </c>
      <c r="E267" s="617"/>
      <c r="F267" s="617"/>
      <c r="G267" s="617"/>
      <c r="H267" s="617"/>
      <c r="I267" s="617"/>
      <c r="J267" s="617"/>
      <c r="K267" s="1694">
        <f t="shared" si="22"/>
        <v>114897</v>
      </c>
      <c r="L267" s="466">
        <v>115775</v>
      </c>
    </row>
    <row r="268" spans="1:14" x14ac:dyDescent="0.2">
      <c r="A268" s="1526" t="s">
        <v>102</v>
      </c>
      <c r="B268" s="615">
        <v>2560</v>
      </c>
      <c r="C268" s="617"/>
      <c r="D268" s="466">
        <v>40370</v>
      </c>
      <c r="E268" s="617"/>
      <c r="F268" s="617"/>
      <c r="G268" s="617"/>
      <c r="H268" s="617"/>
      <c r="I268" s="617"/>
      <c r="J268" s="617"/>
      <c r="K268" s="1694">
        <f t="shared" si="22"/>
        <v>40370</v>
      </c>
      <c r="L268" s="466">
        <v>42500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234582</v>
      </c>
      <c r="E270" s="617"/>
      <c r="F270" s="617"/>
      <c r="G270" s="617"/>
      <c r="H270" s="617"/>
      <c r="I270" s="617"/>
      <c r="J270" s="617"/>
      <c r="K270" s="1692">
        <f>SUM(K263:K269)</f>
        <v>234582</v>
      </c>
      <c r="L270" s="1692">
        <f>SUM(L263:L269)</f>
        <v>238875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v>78</v>
      </c>
      <c r="E275" s="617"/>
      <c r="F275" s="617"/>
      <c r="G275" s="617"/>
      <c r="H275" s="617"/>
      <c r="I275" s="617"/>
      <c r="J275" s="617"/>
      <c r="K275" s="1694">
        <f>D275</f>
        <v>78</v>
      </c>
      <c r="L275" s="466">
        <v>157</v>
      </c>
    </row>
    <row r="276" spans="1:12" x14ac:dyDescent="0.2">
      <c r="A276" s="1526" t="s">
        <v>424</v>
      </c>
      <c r="B276" s="615">
        <v>2660</v>
      </c>
      <c r="C276" s="617"/>
      <c r="D276" s="466">
        <v>10777</v>
      </c>
      <c r="E276" s="617"/>
      <c r="F276" s="617"/>
      <c r="G276" s="617"/>
      <c r="H276" s="617"/>
      <c r="I276" s="617"/>
      <c r="J276" s="617"/>
      <c r="K276" s="1694">
        <f>D276</f>
        <v>10777</v>
      </c>
      <c r="L276" s="466">
        <v>9000</v>
      </c>
    </row>
    <row r="277" spans="1:12" ht="12.75" customHeight="1" thickBot="1" x14ac:dyDescent="0.25">
      <c r="A277" s="1713" t="s">
        <v>37</v>
      </c>
      <c r="B277" s="1691" t="s">
        <v>36</v>
      </c>
      <c r="C277" s="617"/>
      <c r="D277" s="1692">
        <f>SUM(D272:D276)</f>
        <v>10855</v>
      </c>
      <c r="E277" s="617"/>
      <c r="F277" s="617"/>
      <c r="G277" s="617"/>
      <c r="H277" s="617"/>
      <c r="I277" s="617"/>
      <c r="J277" s="617"/>
      <c r="K277" s="1692">
        <f>SUM(K272:K276)</f>
        <v>10855</v>
      </c>
      <c r="L277" s="1692">
        <f>SUM(L272:L276)</f>
        <v>9157</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321774</v>
      </c>
      <c r="E279" s="617"/>
      <c r="F279" s="617"/>
      <c r="G279" s="617"/>
      <c r="H279" s="617"/>
      <c r="I279" s="617"/>
      <c r="J279" s="617"/>
      <c r="K279" s="1699">
        <f>SUM(K238,K243,K257,K261,K270,K277,K278)</f>
        <v>321774</v>
      </c>
      <c r="L279" s="1699">
        <f>SUM(L238,L243,L257,L261,L270,L277,L278)</f>
        <v>326127</v>
      </c>
    </row>
    <row r="280" spans="1:12" ht="15.75" customHeight="1" thickTop="1" thickBot="1" x14ac:dyDescent="0.25">
      <c r="A280" s="1646" t="s">
        <v>930</v>
      </c>
      <c r="B280" s="1635">
        <v>3000</v>
      </c>
      <c r="C280" s="617"/>
      <c r="D280" s="576">
        <v>4542</v>
      </c>
      <c r="E280" s="617"/>
      <c r="F280" s="617"/>
      <c r="G280" s="617"/>
      <c r="H280" s="617"/>
      <c r="I280" s="617"/>
      <c r="J280" s="617"/>
      <c r="K280" s="1701">
        <f>D280</f>
        <v>4542</v>
      </c>
      <c r="L280" s="576">
        <v>4586</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505052</v>
      </c>
      <c r="E295" s="617"/>
      <c r="F295" s="617"/>
      <c r="G295" s="617"/>
      <c r="H295" s="1692">
        <f>H293</f>
        <v>0</v>
      </c>
      <c r="I295" s="617"/>
      <c r="J295" s="617"/>
      <c r="K295" s="1692">
        <f>SUM(K229,K279,K280,K285,K293,K294)</f>
        <v>505052</v>
      </c>
      <c r="L295" s="1692">
        <f>SUM(L229,L279,L280,L285,L293,L294)</f>
        <v>508043</v>
      </c>
    </row>
    <row r="296" spans="1:14" ht="13.5" thickTop="1" x14ac:dyDescent="0.2">
      <c r="A296" s="2174" t="s">
        <v>1053</v>
      </c>
      <c r="B296" s="2175"/>
      <c r="C296" s="617"/>
      <c r="D296" s="619"/>
      <c r="E296" s="617"/>
      <c r="F296" s="617"/>
      <c r="G296" s="617"/>
      <c r="H296" s="688"/>
      <c r="I296" s="617"/>
      <c r="J296" s="617"/>
      <c r="K296" s="1706">
        <f>'Revenues 9-14'!G275-'Expenditures 15-22'!K295</f>
        <v>-88152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714012</v>
      </c>
      <c r="H301" s="466"/>
      <c r="I301" s="467"/>
      <c r="J301" s="467"/>
      <c r="K301" s="1693">
        <f>SUM(C301:J301)</f>
        <v>714012</v>
      </c>
      <c r="L301" s="467">
        <v>725000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714012</v>
      </c>
      <c r="H303" s="1699">
        <f t="shared" si="23"/>
        <v>0</v>
      </c>
      <c r="I303" s="1699">
        <f t="shared" si="23"/>
        <v>0</v>
      </c>
      <c r="J303" s="1699">
        <f t="shared" si="23"/>
        <v>0</v>
      </c>
      <c r="K303" s="1699">
        <f t="shared" si="23"/>
        <v>714012</v>
      </c>
      <c r="L303" s="1699">
        <f t="shared" si="23"/>
        <v>725000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714012</v>
      </c>
      <c r="H312" s="1692">
        <f>SUM(H303,H310)</f>
        <v>0</v>
      </c>
      <c r="I312" s="1692">
        <f>SUM(I303)</f>
        <v>0</v>
      </c>
      <c r="J312" s="1692">
        <f>SUM(J303)</f>
        <v>0</v>
      </c>
      <c r="K312" s="1692">
        <f>SUM(K303,K310,K311)</f>
        <v>714012</v>
      </c>
      <c r="L312" s="1692">
        <f>SUM(L303,L310,L311)</f>
        <v>725000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-710200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70345</v>
      </c>
      <c r="F320" s="467"/>
      <c r="G320" s="467"/>
      <c r="H320" s="467"/>
      <c r="I320" s="467"/>
      <c r="J320" s="467"/>
      <c r="K320" s="1693">
        <f t="shared" ref="K320:K327" si="24">SUM(C320:J320)</f>
        <v>70345</v>
      </c>
      <c r="L320" s="467">
        <v>70000</v>
      </c>
      <c r="M320" s="666"/>
      <c r="N320" s="666"/>
    </row>
    <row r="321" spans="1:14" s="675" customFormat="1" x14ac:dyDescent="0.2">
      <c r="A321" s="1541" t="s">
        <v>318</v>
      </c>
      <c r="B321" s="698" t="s">
        <v>301</v>
      </c>
      <c r="C321" s="467"/>
      <c r="D321" s="467"/>
      <c r="E321" s="467">
        <v>6817</v>
      </c>
      <c r="F321" s="467"/>
      <c r="G321" s="467"/>
      <c r="H321" s="467"/>
      <c r="I321" s="467"/>
      <c r="J321" s="467"/>
      <c r="K321" s="1693">
        <f t="shared" si="24"/>
        <v>6817</v>
      </c>
      <c r="L321" s="467">
        <v>5000</v>
      </c>
      <c r="M321" s="666"/>
      <c r="N321" s="666"/>
    </row>
    <row r="322" spans="1:14" s="675" customFormat="1" x14ac:dyDescent="0.2">
      <c r="A322" s="1541" t="s">
        <v>256</v>
      </c>
      <c r="B322" s="698" t="s">
        <v>302</v>
      </c>
      <c r="C322" s="467"/>
      <c r="D322" s="467"/>
      <c r="E322" s="467">
        <v>114102</v>
      </c>
      <c r="F322" s="467"/>
      <c r="G322" s="467"/>
      <c r="H322" s="467"/>
      <c r="I322" s="467"/>
      <c r="J322" s="467"/>
      <c r="K322" s="1693">
        <f t="shared" si="24"/>
        <v>114102</v>
      </c>
      <c r="L322" s="467">
        <v>103500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901874</v>
      </c>
      <c r="D325" s="467">
        <v>66410</v>
      </c>
      <c r="E325" s="467">
        <v>71487</v>
      </c>
      <c r="F325" s="467">
        <v>914</v>
      </c>
      <c r="G325" s="467">
        <v>40357</v>
      </c>
      <c r="H325" s="467"/>
      <c r="I325" s="467"/>
      <c r="J325" s="467"/>
      <c r="K325" s="1693">
        <f t="shared" si="24"/>
        <v>1081042</v>
      </c>
      <c r="L325" s="467">
        <v>1076110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27840</v>
      </c>
      <c r="F327" s="467"/>
      <c r="G327" s="467"/>
      <c r="H327" s="467"/>
      <c r="I327" s="467"/>
      <c r="J327" s="467"/>
      <c r="K327" s="1693">
        <f t="shared" si="24"/>
        <v>27840</v>
      </c>
      <c r="L327" s="467">
        <v>20000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901874</v>
      </c>
      <c r="D330" s="1692">
        <f t="shared" ref="D330:J330" si="25">SUM(D319:D329)</f>
        <v>66410</v>
      </c>
      <c r="E330" s="1692">
        <f t="shared" si="25"/>
        <v>290591</v>
      </c>
      <c r="F330" s="1692">
        <f t="shared" si="25"/>
        <v>914</v>
      </c>
      <c r="G330" s="1692">
        <f t="shared" si="25"/>
        <v>40357</v>
      </c>
      <c r="H330" s="1692">
        <f t="shared" si="25"/>
        <v>0</v>
      </c>
      <c r="I330" s="1692">
        <f t="shared" si="25"/>
        <v>0</v>
      </c>
      <c r="J330" s="1692">
        <f t="shared" si="25"/>
        <v>0</v>
      </c>
      <c r="K330" s="1692">
        <f>SUM(K319:K329)</f>
        <v>1300146</v>
      </c>
      <c r="L330" s="1692">
        <f>SUM(L319:L329)</f>
        <v>1274610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901874</v>
      </c>
      <c r="D342" s="1692">
        <f>SUM(D330)</f>
        <v>66410</v>
      </c>
      <c r="E342" s="1692">
        <f>SUM(E330)</f>
        <v>290591</v>
      </c>
      <c r="F342" s="1692">
        <f>SUM(F330)</f>
        <v>914</v>
      </c>
      <c r="G342" s="1692">
        <f>SUM(G330)</f>
        <v>40357</v>
      </c>
      <c r="H342" s="1692">
        <f>SUM(H330,H334,H340)</f>
        <v>0</v>
      </c>
      <c r="I342" s="1692">
        <f>SUM(I330)</f>
        <v>0</v>
      </c>
      <c r="J342" s="1692">
        <f>SUM(J330)</f>
        <v>0</v>
      </c>
      <c r="K342" s="1692">
        <f>SUM(K330,K334,K340)</f>
        <v>1300146</v>
      </c>
      <c r="L342" s="1699">
        <f>SUM(L330,L340,L341)</f>
        <v>1274610</v>
      </c>
    </row>
    <row r="343" spans="1:14" ht="12.75" customHeight="1" thickTop="1" x14ac:dyDescent="0.2">
      <c r="A343" s="2187" t="s">
        <v>1053</v>
      </c>
      <c r="B343" s="2188"/>
      <c r="C343" s="617"/>
      <c r="D343" s="617"/>
      <c r="E343" s="617"/>
      <c r="F343" s="617"/>
      <c r="G343" s="617"/>
      <c r="H343" s="617"/>
      <c r="I343" s="617"/>
      <c r="J343" s="617"/>
      <c r="K343" s="1706">
        <f>'Revenues 9-14'!J275-'Expenditures 15-22'!K342</f>
        <v>-199819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v>16536</v>
      </c>
      <c r="I348" s="467"/>
      <c r="J348" s="467"/>
      <c r="K348" s="1693">
        <f>SUM(C348:J348)</f>
        <v>16536</v>
      </c>
      <c r="L348" s="466">
        <v>16536</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16536</v>
      </c>
      <c r="I350" s="1692">
        <f t="shared" si="26"/>
        <v>0</v>
      </c>
      <c r="J350" s="1692">
        <f t="shared" si="26"/>
        <v>0</v>
      </c>
      <c r="K350" s="1692">
        <f t="shared" si="26"/>
        <v>16536</v>
      </c>
      <c r="L350" s="1692">
        <f t="shared" si="26"/>
        <v>16536</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16536</v>
      </c>
      <c r="I352" s="1692">
        <f t="shared" si="27"/>
        <v>0</v>
      </c>
      <c r="J352" s="1692">
        <f t="shared" si="27"/>
        <v>0</v>
      </c>
      <c r="K352" s="1692">
        <f t="shared" si="27"/>
        <v>16536</v>
      </c>
      <c r="L352" s="1692">
        <f t="shared" si="27"/>
        <v>16536</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16536</v>
      </c>
      <c r="I367" s="1692">
        <f t="shared" si="28"/>
        <v>0</v>
      </c>
      <c r="J367" s="1692">
        <f t="shared" si="28"/>
        <v>0</v>
      </c>
      <c r="K367" s="1692">
        <f t="shared" si="28"/>
        <v>16536</v>
      </c>
      <c r="L367" s="1692">
        <f t="shared" si="28"/>
        <v>16536</v>
      </c>
    </row>
    <row r="368" spans="1:14" ht="13.5" thickTop="1" x14ac:dyDescent="0.2">
      <c r="A368" s="2174" t="s">
        <v>1053</v>
      </c>
      <c r="B368" s="2175"/>
      <c r="C368" s="655"/>
      <c r="D368" s="655"/>
      <c r="E368" s="627"/>
      <c r="F368" s="627"/>
      <c r="G368" s="627"/>
      <c r="H368" s="627"/>
      <c r="I368" s="627"/>
      <c r="J368" s="624"/>
      <c r="K368" s="1693">
        <f>'Revenues 9-14'!K275-'Expenditures 15-22'!K367</f>
        <v>9359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the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2018-09-05T21:51:59Z</cp:lastPrinted>
  <dcterms:created xsi:type="dcterms:W3CDTF">2003-10-29T19:06:34Z</dcterms:created>
  <dcterms:modified xsi:type="dcterms:W3CDTF">2018-10-02T14:34:14Z</dcterms:modified>
</cp:coreProperties>
</file>