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16500" windowHeight="11010" tabRatio="922" firstSheet="14" activeTab="26"/>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7" l="1"/>
  <c r="E14" i="7"/>
  <c r="E13" i="7"/>
  <c r="E12" i="7"/>
  <c r="E11" i="7"/>
  <c r="E10" i="7"/>
  <c r="E8" i="7"/>
  <c r="E7" i="7"/>
  <c r="E6" i="7"/>
  <c r="E5" i="7"/>
  <c r="E4" i="7"/>
  <c r="D13" i="11" l="1"/>
  <c r="D10" i="11"/>
  <c r="D8" i="11"/>
  <c r="D267" i="29"/>
  <c r="D278" i="29"/>
  <c r="D268" i="29"/>
  <c r="D266" i="29"/>
  <c r="D264" i="29"/>
  <c r="D259" i="29"/>
  <c r="D245" i="29"/>
  <c r="D234" i="29"/>
  <c r="D223" i="29"/>
  <c r="D215" i="29"/>
  <c r="C39" i="3"/>
  <c r="H14" i="29"/>
  <c r="F14" i="29"/>
  <c r="E14" i="29"/>
  <c r="N21" i="3"/>
  <c r="J31" i="8" l="1"/>
  <c r="M19" i="3"/>
  <c r="L33" i="3"/>
  <c r="L39" i="3"/>
  <c r="G39" i="3"/>
  <c r="C4"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E24" i="181"/>
  <c r="F24" i="181" s="1"/>
  <c r="G24" i="181" s="1"/>
  <c r="F23" i="181"/>
  <c r="G23" i="181" s="1"/>
  <c r="E23" i="181"/>
  <c r="F22" i="181"/>
  <c r="G22" i="181" s="1"/>
  <c r="E22" i="181"/>
  <c r="E21" i="181"/>
  <c r="F21" i="181" s="1"/>
  <c r="G21" i="181" s="1"/>
  <c r="E20" i="181"/>
  <c r="F20" i="181" s="1"/>
  <c r="G20" i="181" s="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B5246" i="106" s="1"/>
  <c r="D5246" i="106" s="1"/>
  <c r="C211" i="5"/>
  <c r="C216" i="5"/>
  <c r="C224" i="5"/>
  <c r="C228" i="5"/>
  <c r="C259" i="5"/>
  <c r="B7761" i="106"/>
  <c r="L127" i="29"/>
  <c r="L129" i="29" s="1"/>
  <c r="L139" i="29"/>
  <c r="L149" i="29"/>
  <c r="I7" i="145"/>
  <c r="I6" i="145"/>
  <c r="D78" i="36"/>
  <c r="K75" i="29"/>
  <c r="K130" i="29"/>
  <c r="K185" i="29"/>
  <c r="B2836" i="106" s="1"/>
  <c r="D2836" i="106" s="1"/>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K83" i="29"/>
  <c r="B2978" i="106" s="1"/>
  <c r="D2978" i="106" s="1"/>
  <c r="K93" i="29"/>
  <c r="K94" i="29"/>
  <c r="K95" i="29"/>
  <c r="B7001" i="106" s="1"/>
  <c r="D7001" i="106" s="1"/>
  <c r="K96" i="29"/>
  <c r="B7003" i="106" s="1"/>
  <c r="D7003" i="106" s="1"/>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3" i="106"/>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F69" i="34"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B7084" i="106" s="1"/>
  <c r="D7084" i="106" s="1"/>
  <c r="K250" i="29"/>
  <c r="K251" i="29"/>
  <c r="K252" i="29"/>
  <c r="B7090" i="106" s="1"/>
  <c r="D7090" i="106" s="1"/>
  <c r="K253" i="29"/>
  <c r="B7092" i="106" s="1"/>
  <c r="D7092" i="106" s="1"/>
  <c r="K254" i="29"/>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2" i="106"/>
  <c r="D7002" i="106" s="1"/>
  <c r="B7004" i="106"/>
  <c r="D7004" i="106" s="1"/>
  <c r="B7005" i="106"/>
  <c r="D7005" i="106" s="1"/>
  <c r="B7006" i="106"/>
  <c r="D7006" i="106" s="1"/>
  <c r="B7007" i="106"/>
  <c r="D7007" i="106" s="1"/>
  <c r="B7008" i="106"/>
  <c r="D7008" i="106" s="1"/>
  <c r="B7009" i="106"/>
  <c r="D7009"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J210" i="29"/>
  <c r="B7072" i="106" s="1"/>
  <c r="D7072" i="106" s="1"/>
  <c r="B7073" i="106"/>
  <c r="D7073" i="106" s="1"/>
  <c r="B7075" i="106"/>
  <c r="D7075" i="106" s="1"/>
  <c r="B7076" i="106"/>
  <c r="D7076" i="106" s="1"/>
  <c r="B7077" i="106"/>
  <c r="D7077" i="106" s="1"/>
  <c r="B7079" i="106"/>
  <c r="D7079" i="106" s="1"/>
  <c r="B7080" i="106"/>
  <c r="D7080" i="106" s="1"/>
  <c r="B7081" i="106"/>
  <c r="D7081" i="106" s="1"/>
  <c r="B7082" i="106"/>
  <c r="D7082" i="106" s="1"/>
  <c r="B7083" i="106"/>
  <c r="D7083" i="106" s="1"/>
  <c r="B7085" i="106"/>
  <c r="D7085" i="106" s="1"/>
  <c r="B7086" i="106"/>
  <c r="D7086" i="106" s="1"/>
  <c r="B7087" i="106"/>
  <c r="D7087" i="106" s="1"/>
  <c r="B7088" i="106"/>
  <c r="D7088" i="106" s="1"/>
  <c r="B7089" i="106"/>
  <c r="D7089" i="106" s="1"/>
  <c r="B7091" i="106"/>
  <c r="D7091" i="106" s="1"/>
  <c r="B7093" i="106"/>
  <c r="D7093" i="106" s="1"/>
  <c r="B7094" i="106"/>
  <c r="D7094"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71" i="36"/>
  <c r="D72" i="36"/>
  <c r="D79" i="36"/>
  <c r="B64" i="127"/>
  <c r="B65" i="127"/>
  <c r="D26" i="108"/>
  <c r="E26" i="108"/>
  <c r="F26" i="108"/>
  <c r="G26" i="108"/>
  <c r="D27" i="108"/>
  <c r="E27" i="108"/>
  <c r="F27" i="108"/>
  <c r="G27" i="108"/>
  <c r="E28" i="108"/>
  <c r="F31" i="108"/>
  <c r="F36" i="108"/>
  <c r="F37" i="108"/>
  <c r="G28" i="108"/>
  <c r="E29" i="108"/>
  <c r="G29" i="108"/>
  <c r="E30" i="108"/>
  <c r="G30" i="108"/>
  <c r="D31" i="108"/>
  <c r="D36" i="108"/>
  <c r="D37" i="108"/>
  <c r="E31" i="108"/>
  <c r="G31" i="108"/>
  <c r="E33" i="108"/>
  <c r="G33" i="108"/>
  <c r="E35"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F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F62" i="34"/>
  <c r="C63" i="34"/>
  <c r="D63" i="34"/>
  <c r="C64" i="34"/>
  <c r="F64" i="34"/>
  <c r="C67" i="34"/>
  <c r="D67" i="34"/>
  <c r="C68" i="34"/>
  <c r="D68" i="34"/>
  <c r="C69" i="34"/>
  <c r="D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C184" i="5"/>
  <c r="B5232" i="106" s="1"/>
  <c r="D5232" i="106" s="1"/>
  <c r="D184" i="5"/>
  <c r="B5425" i="106"/>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D5" i="4"/>
  <c r="B3406" i="106" s="1"/>
  <c r="D3406"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H33" i="118"/>
  <c r="D11" i="37"/>
  <c r="J22" i="37"/>
  <c r="L22" i="37"/>
  <c r="D4" i="7"/>
  <c r="B1760" i="106" s="1"/>
  <c r="D1760" i="106" s="1"/>
  <c r="D5" i="7"/>
  <c r="B1761" i="106" s="1"/>
  <c r="D1761" i="106" s="1"/>
  <c r="B5752" i="106"/>
  <c r="D5752" i="106" s="1"/>
  <c r="D7" i="7"/>
  <c r="B1763" i="106" s="1"/>
  <c r="D1763" i="106" s="1"/>
  <c r="G172" i="5" l="1"/>
  <c r="G173" i="5" s="1"/>
  <c r="B5778" i="106" s="1"/>
  <c r="D5778" i="106" s="1"/>
  <c r="B1124" i="106"/>
  <c r="D1124" i="106" s="1"/>
  <c r="G15" i="145"/>
  <c r="B4373" i="106"/>
  <c r="D4373" i="106" s="1"/>
  <c r="K173" i="5"/>
  <c r="K6" i="4" s="1"/>
  <c r="B3570" i="106" s="1"/>
  <c r="D3570" i="106" s="1"/>
  <c r="D7245" i="106"/>
  <c r="B1274" i="106"/>
  <c r="D1274" i="106" s="1"/>
  <c r="B6995" i="106"/>
  <c r="D6995" i="106" s="1"/>
  <c r="K76" i="4"/>
  <c r="B3586" i="106" s="1"/>
  <c r="D3586" i="106" s="1"/>
  <c r="J274" i="5"/>
  <c r="B7054" i="106" s="1"/>
  <c r="D7054" i="106" s="1"/>
  <c r="F67" i="34"/>
  <c r="I342" i="29"/>
  <c r="B7222" i="106" s="1"/>
  <c r="D7222" i="106" s="1"/>
  <c r="B7078" i="106"/>
  <c r="D7078" i="106" s="1"/>
  <c r="F136" i="34"/>
  <c r="D22" i="37"/>
  <c r="H173" i="5"/>
  <c r="D9" i="7"/>
  <c r="B1767" i="106" s="1"/>
  <c r="D1767" i="106" s="1"/>
  <c r="D24" i="37"/>
  <c r="B4270" i="106" s="1"/>
  <c r="D4270" i="106" s="1"/>
  <c r="G5" i="4"/>
  <c r="B3409" i="106" s="1"/>
  <c r="D3409" i="106" s="1"/>
  <c r="F19" i="7"/>
  <c r="B1807" i="106" s="1"/>
  <c r="D1807" i="106" s="1"/>
  <c r="G38" i="108"/>
  <c r="G34" i="108"/>
  <c r="D69" i="36"/>
  <c r="B7047" i="106"/>
  <c r="D7047" i="106" s="1"/>
  <c r="B1126" i="106"/>
  <c r="D1126" i="106" s="1"/>
  <c r="D17" i="7"/>
  <c r="B4104" i="106" s="1"/>
  <c r="D4104" i="106" s="1"/>
  <c r="D13" i="7"/>
  <c r="B3726" i="106" s="1"/>
  <c r="D3726" i="106" s="1"/>
  <c r="K274" i="5"/>
  <c r="K7" i="4" s="1"/>
  <c r="B3718" i="106" s="1"/>
  <c r="D3718" i="106" s="1"/>
  <c r="F34" i="34"/>
  <c r="E38" i="108"/>
  <c r="F28" i="108"/>
  <c r="D68" i="36"/>
  <c r="L15" i="11"/>
  <c r="B3459" i="106" s="1"/>
  <c r="D3459" i="106" s="1"/>
  <c r="K184" i="29"/>
  <c r="F13" i="4" s="1"/>
  <c r="B2596" i="106" s="1"/>
  <c r="D2596" i="106" s="1"/>
  <c r="L13" i="11"/>
  <c r="B2060" i="106" s="1"/>
  <c r="D2060" i="106" s="1"/>
  <c r="D12" i="7"/>
  <c r="B1769" i="106" s="1"/>
  <c r="D1769" i="106" s="1"/>
  <c r="C109" i="5"/>
  <c r="B5121" i="106" s="1"/>
  <c r="D5121" i="106" s="1"/>
  <c r="B5096" i="106"/>
  <c r="D5096" i="106" s="1"/>
  <c r="B5066" i="106"/>
  <c r="D5066" i="106" s="1"/>
  <c r="K24" i="12"/>
  <c r="L5" i="11"/>
  <c r="B2056" i="106" s="1"/>
  <c r="D2056" i="106" s="1"/>
  <c r="F172" i="5"/>
  <c r="B5644" i="106" s="1"/>
  <c r="D5644" i="106" s="1"/>
  <c r="F35" i="34"/>
  <c r="B7235" i="106"/>
  <c r="D7235" i="106" s="1"/>
  <c r="C342" i="29"/>
  <c r="B7216" i="106" s="1"/>
  <c r="D7216" i="106" s="1"/>
  <c r="F77" i="4"/>
  <c r="B3255" i="106" s="1"/>
  <c r="D3255" i="106" s="1"/>
  <c r="E174" i="29"/>
  <c r="B1309" i="106" s="1"/>
  <c r="D1309" i="106" s="1"/>
  <c r="F106" i="34"/>
  <c r="F49" i="34"/>
  <c r="F41" i="34"/>
  <c r="H109" i="5"/>
  <c r="H4" i="4" s="1"/>
  <c r="C172" i="5"/>
  <c r="B5214" i="106" s="1"/>
  <c r="D5214" i="106" s="1"/>
  <c r="F127" i="34"/>
  <c r="F128" i="34"/>
  <c r="B4951" i="106"/>
  <c r="D4951" i="106" s="1"/>
  <c r="L367" i="29"/>
  <c r="K350" i="29"/>
  <c r="L342" i="29"/>
  <c r="B6025" i="106"/>
  <c r="D6025" i="106" s="1"/>
  <c r="B5770" i="106"/>
  <c r="D5770" i="106" s="1"/>
  <c r="B3565" i="106"/>
  <c r="D3565" i="106" s="1"/>
  <c r="K41" i="3"/>
  <c r="B6191" i="106"/>
  <c r="D6191" i="106" s="1"/>
  <c r="J41" i="3"/>
  <c r="B6216" i="106" s="1"/>
  <c r="D6216" i="106" s="1"/>
  <c r="D15" i="7"/>
  <c r="B1772" i="106" s="1"/>
  <c r="D1772" i="106" s="1"/>
  <c r="B1746" i="106"/>
  <c r="D1746" i="106" s="1"/>
  <c r="D109" i="5"/>
  <c r="F130" i="34"/>
  <c r="K28" i="118"/>
  <c r="O27" i="118" s="1"/>
  <c r="O29" i="118" s="1"/>
  <c r="G109" i="5"/>
  <c r="H342" i="29"/>
  <c r="B7071" i="106"/>
  <c r="D7071" i="106" s="1"/>
  <c r="F66" i="34"/>
  <c r="I173" i="5"/>
  <c r="B4216" i="106" s="1"/>
  <c r="D4216" i="106" s="1"/>
  <c r="D11" i="7"/>
  <c r="B1768" i="106" s="1"/>
  <c r="D1768" i="106" s="1"/>
  <c r="F111" i="34"/>
  <c r="F131" i="34"/>
  <c r="B7041" i="106"/>
  <c r="D7041" i="106" s="1"/>
  <c r="E109" i="5"/>
  <c r="E4" i="4" s="1"/>
  <c r="B2630" i="106" s="1"/>
  <c r="D2630" i="106" s="1"/>
  <c r="L312" i="29"/>
  <c r="F45" i="34"/>
  <c r="F36" i="34"/>
  <c r="B3658" i="106"/>
  <c r="D3658" i="106" s="1"/>
  <c r="H365" i="29"/>
  <c r="B3649" i="106"/>
  <c r="D3649" i="106" s="1"/>
  <c r="G367" i="29"/>
  <c r="B3619" i="106"/>
  <c r="D3619" i="106" s="1"/>
  <c r="C352" i="29"/>
  <c r="F21" i="8"/>
  <c r="B3689" i="106"/>
  <c r="D3689" i="106" s="1"/>
  <c r="J77" i="4"/>
  <c r="B6262" i="106" s="1"/>
  <c r="D6262" i="106" s="1"/>
  <c r="B3670" i="106"/>
  <c r="D3670" i="106" s="1"/>
  <c r="K352" i="29"/>
  <c r="K13" i="4" s="1"/>
  <c r="B3572" i="106" s="1"/>
  <c r="D3572" i="106" s="1"/>
  <c r="B3170" i="106"/>
  <c r="D3170" i="106" s="1"/>
  <c r="H76" i="4"/>
  <c r="B3298" i="106" s="1"/>
  <c r="D3298" i="106" s="1"/>
  <c r="B1995" i="106"/>
  <c r="D1995" i="106" s="1"/>
  <c r="I24" i="12"/>
  <c r="B3647" i="106"/>
  <c r="D3647" i="106" s="1"/>
  <c r="G210" i="29"/>
  <c r="D6103" i="106"/>
  <c r="K285" i="29"/>
  <c r="B3724" i="106" s="1"/>
  <c r="D3724" i="106" s="1"/>
  <c r="B1410" i="106"/>
  <c r="D1410" i="106" s="1"/>
  <c r="B1329" i="106"/>
  <c r="D1329" i="106" s="1"/>
  <c r="F61" i="34"/>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79" i="36"/>
  <c r="B77" i="36"/>
  <c r="D18" i="7"/>
  <c r="B4105" i="106" s="1"/>
  <c r="D4105" i="106" s="1"/>
  <c r="F105" i="34"/>
  <c r="F107" i="34"/>
  <c r="F109" i="5"/>
  <c r="J109" i="5"/>
  <c r="J173" i="5"/>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73"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72" i="106"/>
  <c r="D3672" i="106" s="1"/>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K367" i="29" s="1"/>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D274" i="5"/>
  <c r="B3447" i="106"/>
  <c r="D3447" i="106" s="1"/>
  <c r="B7270" i="106"/>
  <c r="D7254" i="106" l="1"/>
  <c r="D7250" i="106"/>
  <c r="D51" i="36"/>
  <c r="I6" i="4"/>
  <c r="B5011" i="106" s="1"/>
  <c r="D5011" i="106" s="1"/>
  <c r="D19" i="7"/>
  <c r="B1775" i="106" s="1"/>
  <c r="D1775" i="106" s="1"/>
  <c r="B1328" i="106"/>
  <c r="D1328" i="106" s="1"/>
  <c r="D7256" i="106"/>
  <c r="D7251" i="106"/>
  <c r="B6022" i="106"/>
  <c r="D6022" i="106" s="1"/>
  <c r="B5906" i="106"/>
  <c r="D5906" i="106" s="1"/>
  <c r="H6" i="4"/>
  <c r="B2656" i="106" s="1"/>
  <c r="D2656" i="106" s="1"/>
  <c r="D7252" i="106"/>
  <c r="L114" i="29"/>
  <c r="L16" i="11"/>
  <c r="B2061" i="106" s="1"/>
  <c r="D2061" i="106" s="1"/>
  <c r="K342" i="29"/>
  <c r="F13" i="34" s="1"/>
  <c r="F274" i="5"/>
  <c r="F7" i="4" s="1"/>
  <c r="B2594" i="106" s="1"/>
  <c r="D2594" i="106" s="1"/>
  <c r="F173" i="5"/>
  <c r="B1317" i="106"/>
  <c r="D1317" i="106" s="1"/>
  <c r="B5527" i="106"/>
  <c r="D5527" i="106" s="1"/>
  <c r="D44" i="36"/>
  <c r="C114" i="29"/>
  <c r="B757" i="106" s="1"/>
  <c r="D757" i="106" s="1"/>
  <c r="C4" i="4"/>
  <c r="B2551" i="106" s="1"/>
  <c r="D2551" i="106" s="1"/>
  <c r="B2655" i="106"/>
  <c r="D2655" i="106" s="1"/>
  <c r="H8" i="4"/>
  <c r="B2658" i="106" s="1"/>
  <c r="D2658" i="106" s="1"/>
  <c r="C173" i="5"/>
  <c r="B7733" i="106"/>
  <c r="D7733" i="106" s="1"/>
  <c r="K26" i="12"/>
  <c r="B7743" i="106" s="1"/>
  <c r="D7743" i="106" s="1"/>
  <c r="B3621" i="106"/>
  <c r="D3621" i="106" s="1"/>
  <c r="C367" i="29"/>
  <c r="B3622" i="106" s="1"/>
  <c r="D3622" i="106" s="1"/>
  <c r="H367" i="29"/>
  <c r="B3660" i="106" s="1"/>
  <c r="D3660" i="106" s="1"/>
  <c r="B7242" i="106"/>
  <c r="D7242" i="106" s="1"/>
  <c r="B1365" i="106"/>
  <c r="D1365" i="106" s="1"/>
  <c r="F65" i="34"/>
  <c r="B5356" i="106"/>
  <c r="D5356" i="106" s="1"/>
  <c r="D4" i="4"/>
  <c r="B2564" i="106" s="1"/>
  <c r="D2564" i="106" s="1"/>
  <c r="B6024" i="106"/>
  <c r="D6024" i="106" s="1"/>
  <c r="G4" i="4"/>
  <c r="B2603" i="106" s="1"/>
  <c r="D2603" i="106" s="1"/>
  <c r="B3568" i="106"/>
  <c r="D3568" i="106" s="1"/>
  <c r="D52" i="36"/>
  <c r="F73" i="34"/>
  <c r="G15" i="4"/>
  <c r="B6032" i="106" s="1"/>
  <c r="D6032" i="106" s="1"/>
  <c r="B1996" i="106"/>
  <c r="D1996" i="106" s="1"/>
  <c r="I26" i="12"/>
  <c r="B7741" i="106" s="1"/>
  <c r="D7741" i="106" s="1"/>
  <c r="B1879" i="106"/>
  <c r="D1879" i="106" s="1"/>
  <c r="H22" i="37"/>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G22" i="108"/>
  <c r="B1119" i="106"/>
  <c r="D1119" i="106" s="1"/>
  <c r="E22" i="108"/>
  <c r="G12" i="145"/>
  <c r="G19" i="145" s="1"/>
  <c r="J20" i="145" s="1"/>
  <c r="E19" i="145"/>
  <c r="B5915" i="106"/>
  <c r="D5915" i="106" s="1"/>
  <c r="B6222" i="106"/>
  <c r="D6222" i="106" s="1"/>
  <c r="D7" i="4"/>
  <c r="D275" i="5"/>
  <c r="B5507" i="106"/>
  <c r="D5507" i="106" s="1"/>
  <c r="B7298" i="106"/>
  <c r="B7299" i="106"/>
  <c r="H10" i="4" l="1"/>
  <c r="B4127" i="106" s="1"/>
  <c r="D4127" i="106" s="1"/>
  <c r="F275" i="5"/>
  <c r="B5720" i="106" s="1"/>
  <c r="D5720" i="106" s="1"/>
  <c r="B7224" i="106"/>
  <c r="D7224" i="106" s="1"/>
  <c r="J17" i="4"/>
  <c r="J19" i="4" s="1"/>
  <c r="B6229" i="106" s="1"/>
  <c r="D6229" i="106" s="1"/>
  <c r="B5653" i="106"/>
  <c r="D5653" i="106" s="1"/>
  <c r="F6" i="4"/>
  <c r="B2593" i="106" s="1"/>
  <c r="D2593" i="106" s="1"/>
  <c r="G41" i="108"/>
  <c r="G44" i="108" s="1"/>
  <c r="G45" i="108" s="1"/>
  <c r="B5223" i="106"/>
  <c r="D5223" i="106" s="1"/>
  <c r="C6" i="4"/>
  <c r="B2553" i="106" s="1"/>
  <c r="D2553" i="106" s="1"/>
  <c r="J8" i="4"/>
  <c r="J10" i="4" s="1"/>
  <c r="B6225" i="106" s="1"/>
  <c r="D6225" i="106" s="1"/>
  <c r="F8" i="4"/>
  <c r="F10" i="4" s="1"/>
  <c r="B4125" i="106" s="1"/>
  <c r="D4125" i="106" s="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5508" i="106"/>
  <c r="D5508" i="106" s="1"/>
  <c r="D8" i="4"/>
  <c r="B2567" i="106"/>
  <c r="D2567" i="106" s="1"/>
  <c r="J20" i="4" l="1"/>
  <c r="B6227" i="106"/>
  <c r="D6227" i="106" s="1"/>
  <c r="D8" i="146"/>
  <c r="B2595" i="106"/>
  <c r="D2595" i="106" s="1"/>
  <c r="F76" i="3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<sst xmlns="http://schemas.openxmlformats.org/spreadsheetml/2006/main" count="5127" uniqueCount="2149">
  <si>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</si>
  <si>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</si>
  <si>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</si>
  <si>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</si>
  <si>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</si>
  <si>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</si>
  <si>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</si>
  <si>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</si>
  <si>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</si>
  <si>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</si>
  <si>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</si>
  <si>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</si>
  <si>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</si>
  <si>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</si>
  <si>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</si>
  <si>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</si>
  <si>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</si>
  <si>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</si>
  <si>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</si>
  <si>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</si>
  <si>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</si>
  <si>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</si>
  <si>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</si>
  <si>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</si>
  <si>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</si>
  <si>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</si>
  <si>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</si>
  <si>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</si>
  <si>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</si>
  <si>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</si>
  <si>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</si>
  <si>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</si>
  <si>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</si>
  <si>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</si>
  <si>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</si>
  <si>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</si>
  <si>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</si>
  <si>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</si>
  <si>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</si>
  <si>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</si>
  <si>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</si>
  <si>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</si>
  <si>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</si>
  <si>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</si>
  <si>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</si>
  <si>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</si>
  <si>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</si>
  <si>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</si>
  <si>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</si>
  <si>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</si>
  <si>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</si>
  <si>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</si>
  <si>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</si>
  <si>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</si>
  <si>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</si>
  <si>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</si>
  <si>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</si>
  <si>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</si>
  <si>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</si>
  <si>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</si>
  <si>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</si>
  <si>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</si>
  <si>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</si>
  <si>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</si>
  <si>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</si>
  <si>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</si>
  <si>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</si>
  <si>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</si>
  <si>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</si>
  <si>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</si>
  <si>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</si>
  <si>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</si>
  <si>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</si>
  <si>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</si>
  <si>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</si>
  <si>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</si>
  <si>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</si>
  <si>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</si>
  <si>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</si>
  <si>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</si>
  <si>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</si>
  <si>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</si>
  <si>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</si>
  <si>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</si>
  <si>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</si>
  <si>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</si>
  <si>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</si>
  <si>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</si>
  <si>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</si>
  <si>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</si>
  <si>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</si>
  <si>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</si>
  <si>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</si>
  <si>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</si>
  <si>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</si>
  <si>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</si>
  <si>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</si>
  <si>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</si>
  <si>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</si>
  <si>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</si>
  <si>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</si>
  <si>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</si>
  <si>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</si>
  <si>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</si>
  <si>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</si>
  <si>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</si>
  <si>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</si>
  <si>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</si>
  <si>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</si>
  <si>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</si>
  <si>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</si>
  <si>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</si>
  <si>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</si>
  <si>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</si>
  <si>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</si>
  <si>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</si>
  <si>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</si>
  <si>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</si>
  <si>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</si>
  <si>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</si>
  <si>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</si>
  <si>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</si>
  <si>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</si>
  <si>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</si>
  <si>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</si>
  <si>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</si>
  <si>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</si>
  <si>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</si>
  <si>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</si>
  <si>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</si>
  <si>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</si>
  <si>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</si>
  <si>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</si>
  <si>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</si>
  <si>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</si>
  <si>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</si>
  <si>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</si>
  <si>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</si>
  <si>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</si>
  <si>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</si>
  <si>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</si>
  <si>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</si>
  <si>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</si>
  <si>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</si>
  <si>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</si>
  <si>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</si>
  <si>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</si>
  <si>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</si>
  <si>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</si>
  <si>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</si>
  <si>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</si>
  <si>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</si>
  <si>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</si>
  <si>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</si>
  <si>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</si>
  <si>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</si>
  <si>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</si>
  <si>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</si>
  <si>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</si>
  <si>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</si>
  <si>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</si>
  <si>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</si>
  <si>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</si>
  <si>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</si>
  <si>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</si>
  <si>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</si>
  <si>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</si>
  <si>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</si>
  <si>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</si>
  <si>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</si>
  <si>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</si>
  <si>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</si>
  <si>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</si>
  <si>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</si>
  <si>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</si>
  <si>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</si>
  <si>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</si>
  <si>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</si>
  <si>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</si>
  <si>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</si>
  <si>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</si>
  <si>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</si>
  <si>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</si>
  <si>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</si>
  <si>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</si>
  <si>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</si>
  <si>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</si>
  <si>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</si>
  <si>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</si>
  <si>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</si>
  <si>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</si>
  <si>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</si>
  <si>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</si>
  <si>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</si>
  <si>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</si>
  <si>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</si>
  <si>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</si>
  <si>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</si>
  <si>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</si>
  <si>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</si>
  <si>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</si>
  <si>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</si>
  <si>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</si>
  <si>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</si>
  <si>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</si>
  <si>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</si>
  <si>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</si>
  <si>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</si>
  <si>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</si>
  <si>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</si>
  <si>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</si>
  <si>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</si>
  <si>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</si>
  <si>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</si>
  <si>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</si>
  <si>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</si>
  <si>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</si>
  <si>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</si>
  <si>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</si>
  <si>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</si>
  <si>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</si>
  <si>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</si>
  <si>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</si>
  <si>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</si>
  <si>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</si>
  <si>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</si>
  <si>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</si>
  <si>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</si>
  <si>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</si>
  <si>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</si>
  <si>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</si>
  <si>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</si>
  <si>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</si>
  <si>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</si>
  <si>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</si>
  <si>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</si>
  <si>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</si>
  <si>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</si>
  <si>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</si>
  <si>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</si>
  <si>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</si>
  <si>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</si>
  <si>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</si>
  <si>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</si>
  <si>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</si>
  <si>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</si>
  <si>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</si>
  <si>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</si>
  <si>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</si>
  <si>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</si>
  <si>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</si>
  <si>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</si>
  <si>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</si>
  <si>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</si>
  <si>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</si>
  <si>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</si>
  <si>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</si>
  <si>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</si>
  <si>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</si>
  <si>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</si>
  <si>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</si>
  <si>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</si>
  <si>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</si>
  <si>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</si>
  <si>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</si>
  <si>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</si>
  <si>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</si>
  <si>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</si>
  <si>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</si>
  <si>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</si>
  <si>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</si>
  <si>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</si>
  <si>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</si>
  <si>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</si>
  <si>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</si>
  <si>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</si>
  <si>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</si>
  <si>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</si>
  <si>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</si>
  <si>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</si>
  <si>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</si>
  <si>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</si>
  <si>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</si>
  <si>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</si>
  <si>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</si>
  <si>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</si>
  <si>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</si>
  <si>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</si>
  <si>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</si>
  <si>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</si>
  <si>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</si>
  <si>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</si>
  <si>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</si>
  <si>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</si>
  <si>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</si>
  <si>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</si>
  <si>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</si>
  <si>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</si>
  <si>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</si>
  <si>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</si>
  <si>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</si>
  <si>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</si>
  <si>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</si>
  <si>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</si>
  <si>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</si>
  <si>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</si>
  <si>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</si>
  <si>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</si>
  <si>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</si>
  <si>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</si>
  <si>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</si>
  <si>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</si>
  <si>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</si>
  <si>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</si>
  <si>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</si>
  <si>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</si>
  <si>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</si>
  <si>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</si>
  <si>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</si>
  <si>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</si>
  <si>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</si>
  <si>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</si>
  <si>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</si>
  <si>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</si>
  <si>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</si>
  <si>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</si>
  <si>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</si>
  <si>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</si>
  <si>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</si>
  <si>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</si>
  <si>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</si>
  <si>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</si>
  <si>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</si>
  <si>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</si>
  <si>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</si>
  <si>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</si>
  <si>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</si>
  <si>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</si>
  <si>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</si>
  <si>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</si>
  <si>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</si>
  <si>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</si>
  <si>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</si>
  <si>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</si>
  <si>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</si>
  <si>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</si>
  <si>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</si>
  <si>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</si>
  <si>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</si>
  <si>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</si>
  <si>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</si>
  <si>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</si>
  <si>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</si>
  <si>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</si>
  <si>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</si>
  <si>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</si>
  <si>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</si>
  <si>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</si>
  <si>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</si>
  <si>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</si>
  <si>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</si>
  <si>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</si>
  <si>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</si>
  <si>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</si>
  <si>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</si>
  <si>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</si>
  <si>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</si>
  <si>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</si>
  <si>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</si>
  <si>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</si>
  <si>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</si>
  <si>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</si>
  <si>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</si>
  <si>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</si>
  <si>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</si>
  <si>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</si>
  <si>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</si>
  <si>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</si>
  <si>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</si>
  <si>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</si>
  <si>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</si>
  <si>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</si>
  <si>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</si>
  <si>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</si>
  <si>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</si>
  <si>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</si>
  <si>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</si>
  <si>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</si>
  <si>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</si>
  <si>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</si>
  <si>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</si>
  <si>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</si>
  <si>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</si>
  <si>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</si>
  <si>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</si>
  <si>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</si>
  <si>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</si>
  <si>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</si>
  <si>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</si>
  <si>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</si>
  <si>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</si>
  <si>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</si>
  <si>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</si>
  <si>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</si>
  <si>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</si>
  <si>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</si>
  <si>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</si>
  <si>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</si>
  <si>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</si>
  <si>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</si>
  <si>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</si>
  <si>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</si>
  <si>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</si>
  <si>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</si>
  <si>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</si>
  <si>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</si>
  <si>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</si>
  <si>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</si>
  <si>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</si>
  <si>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</si>
  <si>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</si>
  <si>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</si>
  <si>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</si>
  <si>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</si>
  <si>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</si>
  <si>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</si>
  <si>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</si>
  <si>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</si>
  <si>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</si>
  <si>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</si>
  <si>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</si>
  <si>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</si>
  <si>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</si>
  <si>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</si>
  <si>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</si>
  <si>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</si>
  <si>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</si>
  <si>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</si>
  <si>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</si>
  <si>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</si>
  <si>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</si>
  <si>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</si>
  <si>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</si>
  <si>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</si>
  <si>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</si>
  <si>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</si>
  <si>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</si>
  <si>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</si>
  <si>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</si>
  <si>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</si>
  <si>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</si>
  <si>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</si>
  <si>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</si>
  <si>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</si>
  <si>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</si>
  <si>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</si>
  <si>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</si>
  <si>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</si>
  <si>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</si>
  <si>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</si>
  <si>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</si>
  <si>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</si>
  <si>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</si>
  <si>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</si>
  <si>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</si>
  <si>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</si>
  <si>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</si>
  <si>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</si>
  <si>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</si>
  <si>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</si>
  <si>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</si>
  <si>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</si>
  <si>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</si>
  <si>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</si>
  <si>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</si>
  <si>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</si>
  <si>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</si>
  <si>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</si>
  <si>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</si>
  <si>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</si>
  <si>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</si>
  <si>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</si>
  <si>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</si>
  <si>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</si>
  <si>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</si>
  <si>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</si>
  <si>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</si>
  <si>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</si>
  <si>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</si>
  <si>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</si>
  <si>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</si>
  <si>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</si>
  <si>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</si>
  <si>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</si>
  <si>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</si>
  <si>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</si>
  <si>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</si>
  <si>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</si>
  <si>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</si>
  <si>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</si>
  <si>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</si>
  <si>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</si>
  <si>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</si>
  <si>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</si>
  <si>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</si>
  <si>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</si>
  <si>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</si>
  <si>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</si>
  <si>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</si>
  <si>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</si>
  <si>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</si>
  <si>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</si>
  <si>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</si>
  <si>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</si>
  <si>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</si>
  <si>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</si>
  <si>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</si>
  <si>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</si>
  <si>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</si>
  <si>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</si>
  <si>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</si>
  <si>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</si>
  <si>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</si>
  <si>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</si>
  <si>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</si>
  <si>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</si>
  <si>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</si>
  <si>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</si>
  <si>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</si>
  <si>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</si>
  <si>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</si>
  <si>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</si>
  <si>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</si>
  <si>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</si>
  <si>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</si>
  <si>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</si>
  <si>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</si>
  <si>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</si>
  <si>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</si>
  <si>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</si>
  <si>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</si>
  <si>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</si>
  <si>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</si>
  <si>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</si>
  <si>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</si>
  <si>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</si>
  <si>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</si>
  <si>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</si>
  <si>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</si>
  <si>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</si>
  <si>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</si>
  <si>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</si>
  <si>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</si>
  <si>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</si>
  <si>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</si>
  <si>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</si>
  <si>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</si>
  <si>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</si>
  <si>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</si>
  <si>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</si>
  <si>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</si>
  <si>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</si>
  <si>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</si>
  <si>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</si>
  <si>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</si>
  <si>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</si>
  <si>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</si>
  <si>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</si>
  <si>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</si>
  <si>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</si>
  <si>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</si>
  <si>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</si>
  <si>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</si>
  <si>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</si>
  <si>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</si>
  <si>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</si>
  <si>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</si>
  <si>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</si>
  <si>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</si>
  <si>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</si>
  <si>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</si>
  <si>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</si>
  <si>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</si>
  <si>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</si>
  <si>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</si>
  <si>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</si>
  <si>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</si>
  <si>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</si>
  <si>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</si>
  <si>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</si>
  <si>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</si>
  <si>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</si>
  <si>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</si>
  <si>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</si>
  <si>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</si>
  <si>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</si>
  <si>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</si>
  <si>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</si>
  <si>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</si>
  <si>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</si>
  <si>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</si>
  <si>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</si>
  <si>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</si>
  <si>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</si>
  <si>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</si>
  <si>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</si>
  <si>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</si>
  <si>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</si>
  <si>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</si>
  <si>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</si>
  <si>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</si>
  <si>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</si>
  <si>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</si>
  <si>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</si>
  <si>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</si>
  <si>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</si>
  <si>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</si>
  <si>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</si>
  <si>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</si>
  <si>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</si>
  <si>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</si>
  <si>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</si>
  <si>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</si>
  <si>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</si>
  <si>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</si>
  <si>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</si>
  <si>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</si>
  <si>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</si>
  <si>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</si>
  <si>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</si>
  <si>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</si>
  <si>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</si>
  <si>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</si>
  <si>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</si>
  <si>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</si>
  <si>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</si>
  <si>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</si>
  <si>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</si>
  <si>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</si>
  <si>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</si>
  <si>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</si>
  <si>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</si>
  <si>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</si>
  <si>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</si>
  <si>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</si>
  <si>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</si>
  <si>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</si>
  <si>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</si>
  <si>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</si>
  <si>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</si>
  <si>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</si>
  <si>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</si>
  <si>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</si>
  <si>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</si>
  <si>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</si>
  <si>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</si>
  <si>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</si>
  <si>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</si>
  <si>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</si>
  <si>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</si>
  <si>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</si>
  <si>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</si>
  <si>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</si>
  <si>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</si>
  <si>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</si>
  <si>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</si>
  <si>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</si>
  <si>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</si>
  <si>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</si>
  <si>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</si>
  <si>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</si>
  <si>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</si>
  <si>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</si>
  <si>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</si>
  <si>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</si>
  <si>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</si>
  <si>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</si>
  <si>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</si>
  <si>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</si>
  <si>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</si>
  <si>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</si>
  <si>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</si>
  <si>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</si>
  <si>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</si>
  <si>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</si>
  <si>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</si>
  <si>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</si>
  <si>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</si>
  <si>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</si>
  <si>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</si>
  <si>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</si>
  <si>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</si>
  <si>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</si>
  <si>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</si>
  <si>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</si>
  <si>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</si>
  <si>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</si>
  <si>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</si>
  <si>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</si>
  <si>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</si>
  <si>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</si>
  <si>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</si>
  <si>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</si>
  <si>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</si>
  <si>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</si>
  <si>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</si>
  <si>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</si>
  <si>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</si>
  <si>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</si>
  <si>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</si>
  <si>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</si>
  <si>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</si>
  <si>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</si>
  <si>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</si>
  <si>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</si>
  <si>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</si>
  <si>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</si>
  <si>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</si>
  <si>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</si>
  <si>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</si>
  <si>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</si>
  <si>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</si>
  <si>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</si>
  <si>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</si>
  <si>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</si>
  <si>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</si>
  <si>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</si>
  <si>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</si>
  <si>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</si>
  <si>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</si>
  <si>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</si>
  <si>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</si>
  <si>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</si>
  <si>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</si>
  <si>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</si>
  <si>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</si>
  <si>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</si>
  <si>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</si>
  <si>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</si>
  <si>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</si>
  <si>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</si>
  <si>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</si>
  <si>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</si>
  <si>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</si>
  <si>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</si>
  <si>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</si>
  <si>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</si>
  <si>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</si>
  <si>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</si>
  <si>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</si>
  <si>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</si>
  <si>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</si>
  <si>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</si>
  <si>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</si>
  <si>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</si>
  <si>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</si>
  <si>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</si>
  <si>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</si>
  <si>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</si>
  <si>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</si>
  <si>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</si>
  <si>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</si>
  <si>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</si>
  <si>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</si>
  <si>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</si>
  <si>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</si>
  <si>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</si>
  <si>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</si>
  <si>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</si>
  <si>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</si>
  <si>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</si>
  <si>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</si>
  <si>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</si>
  <si>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</si>
  <si>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</si>
  <si>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</si>
  <si>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</si>
  <si>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</si>
  <si>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</si>
  <si>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</si>
  <si>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</si>
  <si>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</si>
  <si>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</si>
  <si>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</si>
  <si>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</si>
  <si>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</si>
  <si>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</si>
  <si>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</si>
  <si>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</si>
  <si>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</si>
  <si>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</si>
  <si>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</si>
  <si>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</si>
  <si>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</si>
  <si>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</si>
  <si>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</si>
  <si>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</si>
  <si>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</si>
  <si>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</si>
  <si>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</si>
  <si>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</si>
  <si>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</si>
  <si>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</si>
  <si>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</si>
  <si>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</si>
  <si>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</si>
  <si>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</si>
  <si>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</si>
  <si>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</si>
  <si>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</si>
  <si>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</si>
  <si>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</si>
  <si>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</si>
  <si>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</si>
  <si>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</si>
  <si>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</si>
  <si>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</si>
  <si>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</si>
  <si>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</si>
  <si>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</si>
  <si>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</si>
  <si>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</si>
  <si>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</si>
  <si>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</si>
  <si>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</si>
  <si>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</si>
  <si>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</si>
  <si>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</si>
  <si>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</si>
  <si>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</si>
  <si>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</si>
  <si>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</si>
  <si>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</si>
  <si>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</si>
  <si>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</si>
  <si>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</si>
  <si>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</si>
  <si>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</si>
  <si>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</si>
  <si>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</si>
  <si>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</si>
  <si>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</si>
  <si>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</si>
  <si>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</si>
  <si>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</si>
  <si>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</si>
  <si>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</si>
  <si>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</si>
  <si>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</si>
  <si>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</si>
  <si>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</si>
  <si>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</si>
  <si>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</si>
  <si>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</si>
  <si>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</si>
  <si>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</si>
  <si>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</si>
  <si>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</si>
  <si>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</si>
  <si>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</si>
  <si>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</si>
  <si>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</si>
  <si>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</si>
  <si>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</si>
  <si>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</si>
  <si>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</si>
  <si>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</si>
  <si>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</si>
  <si>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</si>
  <si>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</si>
  <si>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</si>
  <si>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</si>
  <si>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</si>
  <si>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</si>
  <si>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</si>
  <si>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</si>
  <si>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</si>
  <si>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</si>
  <si>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</si>
  <si>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</si>
  <si>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</si>
  <si>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</si>
  <si>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</si>
  <si>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</si>
  <si>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</si>
  <si>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</si>
  <si>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</si>
  <si>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</si>
  <si>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</si>
  <si>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</si>
  <si>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</si>
  <si>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</si>
  <si>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</si>
  <si>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</si>
  <si>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</si>
  <si>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</si>
  <si>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</si>
  <si>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</si>
  <si>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</si>
  <si>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</si>
  <si>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</si>
  <si>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</si>
  <si>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</si>
  <si>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</si>
  <si>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</si>
  <si>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</si>
  <si>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</si>
  <si>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</si>
  <si>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</si>
  <si>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</si>
  <si>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</si>
  <si>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</si>
  <si>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</si>
  <si>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</si>
  <si>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</si>
  <si>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</si>
  <si>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</si>
  <si>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</si>
  <si>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</si>
  <si>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</si>
  <si>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</si>
  <si>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</si>
  <si>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</si>
  <si>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</si>
  <si>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</si>
  <si>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</si>
  <si>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</si>
  <si>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</si>
  <si>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</si>
  <si>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</si>
  <si>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</si>
  <si>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</si>
  <si>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</si>
  <si>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</si>
  <si>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</si>
  <si>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</si>
  <si>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</si>
  <si>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</si>
  <si>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</si>
  <si>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</si>
  <si>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</si>
  <si>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</si>
  <si>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</si>
  <si>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</si>
  <si>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</si>
  <si>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</si>
  <si>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</si>
  <si>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</si>
  <si>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</si>
  <si>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</si>
  <si>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</si>
  <si>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</si>
  <si>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</si>
  <si>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</si>
  <si>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</si>
  <si>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</si>
  <si>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</si>
  <si>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</si>
  <si>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</si>
  <si>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</si>
  <si>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</si>
  <si>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</si>
  <si>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</si>
  <si>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</si>
  <si>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</si>
  <si>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</si>
  <si>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</si>
  <si>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</si>
  <si>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</si>
  <si>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</si>
  <si>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</si>
  <si>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</si>
  <si>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</si>
  <si>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</si>
  <si>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</si>
  <si>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</si>
  <si>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</si>
  <si>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</si>
  <si>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</si>
  <si>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</si>
  <si>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</si>
  <si>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</si>
  <si>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</si>
  <si>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</si>
  <si>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</si>
  <si>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</si>
  <si>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</si>
  <si>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</si>
  <si>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</si>
  <si>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</si>
  <si>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</si>
  <si>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</si>
  <si>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</si>
  <si>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</si>
  <si>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</si>
  <si>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</si>
  <si>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</si>
  <si>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</si>
  <si>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</si>
  <si>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</si>
  <si>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</si>
  <si>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</si>
  <si>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</si>
  <si>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</si>
  <si>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</si>
  <si>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</si>
  <si>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</si>
  <si>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</si>
  <si>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</si>
  <si>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</si>
  <si>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</si>
  <si>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</si>
  <si>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</si>
  <si>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</si>
  <si>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</si>
  <si>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</si>
  <si>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</si>
  <si>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</si>
  <si>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</si>
  <si>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</si>
  <si>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</si>
  <si>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</si>
  <si>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</si>
  <si>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</si>
  <si>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</si>
  <si>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</si>
  <si>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</si>
  <si>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</si>
  <si>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</si>
  <si>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</si>
  <si>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</si>
  <si>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</si>
  <si>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</si>
  <si>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</si>
  <si>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</si>
  <si>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</si>
  <si>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</si>
  <si>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</si>
  <si>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</si>
  <si>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</si>
  <si>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</si>
  <si>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</si>
  <si>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</si>
  <si>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</si>
  <si>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</si>
  <si>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</si>
  <si>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</si>
  <si>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</si>
  <si>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</si>
  <si>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</si>
  <si>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</si>
  <si>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</si>
  <si>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</si>
  <si>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</si>
  <si>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</si>
  <si>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</si>
  <si>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</si>
  <si>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</si>
  <si>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</si>
  <si>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</si>
  <si>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</si>
  <si>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</si>
  <si>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</si>
  <si>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</si>
  <si>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</si>
  <si>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</si>
  <si>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</si>
  <si>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</si>
  <si>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</si>
  <si>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</si>
  <si>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</si>
  <si>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</si>
  <si>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</si>
  <si>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</si>
  <si>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</si>
  <si>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</si>
  <si>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</si>
  <si>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</si>
  <si>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</si>
  <si>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</si>
  <si>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</si>
  <si>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</si>
  <si>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</si>
  <si>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</si>
  <si>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</si>
  <si>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</si>
  <si>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</si>
  <si>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</si>
  <si>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</si>
  <si>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</si>
  <si>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</si>
  <si>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</si>
  <si>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</si>
  <si>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</si>
  <si>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</si>
  <si>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</si>
  <si>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</si>
  <si>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</si>
  <si>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</si>
  <si>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</si>
  <si>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</si>
  <si>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</si>
  <si>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</si>
  <si>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</si>
  <si>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</si>
  <si>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</si>
  <si>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</si>
  <si>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</si>
  <si>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</si>
  <si>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</si>
  <si>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</si>
  <si>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</si>
  <si>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</si>
  <si>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</si>
  <si>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</si>
  <si>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</si>
  <si>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</si>
  <si>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</si>
  <si>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</si>
  <si>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</si>
  <si>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</si>
  <si>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</si>
  <si>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</si>
  <si>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</si>
  <si>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</si>
  <si>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</si>
  <si>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</si>
  <si>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</si>
  <si>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</si>
  <si>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</si>
  <si>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</si>
  <si>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</si>
  <si>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</si>
  <si>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</si>
  <si>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</si>
  <si>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</si>
  <si>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</si>
  <si>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</si>
  <si>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</si>
  <si>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</si>
  <si>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</si>
  <si>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</si>
  <si>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</si>
  <si>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</si>
  <si>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</si>
  <si>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</si>
  <si>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</si>
  <si>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</si>
  <si>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</si>
  <si>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</si>
  <si>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</si>
  <si>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</si>
  <si>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</si>
  <si>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</si>
  <si>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</si>
  <si>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</si>
  <si>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</si>
  <si>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</si>
  <si>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</si>
  <si>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</si>
  <si>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</si>
  <si>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</si>
  <si>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</si>
  <si>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</si>
  <si>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</si>
  <si>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</si>
  <si>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</si>
  <si>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</si>
  <si>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</si>
  <si>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</si>
  <si>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</si>
  <si>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</si>
  <si>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</si>
  <si>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</si>
  <si>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</si>
  <si>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</si>
  <si>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</si>
  <si>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</si>
  <si>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</si>
  <si>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</si>
  <si>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</si>
  <si>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</si>
  <si>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</si>
  <si>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</si>
  <si>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</si>
  <si>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</si>
  <si>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</si>
  <si>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</si>
  <si>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</si>
  <si>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</si>
  <si>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</si>
  <si>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</si>
  <si>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</si>
  <si>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</si>
  <si>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</si>
  <si>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</si>
  <si>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</si>
  <si>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</si>
  <si>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</si>
  <si>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</si>
  <si>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</si>
  <si>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</si>
  <si>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</si>
  <si>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</si>
  <si>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</si>
  <si>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</si>
  <si>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</si>
  <si>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</si>
  <si>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</si>
  <si>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</si>
  <si>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</si>
  <si>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</si>
  <si>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</si>
  <si>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</si>
  <si>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</si>
  <si>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</si>
  <si>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</si>
  <si>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</si>
  <si>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</si>
  <si>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</si>
  <si>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</si>
  <si>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</si>
  <si>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</si>
  <si>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</si>
  <si>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</si>
  <si>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</si>
  <si>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</si>
  <si>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</si>
  <si>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</si>
  <si>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</si>
  <si>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</si>
  <si>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</si>
  <si>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</si>
  <si>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</si>
  <si>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</si>
  <si>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</si>
  <si>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</si>
  <si>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</si>
  <si>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</si>
  <si>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</si>
  <si>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</si>
  <si>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</si>
  <si>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</si>
  <si>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</si>
  <si>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</si>
  <si>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</si>
  <si>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</si>
  <si>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</si>
  <si>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</si>
  <si>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</si>
  <si>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</si>
  <si>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</si>
  <si>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</si>
  <si>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</si>
  <si>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</si>
  <si>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</si>
  <si>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</si>
  <si>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</si>
  <si>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</si>
  <si>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</si>
  <si>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</si>
  <si>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</si>
  <si>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</si>
  <si>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</si>
  <si>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</si>
  <si>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</si>
  <si>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</si>
  <si>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</si>
  <si>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</si>
  <si>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</si>
  <si>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</si>
  <si>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</si>
  <si>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</si>
  <si>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</si>
  <si>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</si>
  <si>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</si>
  <si>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</si>
  <si>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</si>
  <si>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</si>
  <si>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</si>
  <si>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</si>
  <si>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</si>
  <si>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</si>
  <si>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</si>
  <si>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</si>
  <si>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</si>
  <si>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</si>
  <si>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</si>
  <si>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</si>
  <si>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</si>
  <si>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</si>
  <si>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</si>
  <si>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</si>
  <si>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</si>
  <si>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</si>
  <si>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</si>
  <si>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</si>
  <si>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</si>
  <si>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</si>
  <si>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</si>
  <si>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</si>
  <si>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</si>
  <si>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</si>
  <si>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</si>
  <si>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</si>
  <si>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</si>
  <si>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</si>
  <si>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</si>
  <si>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</si>
  <si>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</si>
  <si>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</si>
  <si>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</si>
  <si>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</si>
  <si>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</si>
  <si>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</si>
  <si>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</si>
  <si>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</si>
  <si>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</si>
  <si>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</si>
  <si>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</si>
  <si>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</si>
  <si>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</si>
  <si>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</si>
  <si>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</si>
  <si>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</si>
  <si>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</si>
  <si>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</si>
  <si>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</si>
  <si>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</si>
  <si>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</si>
  <si>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</si>
  <si>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</si>
  <si>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</si>
  <si>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</si>
  <si>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</si>
  <si>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</si>
  <si>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</si>
  <si>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</si>
  <si>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</si>
  <si>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</si>
  <si>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</si>
  <si>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</si>
  <si>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</si>
  <si>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</si>
  <si>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</si>
  <si>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</si>
  <si>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</si>
  <si>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</si>
  <si>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</si>
  <si>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</si>
  <si>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</si>
  <si>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</si>
  <si>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</si>
  <si>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</si>
  <si>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</si>
  <si>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</si>
  <si>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</si>
  <si>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</si>
  <si>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</si>
  <si>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</si>
  <si>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</si>
  <si>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</si>
  <si>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</si>
  <si>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</si>
  <si>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</si>
  <si>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</si>
  <si>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</si>
  <si>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</si>
  <si>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</si>
  <si>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</si>
  <si>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</si>
  <si>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</si>
  <si>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</si>
  <si>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</si>
  <si>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</si>
  <si>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</si>
  <si>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</si>
  <si>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</si>
  <si>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</si>
  <si>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</si>
  <si>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</si>
  <si>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</si>
  <si>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</si>
  <si>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</si>
  <si>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</si>
  <si>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</si>
  <si>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</si>
  <si>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</si>
  <si>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</si>
  <si>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</si>
  <si>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</si>
  <si>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</si>
  <si>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</si>
  <si>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</si>
  <si>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</si>
  <si>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</si>
  <si>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</si>
  <si>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</si>
  <si>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</si>
  <si>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</si>
  <si>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</si>
  <si>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</si>
  <si>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</si>
  <si>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</si>
  <si>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</si>
  <si>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</si>
  <si>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</si>
  <si>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</si>
  <si>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</si>
  <si>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</si>
  <si>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</si>
  <si>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</si>
  <si>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</si>
  <si>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</si>
  <si>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</si>
  <si>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</si>
  <si>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</si>
  <si>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</si>
  <si>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</si>
  <si>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</si>
  <si>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</si>
  <si>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</si>
  <si>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</si>
  <si>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</si>
  <si>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</si>
  <si>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</si>
  <si>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</si>
  <si>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</si>
  <si>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</si>
  <si>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</si>
  <si>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</si>
  <si>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</si>
  <si>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</si>
  <si>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</si>
  <si>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</si>
  <si>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</si>
  <si>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</si>
  <si>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</si>
  <si>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</si>
  <si>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</si>
  <si>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</si>
  <si>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</si>
  <si>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</si>
  <si>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</si>
  <si>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</si>
  <si>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</si>
  <si>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</si>
  <si>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</si>
  <si>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</si>
  <si>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</si>
  <si>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</si>
  <si>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</si>
  <si>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</si>
  <si>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</si>
  <si>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</si>
  <si>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</si>
  <si>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</si>
  <si>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</si>
  <si>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</si>
  <si>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</si>
  <si>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</si>
  <si>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</si>
  <si>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</si>
  <si>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</si>
  <si>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</si>
  <si>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</si>
  <si>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</si>
  <si>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</si>
  <si>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</si>
  <si>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</si>
  <si>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</si>
  <si>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</si>
  <si>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</si>
  <si>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</si>
  <si>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</si>
  <si>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</si>
  <si>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</si>
  <si>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</si>
  <si>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</si>
  <si>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</si>
  <si>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</si>
  <si>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</si>
  <si>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</si>
  <si>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</si>
  <si>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</si>
  <si>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</si>
  <si>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</si>
  <si>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</si>
  <si>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</si>
  <si>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</si>
  <si>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</si>
  <si>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</si>
  <si>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</si>
  <si>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</si>
  <si>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</si>
  <si>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</si>
  <si>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</si>
  <si>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</si>
  <si>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</si>
  <si>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</si>
  <si>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</si>
  <si>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</si>
  <si>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</si>
  <si>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</si>
  <si>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</si>
  <si>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</si>
  <si>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</si>
  <si>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</si>
  <si>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</si>
  <si>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</si>
  <si>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</si>
  <si>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</si>
  <si>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</si>
  <si>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</si>
  <si>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</si>
  <si>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</si>
  <si>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</si>
  <si>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</si>
  <si>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</si>
  <si>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</si>
  <si>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</si>
  <si>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</si>
  <si>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</si>
  <si>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</si>
  <si>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</si>
  <si>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</si>
  <si>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</si>
  <si>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</si>
  <si>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</si>
  <si>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</si>
  <si>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</si>
  <si>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</si>
  <si>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</si>
  <si>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</si>
  <si>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</si>
  <si>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</si>
  <si>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</si>
  <si>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</si>
  <si>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</si>
  <si>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</si>
  <si>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</si>
  <si>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</si>
  <si>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</si>
  <si>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</si>
  <si>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</si>
  <si>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</si>
  <si>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</si>
  <si>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</si>
  <si>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</si>
  <si>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</si>
  <si>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</si>
  <si>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</si>
  <si>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</si>
  <si>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</si>
  <si>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</si>
  <si>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</si>
  <si>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</si>
  <si>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</si>
  <si>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</si>
  <si>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</si>
  <si>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</si>
  <si>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</si>
  <si>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</si>
  <si>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</si>
  <si>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</si>
  <si>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</si>
  <si>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</si>
  <si>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</si>
  <si>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</si>
  <si>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</si>
  <si>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</si>
  <si>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</si>
  <si>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</si>
  <si>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</si>
  <si>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</si>
  <si>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</si>
  <si>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</si>
  <si>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</si>
  <si>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</si>
  <si>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</si>
  <si>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</si>
  <si>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</si>
  <si>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</si>
  <si>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</si>
  <si>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</si>
  <si>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</si>
  <si>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</si>
  <si>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</si>
  <si>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</si>
  <si>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</si>
  <si>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</si>
  <si>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</si>
  <si>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</si>
  <si>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</si>
  <si>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</si>
  <si>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</si>
  <si>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</si>
  <si>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</si>
  <si>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</si>
  <si>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</si>
  <si>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</si>
  <si>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</si>
  <si>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</si>
  <si>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</si>
  <si>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</si>
  <si>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</si>
  <si>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</si>
  <si>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</si>
  <si>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</si>
  <si>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</si>
  <si>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</si>
  <si>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</si>
  <si>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</si>
  <si>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</si>
  <si>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</si>
  <si>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</si>
  <si>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</si>
  <si>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</si>
  <si>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</si>
  <si>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</si>
  <si>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</si>
  <si>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</si>
  <si>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</si>
  <si>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</si>
  <si>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</si>
  <si>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</si>
  <si>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</si>
  <si>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</si>
  <si>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</si>
  <si>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</si>
  <si>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</si>
  <si>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</si>
  <si>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</si>
  <si>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</si>
  <si>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</si>
  <si>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</si>
  <si>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</si>
  <si>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</si>
  <si>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</si>
  <si>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</si>
  <si>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</si>
  <si>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</si>
  <si>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</si>
  <si>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</si>
  <si>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</si>
  <si>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</si>
  <si>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</si>
  <si>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</si>
  <si>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</si>
  <si>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</si>
  <si>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</si>
  <si>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</si>
  <si>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</si>
  <si>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</si>
  <si>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</si>
  <si>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</si>
  <si>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</si>
  <si>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</si>
  <si>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</si>
  <si>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</si>
  <si>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</si>
  <si>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</si>
  <si>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</si>
  <si>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</si>
  <si>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</si>
  <si>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</si>
  <si>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</si>
  <si>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</si>
  <si>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</si>
  <si>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</si>
  <si>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</si>
  <si>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</si>
  <si>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</si>
  <si>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</si>
  <si>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</si>
  <si>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</si>
  <si>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</si>
  <si>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</si>
  <si>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</si>
  <si>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</si>
  <si>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</si>
  <si>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</si>
  <si>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</si>
  <si>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</si>
  <si>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</si>
  <si>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</si>
  <si>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</si>
  <si>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</si>
  <si>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</si>
  <si>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</si>
  <si>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</si>
  <si>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</si>
  <si>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</si>
  <si>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</si>
  <si>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</si>
  <si>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</si>
  <si>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</si>
  <si>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</si>
  <si>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</si>
  <si>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</si>
  <si>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</si>
  <si>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</si>
  <si>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</si>
  <si>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</si>
  <si>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</si>
  <si>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</si>
  <si>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</si>
  <si>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</si>
  <si>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</si>
  <si>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</si>
  <si>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</si>
  <si>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</si>
  <si>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</si>
  <si>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</si>
  <si>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</si>
  <si>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</si>
  <si>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</si>
  <si>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</si>
  <si>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</si>
  <si>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</si>
  <si>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</si>
  <si>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</si>
  <si>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</si>
  <si>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</si>
  <si>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</si>
  <si>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</si>
  <si>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</si>
  <si>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</si>
  <si>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</si>
  <si>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</si>
  <si>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</si>
  <si>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</si>
  <si>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</si>
  <si>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</si>
  <si>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</si>
  <si>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</si>
  <si>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</si>
  <si>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</si>
  <si>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</si>
  <si>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</si>
  <si>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</si>
  <si>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</si>
  <si>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</si>
  <si>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</si>
  <si>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</si>
  <si>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</si>
  <si>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</si>
  <si>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</si>
  <si>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</si>
  <si>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</si>
  <si>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</si>
  <si>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</si>
  <si>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</si>
  <si>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</si>
  <si>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</si>
  <si>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</si>
  <si>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</si>
  <si>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</si>
  <si>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</si>
  <si>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</si>
  <si>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</si>
  <si>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</si>
  <si>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</si>
  <si>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</si>
  <si>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</si>
  <si>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</si>
  <si>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</si>
  <si>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</si>
  <si>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</si>
  <si>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</si>
  <si>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</si>
  <si>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</si>
  <si>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</si>
  <si>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</si>
  <si>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</si>
  <si>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</si>
  <si>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</si>
  <si>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</si>
  <si>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</si>
  <si>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</si>
  <si>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</si>
  <si>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</si>
  <si>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</si>
  <si>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</si>
  <si>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</si>
  <si>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</si>
  <si>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</si>
  <si>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</si>
  <si>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</si>
  <si>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</si>
  <si>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</si>
  <si>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</si>
  <si>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</si>
  <si>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</si>
  <si>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</si>
  <si>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</si>
  <si>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</si>
  <si>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</si>
  <si>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</si>
  <si>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</si>
  <si>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</si>
  <si>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</si>
  <si>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</si>
  <si>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</si>
  <si>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</si>
  <si>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</si>
  <si>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</si>
  <si>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</si>
  <si>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</si>
  <si>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</si>
  <si>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</si>
  <si>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</si>
  <si>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</si>
  <si>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</si>
  <si>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</si>
  <si>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</si>
  <si>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</si>
  <si>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</si>
  <si>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</si>
  <si>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</si>
  <si>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</si>
  <si>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</si>
  <si>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</si>
  <si>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</si>
  <si>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</si>
  <si>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</si>
  <si>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</si>
  <si>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</si>
  <si>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</si>
  <si>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</si>
  <si>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</si>
  <si>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</si>
  <si>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</si>
  <si>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</si>
  <si>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</si>
  <si>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</si>
  <si>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</si>
  <si>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</si>
  <si>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</si>
  <si>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</si>
  <si>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</si>
  <si>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</si>
  <si>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</si>
  <si>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</si>
  <si>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</si>
  <si>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</si>
  <si>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</si>
  <si>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</si>
  <si>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</si>
  <si>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</si>
  <si>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</si>
  <si>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</si>
  <si>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</si>
  <si>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</si>
  <si>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</si>
  <si>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</si>
  <si>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</si>
  <si>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</si>
  <si>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</si>
  <si>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</si>
  <si>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</si>
  <si>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</si>
  <si>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</si>
  <si>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</si>
  <si>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</si>
  <si>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</si>
  <si>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</si>
  <si>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</si>
  <si>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</si>
  <si>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</si>
  <si>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</si>
  <si>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</si>
  <si>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</si>
  <si>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</si>
  <si>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</si>
  <si>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</si>
  <si>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</si>
  <si>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</si>
  <si>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</si>
  <si>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</si>
  <si>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</si>
  <si>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</si>
  <si>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</si>
  <si>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</si>
  <si>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</si>
  <si>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</si>
  <si>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</si>
  <si>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</si>
  <si>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</si>
  <si>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</si>
  <si>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</si>
  <si>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</si>
  <si>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</si>
  <si>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</si>
  <si>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</si>
  <si>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</si>
  <si>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</si>
  <si>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</si>
  <si>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</si>
  <si>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</si>
  <si>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</si>
  <si>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</si>
  <si>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</si>
  <si>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</si>
  <si>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</si>
  <si>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</si>
  <si>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</si>
  <si>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</si>
  <si>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</si>
  <si>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</si>
  <si>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</si>
  <si>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</si>
  <si>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</si>
  <si>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</si>
  <si>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</si>
  <si>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</si>
  <si>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</si>
  <si>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</si>
  <si>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</si>
  <si>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</si>
  <si>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</si>
  <si>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</si>
  <si>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</si>
  <si>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</si>
  <si>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</si>
  <si>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</si>
  <si>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</si>
  <si>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</si>
  <si>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</si>
  <si>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</si>
  <si>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</si>
  <si>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</si>
  <si>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</si>
  <si>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</si>
  <si>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</si>
  <si>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</si>
  <si>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</si>
  <si>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</si>
  <si>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</si>
  <si>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</si>
  <si>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</si>
  <si>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</si>
  <si>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</si>
  <si>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</si>
  <si>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</si>
  <si>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</si>
  <si>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</si>
  <si>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</si>
  <si>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</si>
  <si>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</si>
  <si>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</si>
  <si>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</si>
  <si>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</si>
  <si>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</si>
  <si>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</si>
  <si>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</si>
  <si>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</si>
  <si>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</si>
  <si>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</si>
  <si>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</si>
  <si>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</si>
  <si>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</si>
  <si>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</si>
  <si>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</si>
  <si>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</si>
  <si>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</si>
  <si>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</si>
  <si>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</si>
  <si>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</si>
  <si>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</si>
  <si>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</si>
  <si>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</si>
  <si>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</si>
  <si>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</si>
  <si>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</si>
  <si>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</si>
  <si>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</si>
  <si>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</si>
  <si>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</si>
  <si>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</si>
  <si>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</si>
  <si>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</si>
  <si>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</si>
  <si>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</si>
  <si>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</si>
  <si>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</si>
  <si>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</si>
  <si>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</si>
  <si>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</si>
  <si>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</si>
  <si>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</si>
  <si>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</si>
  <si>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</si>
  <si>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</si>
  <si>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</si>
  <si>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</si>
  <si>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</si>
  <si>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</si>
  <si>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</si>
  <si>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</si>
  <si>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</si>
  <si>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</si>
  <si>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</si>
  <si>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</si>
  <si>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</si>
  <si>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</si>
  <si>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</si>
  <si>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</si>
  <si>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</si>
  <si>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</si>
  <si>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</si>
  <si>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</si>
  <si>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</si>
  <si>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</si>
  <si>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</si>
  <si>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</si>
  <si>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</si>
  <si>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</si>
  <si>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</si>
  <si>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</si>
  <si>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</si>
  <si>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</si>
  <si>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</si>
  <si>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</si>
  <si>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</si>
  <si>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</si>
  <si>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</si>
  <si>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</si>
  <si>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</si>
  <si>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</si>
  <si>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</si>
  <si>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</si>
  <si>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</si>
  <si>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</si>
  <si>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</si>
  <si>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</si>
  <si>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</si>
  <si>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</si>
  <si>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</si>
  <si>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</si>
  <si>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</si>
  <si>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</si>
  <si>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</si>
  <si>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</si>
  <si>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</si>
  <si>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</si>
  <si>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</si>
  <si>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</si>
  <si>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</si>
  <si>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</si>
  <si>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</si>
  <si>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</si>
  <si>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</si>
  <si>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</si>
  <si>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</si>
  <si>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</si>
  <si>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</si>
  <si>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</si>
  <si>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</si>
  <si>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</si>
  <si>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</si>
  <si>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</si>
  <si>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</si>
  <si>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</si>
  <si>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</si>
  <si>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</si>
  <si>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</si>
  <si>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</si>
  <si>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</si>
  <si>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</si>
  <si>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</si>
  <si>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</si>
  <si>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</si>
  <si>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</si>
  <si>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</si>
  <si>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</si>
  <si>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</si>
  <si>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BUREAU</t>
  </si>
  <si>
    <t>801 S. MAIN ST.</t>
  </si>
  <si>
    <t>LA MOILLE</t>
  </si>
  <si>
    <t>jmccracken@lamoilleschools.org</t>
  </si>
  <si>
    <t>JAY MCCRACKEN</t>
  </si>
  <si>
    <t>815-638-2018</t>
  </si>
  <si>
    <t>815-638-2186</t>
  </si>
  <si>
    <t>HOPKINS &amp; ASSOCIATES, CPAS, INC.</t>
  </si>
  <si>
    <t>JOEL HOPKINS</t>
  </si>
  <si>
    <t>314 S. MCCOY ST.</t>
  </si>
  <si>
    <t>GRANVILLE</t>
  </si>
  <si>
    <t>IL</t>
  </si>
  <si>
    <t>815-339-6630</t>
  </si>
  <si>
    <t>815-339-6643</t>
  </si>
  <si>
    <t>joel@hopkinsoffice.com</t>
  </si>
  <si>
    <t>Hopkins &amp; Associates, CPAs</t>
  </si>
  <si>
    <t>2013B General Obligation School Bond Issue - QZAB</t>
  </si>
  <si>
    <t>ISBE School Technology Loan</t>
  </si>
  <si>
    <t>2016B WC Bonds - QZAB</t>
  </si>
  <si>
    <t>Bus Lease - Bus 3 and 5</t>
  </si>
  <si>
    <t>Bus Lease - Bus 4 and 8</t>
  </si>
  <si>
    <t>Bus Lease - Bus 1</t>
  </si>
  <si>
    <t>Bus Lease - Bus 6</t>
  </si>
  <si>
    <t>Bus Lease - Bus 7</t>
  </si>
  <si>
    <t>Bus Lease - Bus 12</t>
  </si>
  <si>
    <t>Capital Lease</t>
  </si>
  <si>
    <t>School Technology Loan</t>
  </si>
  <si>
    <t>BHS REGIONAL OFFICE; LASALLE COUNTY ROE</t>
  </si>
  <si>
    <t>Cost</t>
  </si>
  <si>
    <t>Cost/Distance</t>
  </si>
  <si>
    <t>NORTHERN ILLINOIS GAS CONSORTIUM</t>
  </si>
  <si>
    <t>MALDEN GRADE; SRAVTE; BMP SPECIAL ED COOP</t>
  </si>
  <si>
    <t>WCSIT; ISDA; EMPOYEE BEN CORP - HRA</t>
  </si>
  <si>
    <t>Not Competitive in Open Market</t>
  </si>
  <si>
    <t>Not Needed</t>
  </si>
  <si>
    <t>BHS ROE; LaSalle County ROE</t>
  </si>
  <si>
    <t>Distance</t>
  </si>
  <si>
    <t>BMP Special Ed Coop</t>
  </si>
  <si>
    <t>Implementation</t>
  </si>
  <si>
    <t>BHS ROE; LaSalle County Food Coop</t>
  </si>
  <si>
    <t>SRAVTE; LaSalle-Peru Area Career Center</t>
  </si>
  <si>
    <t>See Below</t>
  </si>
  <si>
    <t>Malden S.D. #84</t>
  </si>
  <si>
    <t>24. Professional Development - Troy, Plano, Seneca, and Minooka School Districts</t>
  </si>
  <si>
    <t>32. Amboy High School - sports; Ohio High School - sports; Behavioral Disorder Program</t>
  </si>
  <si>
    <t>33. Other - Malden Pre-School for all</t>
  </si>
  <si>
    <t>GASB 75 OMISSION</t>
  </si>
  <si>
    <t>O&amp;M Fund - 1290 - Other Payment in Lieu of Taxes - $1,267 - Local Sales Tax Rev</t>
  </si>
  <si>
    <t>Ed Fund - 1790 - Other District/School Act Rev - $1,321 - PE Shirts, Art Fees, etc.</t>
  </si>
  <si>
    <t>Ed Fund - 1999 - Other Local rev - $6,190 - Payments for Career expo, Mfg expo, College fair, etc.</t>
  </si>
  <si>
    <t>O&amp;M Fund - 1999 - Other Local rev - $8,115 - Erate Reimb</t>
  </si>
  <si>
    <t>Ed Fund - 10-2190-300 - Other Sup Svcs - Pupils - $722 - Graduation Exp</t>
  </si>
  <si>
    <t>Ed Fund - 10-2190-400 - Other Sup Svcs - Supplies - $565 - PE Shirts</t>
  </si>
  <si>
    <t>Ed Fund - 10-4190-300 - Other Payment to In State Units - $150 - Title II Workshop paid to ROE</t>
  </si>
  <si>
    <t>Ed Fund - 40-4190-300 - Other Payment to In State Units - $100 - Travel to Workshop</t>
  </si>
  <si>
    <t>O&amp;M - Oper. &amp; Maint. Of Plant Svcs - Purchased Svcs.</t>
  </si>
  <si>
    <t>20-2540-300</t>
  </si>
  <si>
    <t>Culligan (Water)</t>
  </si>
  <si>
    <t>Isaac Hebert (Mowing)</t>
  </si>
  <si>
    <t>Orkin (Pest Control)</t>
  </si>
  <si>
    <t>Kone, Inc. (Lift Maint)</t>
  </si>
  <si>
    <t>AT&amp;T (Phone)</t>
  </si>
  <si>
    <t>Frontier (Phone)</t>
  </si>
  <si>
    <t>Illinois Valley Cell (Phone)</t>
  </si>
  <si>
    <t>Republic Services (Garbage)</t>
  </si>
  <si>
    <t>Village of LaMoille (Water/Sewer)</t>
  </si>
  <si>
    <t>Van Orin Water Co. (Water)</t>
  </si>
  <si>
    <t>Long-Term Debt - Payments and Debt Issuance that don't run through the Debt Service Fund are being included on the Debt</t>
  </si>
  <si>
    <t>Schedule.  This is causing errors on the Audit Check Screen.  We have included capital leases related to the transportation fund</t>
  </si>
  <si>
    <t>on this schedule and technology loans from ISBE on this schedule that are generating the errors.  The debt activity reported on</t>
  </si>
  <si>
    <t>the debt schedule is accurate and reported correctly.</t>
  </si>
  <si>
    <t>La Moille CUSD 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</si>
</sst>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4">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0" fontId="98" fillId="0" borderId="105" xfId="18" applyFont="1" applyBorder="1" applyProtection="1">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1"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49" fontId="98" fillId="0" borderId="105" xfId="18" applyNumberFormat="1" applyFont="1" applyBorder="1" applyAlignment="1" applyProtection="1">
      <alignment horizontal="center" vertical="center"/>
      <protection locked="0"/>
    </xf>
    <xf numFmtId="49" fontId="98" fillId="0" borderId="109" xfId="18" applyNumberFormat="1" applyFont="1" applyFill="1" applyBorder="1" applyAlignment="1" applyProtection="1">
      <alignment horizontal="center" vertical="center"/>
      <protection locked="0"/>
    </xf>
    <xf numFmtId="49" fontId="98" fillId="0" borderId="107" xfId="18" applyNumberFormat="1" applyFont="1" applyFill="1" applyBorder="1" applyAlignment="1" applyProtection="1">
      <alignment horizontal="center" vertical="center"/>
      <protection locked="0"/>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18" borderId="21" xfId="0" applyFont="1" applyFill="1" applyBorder="1" applyAlignment="1" applyProtection="1">
      <alignment horizontal="left" vertical="center"/>
    </xf>
    <xf numFmtId="0" fontId="62" fillId="18" borderId="14" xfId="0"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1</xdr:row>
          <xdr:rowOff>2598</xdr:rowOff>
        </xdr:from>
        <xdr:to>
          <xdr:col>1</xdr:col>
          <xdr:colOff>911802</xdr:colOff>
          <xdr:row>5</xdr:row>
          <xdr:rowOff>51089</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D32086F8-EC8D-47B6-94A3-A6E0E71ACD4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zoomScale="90" zoomScaleNormal="9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1998" t="s">
        <v>424</v>
      </c>
      <c r="J1" s="1999"/>
      <c r="K1" s="1999"/>
      <c r="L1" s="1999"/>
      <c r="M1" s="1999"/>
      <c r="N1" s="1999"/>
      <c r="O1" s="1999"/>
      <c r="P1" s="1999"/>
      <c r="Q1" s="1999"/>
      <c r="R1" s="1999"/>
      <c r="S1" s="1999"/>
    </row>
    <row r="2" spans="1:28" ht="12" customHeight="1" x14ac:dyDescent="0.2">
      <c r="A2" s="47" t="s">
        <v>1683</v>
      </c>
      <c r="D2" s="48"/>
      <c r="I2" s="2000" t="s">
        <v>1035</v>
      </c>
      <c r="J2" s="1999"/>
      <c r="K2" s="1999"/>
      <c r="L2" s="1999"/>
      <c r="M2" s="1999"/>
      <c r="N2" s="1999"/>
      <c r="O2" s="1999"/>
      <c r="P2" s="1999"/>
      <c r="Q2" s="1999"/>
      <c r="R2" s="1999"/>
      <c r="S2" s="1999"/>
    </row>
    <row r="3" spans="1:28" ht="12" customHeight="1" x14ac:dyDescent="0.2">
      <c r="A3" s="155" t="s">
        <v>1684</v>
      </c>
      <c r="B3" s="156"/>
      <c r="C3" s="156"/>
      <c r="D3" s="157"/>
      <c r="I3" s="2000" t="s">
        <v>54</v>
      </c>
      <c r="J3" s="1999"/>
      <c r="K3" s="1999"/>
      <c r="L3" s="1999"/>
      <c r="M3" s="1999"/>
      <c r="N3" s="1999"/>
      <c r="O3" s="1999"/>
      <c r="P3" s="1999"/>
      <c r="Q3" s="1999"/>
      <c r="R3" s="1999"/>
      <c r="S3" s="1999"/>
    </row>
    <row r="4" spans="1:28" ht="12" customHeight="1" x14ac:dyDescent="0.2">
      <c r="A4" s="37"/>
      <c r="I4" s="2000" t="s">
        <v>544</v>
      </c>
      <c r="J4" s="1999"/>
      <c r="K4" s="1999"/>
      <c r="L4" s="1999"/>
      <c r="M4" s="1999"/>
      <c r="N4" s="1999"/>
      <c r="O4" s="1999"/>
      <c r="P4" s="1999"/>
      <c r="Q4" s="1999"/>
      <c r="R4" s="1999"/>
      <c r="S4" s="1999"/>
    </row>
    <row r="5" spans="1:28" ht="14.1" customHeight="1" x14ac:dyDescent="0.2">
      <c r="B5" s="104" t="s">
        <v>2076</v>
      </c>
      <c r="C5" s="26" t="s">
        <v>965</v>
      </c>
      <c r="D5" s="84"/>
      <c r="E5" s="84"/>
      <c r="H5" s="38"/>
      <c r="I5" s="2008" t="s">
        <v>700</v>
      </c>
      <c r="J5" s="2007"/>
      <c r="K5" s="2007"/>
      <c r="L5" s="2007"/>
      <c r="M5" s="2007"/>
      <c r="N5" s="2007"/>
      <c r="O5" s="2007"/>
      <c r="P5" s="2007"/>
      <c r="Q5" s="2007"/>
      <c r="R5" s="2007"/>
      <c r="S5" s="2007"/>
    </row>
    <row r="6" spans="1:28" ht="14.1" customHeight="1" x14ac:dyDescent="0.2">
      <c r="B6" s="104"/>
      <c r="C6" s="26" t="s">
        <v>966</v>
      </c>
      <c r="D6" s="84"/>
      <c r="E6" s="84"/>
      <c r="I6" s="2006" t="s">
        <v>937</v>
      </c>
      <c r="J6" s="2007"/>
      <c r="K6" s="2007"/>
      <c r="L6" s="2007"/>
      <c r="M6" s="2007"/>
      <c r="N6" s="2007"/>
      <c r="O6" s="2007"/>
      <c r="P6" s="2007"/>
      <c r="Q6" s="2007"/>
      <c r="R6" s="2007"/>
      <c r="S6" s="2007"/>
    </row>
    <row r="7" spans="1:28" ht="12.2" customHeight="1" x14ac:dyDescent="0.2">
      <c r="I7" s="2001">
        <v>43281</v>
      </c>
      <c r="J7" s="2002"/>
      <c r="K7" s="2002"/>
      <c r="L7" s="2002"/>
      <c r="M7" s="2002"/>
      <c r="N7" s="2002"/>
      <c r="O7" s="2002"/>
      <c r="P7" s="2002"/>
      <c r="Q7" s="2002"/>
      <c r="R7" s="2002"/>
      <c r="S7" s="200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3" t="s">
        <v>694</v>
      </c>
      <c r="J9" s="2004"/>
      <c r="K9" s="2004"/>
      <c r="L9" s="2004"/>
      <c r="M9" s="2004"/>
      <c r="N9" s="2004"/>
      <c r="O9" s="2004"/>
      <c r="P9" s="2004"/>
      <c r="Q9" s="2004"/>
      <c r="R9" s="2004"/>
      <c r="S9" s="2005"/>
      <c r="T9" s="2019" t="s">
        <v>553</v>
      </c>
      <c r="U9" s="2020"/>
      <c r="V9" s="2020"/>
      <c r="W9" s="2020"/>
      <c r="X9" s="2020"/>
      <c r="Y9" s="2020"/>
      <c r="Z9" s="2020"/>
      <c r="AA9" s="2021"/>
    </row>
    <row r="10" spans="1:28" ht="13.5" customHeight="1" x14ac:dyDescent="0.2">
      <c r="A10" s="2026" t="s">
        <v>695</v>
      </c>
      <c r="B10" s="2027"/>
      <c r="C10" s="2027"/>
      <c r="D10" s="2027"/>
      <c r="E10" s="2027"/>
      <c r="F10" s="2027"/>
      <c r="G10" s="2027"/>
      <c r="H10" s="2028"/>
      <c r="I10" s="29"/>
      <c r="J10" s="30"/>
      <c r="K10" s="28"/>
      <c r="R10" s="30"/>
      <c r="S10" s="30"/>
      <c r="T10" s="2022"/>
      <c r="U10" s="2007"/>
      <c r="V10" s="2007"/>
      <c r="W10" s="2007"/>
      <c r="X10" s="2007"/>
      <c r="Y10" s="2007"/>
      <c r="Z10" s="2007"/>
      <c r="AA10" s="2013"/>
    </row>
    <row r="11" spans="1:28" ht="14.25" customHeight="1" x14ac:dyDescent="0.2">
      <c r="A11" s="2029" t="s">
        <v>1011</v>
      </c>
      <c r="B11" s="2030"/>
      <c r="C11" s="2030"/>
      <c r="D11" s="2030"/>
      <c r="E11" s="2030"/>
      <c r="F11" s="2030"/>
      <c r="G11" s="2030"/>
      <c r="H11" s="2031"/>
      <c r="I11" s="27"/>
      <c r="J11" s="74"/>
      <c r="K11" s="27"/>
      <c r="O11" s="148" t="s">
        <v>2076</v>
      </c>
      <c r="P11" s="100" t="s">
        <v>210</v>
      </c>
      <c r="Q11" s="30"/>
      <c r="R11" s="28"/>
      <c r="S11" s="27"/>
      <c r="T11" s="2023"/>
      <c r="U11" s="2024"/>
      <c r="V11" s="2024"/>
      <c r="W11" s="2024"/>
      <c r="X11" s="2024"/>
      <c r="Y11" s="2024"/>
      <c r="Z11" s="2024"/>
      <c r="AA11" s="2025"/>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33">
        <v>28006303026</v>
      </c>
      <c r="B13" s="2034"/>
      <c r="C13" s="2034"/>
      <c r="D13" s="2034"/>
      <c r="E13" s="2034"/>
      <c r="F13" s="2034"/>
      <c r="G13" s="2034"/>
      <c r="H13" s="2035"/>
      <c r="I13" s="31"/>
      <c r="J13" s="30"/>
      <c r="K13" s="28"/>
      <c r="L13" s="30"/>
      <c r="M13" s="30"/>
      <c r="N13" s="30"/>
      <c r="O13" s="30"/>
      <c r="P13" s="30"/>
      <c r="Q13" s="30"/>
      <c r="R13" s="30"/>
      <c r="S13" s="30"/>
      <c r="T13" s="2038" t="s">
        <v>2084</v>
      </c>
      <c r="U13" s="2039"/>
      <c r="V13" s="2039"/>
      <c r="W13" s="2039"/>
      <c r="X13" s="2039"/>
      <c r="Y13" s="2040"/>
      <c r="Z13" s="2040"/>
      <c r="AA13" s="2041"/>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32" t="s">
        <v>2077</v>
      </c>
      <c r="B15" s="2036"/>
      <c r="C15" s="2036"/>
      <c r="D15" s="2036"/>
      <c r="E15" s="2036"/>
      <c r="F15" s="2036"/>
      <c r="G15" s="2036"/>
      <c r="H15" s="2037"/>
      <c r="T15" s="2042" t="s">
        <v>2085</v>
      </c>
      <c r="U15" s="1986"/>
      <c r="V15" s="1986"/>
      <c r="W15" s="1986"/>
      <c r="X15" s="1986"/>
      <c r="Y15" s="2043"/>
      <c r="Z15" s="2043"/>
      <c r="AA15" s="2044"/>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1992" t="s">
        <v>2148</v>
      </c>
      <c r="B17" s="1993"/>
      <c r="C17" s="1993"/>
      <c r="D17" s="1993"/>
      <c r="E17" s="1993"/>
      <c r="F17" s="1993"/>
      <c r="G17" s="1993"/>
      <c r="H17" s="2018"/>
      <c r="T17" s="2049" t="s">
        <v>2086</v>
      </c>
      <c r="U17" s="2050"/>
      <c r="V17" s="2050"/>
      <c r="W17" s="2050"/>
      <c r="X17" s="2050"/>
      <c r="Y17" s="2050"/>
      <c r="Z17" s="2050"/>
      <c r="AA17" s="2051"/>
    </row>
    <row r="18" spans="1:27" ht="13.5" customHeight="1" x14ac:dyDescent="0.2">
      <c r="A18" s="85" t="s">
        <v>550</v>
      </c>
      <c r="B18" s="76"/>
      <c r="C18" s="72"/>
      <c r="D18" s="76"/>
      <c r="E18" s="76"/>
      <c r="F18" s="76"/>
      <c r="G18" s="76"/>
      <c r="H18" s="56"/>
      <c r="I18" s="2017" t="s">
        <v>696</v>
      </c>
      <c r="J18" s="1968"/>
      <c r="K18" s="1968"/>
      <c r="L18" s="1968"/>
      <c r="M18" s="1968"/>
      <c r="N18" s="1968"/>
      <c r="O18" s="1968"/>
      <c r="P18" s="1968"/>
      <c r="Q18" s="1968"/>
      <c r="R18" s="1968"/>
      <c r="S18" s="1969"/>
      <c r="T18" s="85" t="s">
        <v>734</v>
      </c>
      <c r="U18" s="51"/>
      <c r="V18" s="72"/>
      <c r="W18" s="50"/>
      <c r="X18" s="85" t="s">
        <v>283</v>
      </c>
      <c r="Y18" s="81"/>
      <c r="Z18" s="159" t="s">
        <v>697</v>
      </c>
      <c r="AA18" s="46"/>
    </row>
    <row r="19" spans="1:27" ht="13.5" customHeight="1" x14ac:dyDescent="0.2">
      <c r="A19" s="2032" t="s">
        <v>2078</v>
      </c>
      <c r="B19" s="1978"/>
      <c r="C19" s="1978"/>
      <c r="D19" s="1978"/>
      <c r="E19" s="1978"/>
      <c r="F19" s="1978"/>
      <c r="G19" s="1978"/>
      <c r="H19" s="1958"/>
      <c r="I19" s="30"/>
      <c r="J19" s="99"/>
      <c r="K19" s="40"/>
      <c r="L19" s="38"/>
      <c r="M19" s="112" t="s">
        <v>332</v>
      </c>
      <c r="P19" s="27"/>
      <c r="Q19" s="27"/>
      <c r="R19" s="27"/>
      <c r="S19" s="31"/>
      <c r="T19" s="2032" t="s">
        <v>2087</v>
      </c>
      <c r="U19" s="1957"/>
      <c r="V19" s="1957"/>
      <c r="W19" s="1958"/>
      <c r="X19" s="2047" t="s">
        <v>2088</v>
      </c>
      <c r="Y19" s="2048"/>
      <c r="Z19" s="2045">
        <v>61326</v>
      </c>
      <c r="AA19" s="2046"/>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1956" t="s">
        <v>2079</v>
      </c>
      <c r="B21" s="1957"/>
      <c r="C21" s="1957"/>
      <c r="D21" s="1957"/>
      <c r="E21" s="1957"/>
      <c r="F21" s="1957"/>
      <c r="G21" s="1957"/>
      <c r="H21" s="1958"/>
      <c r="I21" s="2012" t="s">
        <v>698</v>
      </c>
      <c r="J21" s="2007"/>
      <c r="K21" s="2007"/>
      <c r="L21" s="2007"/>
      <c r="M21" s="2007"/>
      <c r="N21" s="2007"/>
      <c r="O21" s="2007"/>
      <c r="P21" s="2007"/>
      <c r="Q21" s="2007"/>
      <c r="R21" s="2007"/>
      <c r="S21" s="2013"/>
      <c r="T21" s="2056" t="s">
        <v>2089</v>
      </c>
      <c r="U21" s="2057"/>
      <c r="V21" s="2057"/>
      <c r="W21" s="2057"/>
      <c r="X21" s="2062" t="s">
        <v>2090</v>
      </c>
      <c r="Y21" s="2063"/>
      <c r="Z21" s="2063"/>
      <c r="AA21" s="2064"/>
    </row>
    <row r="22" spans="1:27" ht="13.5" customHeight="1" x14ac:dyDescent="0.2">
      <c r="A22" s="87" t="s">
        <v>551</v>
      </c>
      <c r="B22" s="59"/>
      <c r="C22" s="59"/>
      <c r="D22" s="59"/>
      <c r="E22" s="59"/>
      <c r="F22" s="59"/>
      <c r="G22" s="59"/>
      <c r="H22" s="60"/>
      <c r="I22" s="2014" t="s">
        <v>1503</v>
      </c>
      <c r="J22" s="2015"/>
      <c r="K22" s="2015"/>
      <c r="L22" s="2015"/>
      <c r="M22" s="2015"/>
      <c r="N22" s="2015"/>
      <c r="O22" s="2015"/>
      <c r="P22" s="2015"/>
      <c r="Q22" s="2015"/>
      <c r="R22" s="2015"/>
      <c r="S22" s="2016"/>
      <c r="T22" s="85" t="s">
        <v>1595</v>
      </c>
      <c r="U22" s="51"/>
      <c r="V22" s="72"/>
      <c r="W22" s="51"/>
      <c r="X22" s="160" t="s">
        <v>1384</v>
      </c>
      <c r="Z22" s="45"/>
      <c r="AA22" s="46"/>
    </row>
    <row r="23" spans="1:27" ht="13.5" customHeight="1" x14ac:dyDescent="0.2">
      <c r="A23" s="2009" t="s">
        <v>2080</v>
      </c>
      <c r="B23" s="2010"/>
      <c r="C23" s="2010"/>
      <c r="D23" s="2010"/>
      <c r="E23" s="2010"/>
      <c r="F23" s="2010"/>
      <c r="G23" s="2010"/>
      <c r="H23" s="2011"/>
      <c r="T23" s="1992">
        <v>66.004501000000005</v>
      </c>
      <c r="U23" s="2055"/>
      <c r="V23" s="2055"/>
      <c r="W23" s="2055"/>
      <c r="X23" s="2059">
        <v>43434</v>
      </c>
      <c r="Y23" s="2060"/>
      <c r="Z23" s="2060"/>
      <c r="AA23" s="2061"/>
    </row>
    <row r="24" spans="1:27" ht="14.1" customHeight="1" x14ac:dyDescent="0.2">
      <c r="A24" s="88" t="s">
        <v>697</v>
      </c>
      <c r="B24" s="49"/>
      <c r="C24" s="49"/>
      <c r="D24" s="49"/>
      <c r="E24" s="49"/>
      <c r="F24" s="49"/>
      <c r="G24" s="49"/>
      <c r="H24" s="61"/>
      <c r="J24" s="1979">
        <f>IF(B5="x",IF(AUDITCHECK!D29="AFR form Incomplete.","",IF(AUDITCHECK!D29="Deficit reduction plan is required.","School District must complete a deficit reduction plan in the 2018-2019 Budget",)),"")</f>
        <v>0</v>
      </c>
      <c r="K24" s="1979"/>
      <c r="L24" s="1979"/>
      <c r="M24" s="1979"/>
      <c r="N24" s="1979"/>
      <c r="O24" s="1979"/>
      <c r="P24" s="1979"/>
      <c r="Q24" s="1979"/>
      <c r="R24" s="1979"/>
      <c r="S24" s="1980"/>
      <c r="T24" s="105" t="s">
        <v>551</v>
      </c>
      <c r="U24" s="106"/>
      <c r="V24" s="106"/>
      <c r="W24" s="106"/>
      <c r="X24" s="107"/>
      <c r="Y24" s="107"/>
      <c r="Z24" s="107"/>
      <c r="AA24" s="108"/>
    </row>
    <row r="25" spans="1:27" ht="14.1" customHeight="1" x14ac:dyDescent="0.2">
      <c r="A25" s="1956">
        <v>61330</v>
      </c>
      <c r="B25" s="1957"/>
      <c r="C25" s="1957"/>
      <c r="D25" s="1957"/>
      <c r="E25" s="1957"/>
      <c r="F25" s="1957"/>
      <c r="G25" s="1957"/>
      <c r="H25" s="1958"/>
      <c r="I25" s="113"/>
      <c r="J25" s="1981"/>
      <c r="K25" s="1981"/>
      <c r="L25" s="1981"/>
      <c r="M25" s="1981"/>
      <c r="N25" s="1981"/>
      <c r="O25" s="1981"/>
      <c r="P25" s="1981"/>
      <c r="Q25" s="1981"/>
      <c r="R25" s="1981"/>
      <c r="S25" s="1982"/>
      <c r="T25" s="2052" t="s">
        <v>2091</v>
      </c>
      <c r="U25" s="2053"/>
      <c r="V25" s="2053"/>
      <c r="W25" s="2053"/>
      <c r="X25" s="2053"/>
      <c r="Y25" s="2053"/>
      <c r="Z25" s="2053"/>
      <c r="AA25" s="205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1967" t="s">
        <v>1590</v>
      </c>
      <c r="J27" s="1968"/>
      <c r="K27" s="1968"/>
      <c r="L27" s="1968"/>
      <c r="M27" s="1968"/>
      <c r="N27" s="1968"/>
      <c r="O27" s="1968"/>
      <c r="P27" s="1968"/>
      <c r="Q27" s="1968"/>
      <c r="R27" s="1968"/>
      <c r="S27" s="1969"/>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c r="F29" s="141" t="s">
        <v>1382</v>
      </c>
      <c r="G29" s="114"/>
      <c r="I29" s="54"/>
      <c r="J29" s="102"/>
      <c r="K29" s="28" t="s">
        <v>596</v>
      </c>
      <c r="L29" s="148" t="s">
        <v>2076</v>
      </c>
      <c r="M29" s="40" t="s">
        <v>101</v>
      </c>
      <c r="N29" s="32" t="s">
        <v>1603</v>
      </c>
      <c r="O29" s="32"/>
      <c r="P29" s="32"/>
      <c r="Q29" s="32"/>
      <c r="R29" s="32"/>
      <c r="S29" s="123"/>
      <c r="T29" s="6"/>
      <c r="U29" s="6"/>
      <c r="V29" s="6"/>
      <c r="W29" s="6"/>
      <c r="X29" s="6"/>
      <c r="Y29" s="6"/>
      <c r="Z29" s="6"/>
      <c r="AA29" s="132"/>
    </row>
    <row r="30" spans="1:27" ht="13.5" customHeight="1" x14ac:dyDescent="0.2">
      <c r="A30" s="153"/>
      <c r="B30" s="136" t="s">
        <v>2076</v>
      </c>
      <c r="C30" s="124" t="s">
        <v>1225</v>
      </c>
      <c r="D30" s="28"/>
      <c r="E30" s="28"/>
      <c r="F30" s="140"/>
      <c r="G30" s="114"/>
      <c r="H30" s="114"/>
      <c r="I30" s="54"/>
      <c r="J30" s="102"/>
      <c r="K30" s="28" t="s">
        <v>596</v>
      </c>
      <c r="L30" s="148" t="s">
        <v>2076</v>
      </c>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02"/>
      <c r="K31" s="40" t="s">
        <v>939</v>
      </c>
      <c r="L31" s="148" t="s">
        <v>2076</v>
      </c>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2076</v>
      </c>
      <c r="C34" s="32" t="s">
        <v>562</v>
      </c>
      <c r="D34" s="31"/>
      <c r="E34" s="31"/>
      <c r="F34" s="31"/>
      <c r="G34" s="31"/>
      <c r="H34" s="31"/>
      <c r="I34" s="54"/>
      <c r="J34" s="83"/>
      <c r="L34" s="101"/>
      <c r="M34" s="93" t="s">
        <v>730</v>
      </c>
      <c r="N34" s="30"/>
      <c r="O34" s="30"/>
      <c r="P34" s="30"/>
      <c r="Q34" s="30"/>
      <c r="R34" s="30"/>
      <c r="S34" s="55"/>
      <c r="T34" s="30"/>
      <c r="U34" s="102"/>
      <c r="V34" s="32" t="s">
        <v>435</v>
      </c>
      <c r="W34" s="30"/>
      <c r="X34" s="30"/>
      <c r="AA34" s="48"/>
    </row>
    <row r="35" spans="1:27" ht="13.5" customHeight="1" x14ac:dyDescent="0.2">
      <c r="A35" s="54"/>
      <c r="B35" s="30"/>
      <c r="C35" s="30"/>
      <c r="D35" s="34"/>
      <c r="E35" s="34"/>
      <c r="F35" s="34"/>
      <c r="G35" s="34"/>
      <c r="H35" s="34"/>
      <c r="I35" s="54"/>
      <c r="J35" s="33"/>
      <c r="L35" s="32" t="s">
        <v>731</v>
      </c>
      <c r="N35" s="33"/>
      <c r="O35" s="33"/>
      <c r="P35" s="1978"/>
      <c r="Q35" s="1957"/>
      <c r="R35" s="195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1992" t="s">
        <v>2081</v>
      </c>
      <c r="B38" s="1993"/>
      <c r="C38" s="1993"/>
      <c r="D38" s="1993"/>
      <c r="E38" s="1993"/>
      <c r="F38" s="1957"/>
      <c r="G38" s="1957"/>
      <c r="H38" s="1958"/>
      <c r="I38" s="1985"/>
      <c r="J38" s="1986"/>
      <c r="K38" s="1986"/>
      <c r="L38" s="1986"/>
      <c r="M38" s="1986"/>
      <c r="N38" s="1986"/>
      <c r="O38" s="1986"/>
      <c r="P38" s="1987"/>
      <c r="Q38" s="1987"/>
      <c r="R38" s="1987"/>
      <c r="S38" s="1988"/>
      <c r="T38" s="2042"/>
      <c r="U38" s="1986"/>
      <c r="V38" s="1986"/>
      <c r="W38" s="1986"/>
      <c r="X38" s="1987"/>
      <c r="Y38" s="1987"/>
      <c r="Z38" s="1987"/>
      <c r="AA38" s="1988"/>
    </row>
    <row r="39" spans="1:27" ht="12" customHeight="1" x14ac:dyDescent="0.2">
      <c r="A39" s="1962" t="s">
        <v>551</v>
      </c>
      <c r="B39" s="1963"/>
      <c r="C39" s="72"/>
      <c r="D39" s="69"/>
      <c r="E39" s="69"/>
      <c r="F39" s="79"/>
      <c r="G39" s="69"/>
      <c r="H39" s="56"/>
      <c r="I39" s="1962" t="s">
        <v>551</v>
      </c>
      <c r="J39" s="1963"/>
      <c r="K39" s="1963"/>
      <c r="L39" s="1963"/>
      <c r="M39" s="1963"/>
      <c r="N39" s="67"/>
      <c r="O39" s="72"/>
      <c r="P39" s="72"/>
      <c r="Q39" s="78"/>
      <c r="R39" s="72"/>
      <c r="S39" s="56"/>
      <c r="T39" s="72" t="s">
        <v>551</v>
      </c>
      <c r="U39" s="51"/>
      <c r="V39" s="72"/>
      <c r="W39" s="50"/>
      <c r="X39" s="78"/>
      <c r="Y39" s="45"/>
      <c r="Z39" s="45"/>
      <c r="AA39" s="46"/>
    </row>
    <row r="40" spans="1:27" ht="13.5" customHeight="1" x14ac:dyDescent="0.2">
      <c r="A40" s="1970" t="s">
        <v>2080</v>
      </c>
      <c r="B40" s="1971"/>
      <c r="C40" s="1972"/>
      <c r="D40" s="1972"/>
      <c r="E40" s="1972"/>
      <c r="F40" s="1973"/>
      <c r="G40" s="1973"/>
      <c r="H40" s="1974"/>
      <c r="I40" s="1995"/>
      <c r="J40" s="1996"/>
      <c r="K40" s="1996"/>
      <c r="L40" s="1996"/>
      <c r="M40" s="1996"/>
      <c r="N40" s="1996"/>
      <c r="O40" s="1996"/>
      <c r="P40" s="1996"/>
      <c r="Q40" s="1996"/>
      <c r="R40" s="1996"/>
      <c r="S40" s="1997"/>
      <c r="T40" s="1995"/>
      <c r="U40" s="2058"/>
      <c r="V40" s="1996"/>
      <c r="W40" s="1996"/>
      <c r="X40" s="1996"/>
      <c r="Y40" s="1996"/>
      <c r="Z40" s="1996"/>
      <c r="AA40" s="1997"/>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1984" t="s">
        <v>2082</v>
      </c>
      <c r="B42" s="1976"/>
      <c r="C42" s="1977"/>
      <c r="D42" s="1975" t="s">
        <v>2083</v>
      </c>
      <c r="E42" s="1976"/>
      <c r="F42" s="1976"/>
      <c r="G42" s="1976"/>
      <c r="H42" s="1977"/>
      <c r="I42" s="1959"/>
      <c r="J42" s="1960"/>
      <c r="K42" s="1960"/>
      <c r="L42" s="1960"/>
      <c r="M42" s="1960"/>
      <c r="N42" s="1960"/>
      <c r="O42" s="1961"/>
      <c r="P42" s="1994"/>
      <c r="Q42" s="1960"/>
      <c r="R42" s="1960"/>
      <c r="S42" s="1961"/>
      <c r="T42" s="1959"/>
      <c r="U42" s="1960"/>
      <c r="V42" s="1960"/>
      <c r="W42" s="1961"/>
      <c r="X42" s="1994"/>
      <c r="Y42" s="1960"/>
      <c r="Z42" s="1960"/>
      <c r="AA42" s="1961"/>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1989"/>
      <c r="B44" s="1990"/>
      <c r="C44" s="1990"/>
      <c r="D44" s="1990"/>
      <c r="E44" s="1990"/>
      <c r="F44" s="1990"/>
      <c r="G44" s="1990"/>
      <c r="H44" s="1991"/>
      <c r="I44" s="1964"/>
      <c r="J44" s="1965"/>
      <c r="K44" s="1965"/>
      <c r="L44" s="1965"/>
      <c r="M44" s="1965"/>
      <c r="N44" s="1965"/>
      <c r="O44" s="1965"/>
      <c r="P44" s="1965"/>
      <c r="Q44" s="1965"/>
      <c r="R44" s="1965"/>
      <c r="S44" s="1966"/>
      <c r="T44" s="1964"/>
      <c r="U44" s="1983"/>
      <c r="V44" s="1983"/>
      <c r="W44" s="1983"/>
      <c r="X44" s="1983"/>
      <c r="Y44" s="1983"/>
      <c r="Z44" s="1965"/>
      <c r="AA44" s="1966"/>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2066</v>
      </c>
      <c r="R47" s="41"/>
      <c r="S47" s="41"/>
      <c r="T47" s="41"/>
      <c r="U47" s="41"/>
      <c r="V47" s="41"/>
      <c r="W47" s="41"/>
      <c r="X47" s="41"/>
      <c r="Y47" s="41"/>
      <c r="Z47" s="41"/>
      <c r="AA47" s="41"/>
    </row>
    <row r="48" spans="1:27" x14ac:dyDescent="0.2">
      <c r="Q48" s="41" t="s">
        <v>2067</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4" t="s">
        <v>106</v>
      </c>
    </row>
    <row r="2" spans="1:6" ht="39.75" customHeight="1" x14ac:dyDescent="0.2">
      <c r="A2" s="2200" t="s">
        <v>1904</v>
      </c>
      <c r="B2" s="1550" t="s">
        <v>2036</v>
      </c>
      <c r="C2" s="715" t="s">
        <v>1909</v>
      </c>
      <c r="D2" s="715" t="s">
        <v>1910</v>
      </c>
      <c r="E2" s="715" t="s">
        <v>1911</v>
      </c>
      <c r="F2" s="715" t="s">
        <v>1912</v>
      </c>
    </row>
    <row r="3" spans="1:6" ht="12" customHeight="1" x14ac:dyDescent="0.2">
      <c r="A3" s="2201"/>
      <c r="B3" s="1547"/>
      <c r="C3" s="1548"/>
      <c r="D3" s="1549" t="s">
        <v>274</v>
      </c>
      <c r="E3" s="1548"/>
      <c r="F3" s="1549" t="s">
        <v>275</v>
      </c>
    </row>
    <row r="4" spans="1:6" ht="13.7" customHeight="1" x14ac:dyDescent="0.2">
      <c r="A4" s="716" t="s">
        <v>1216</v>
      </c>
      <c r="B4" s="1771">
        <f>'Revenues 9-14'!C5</f>
        <v>1380316</v>
      </c>
      <c r="C4" s="1546"/>
      <c r="D4" s="1774">
        <f>B4-C4</f>
        <v>1380316</v>
      </c>
      <c r="E4" s="1546">
        <f>44547297*0.0319885</f>
        <v>1425001.2100845</v>
      </c>
      <c r="F4" s="1774">
        <f>E4-C4</f>
        <v>1425001.2100845</v>
      </c>
    </row>
    <row r="5" spans="1:6" ht="13.7" customHeight="1" x14ac:dyDescent="0.2">
      <c r="A5" s="716" t="s">
        <v>924</v>
      </c>
      <c r="B5" s="1772">
        <f>'Revenues 9-14'!D5</f>
        <v>292794</v>
      </c>
      <c r="C5" s="585"/>
      <c r="D5" s="1775">
        <f t="shared" ref="D5:D18" si="0">B5-C5</f>
        <v>292794</v>
      </c>
      <c r="E5" s="585">
        <f>44547297*0.0067345</f>
        <v>300003.77164649998</v>
      </c>
      <c r="F5" s="1775">
        <f>E5-C5</f>
        <v>300003.77164649998</v>
      </c>
    </row>
    <row r="6" spans="1:6" ht="13.7" customHeight="1" x14ac:dyDescent="0.2">
      <c r="A6" s="716" t="s">
        <v>430</v>
      </c>
      <c r="B6" s="1772">
        <f>'Revenues 9-14'!E5</f>
        <v>151314</v>
      </c>
      <c r="C6" s="585"/>
      <c r="D6" s="1775">
        <f t="shared" si="0"/>
        <v>151314</v>
      </c>
      <c r="E6" s="585">
        <f>44547297*0.0033673</f>
        <v>150004.11318810002</v>
      </c>
      <c r="F6" s="1775">
        <f t="shared" ref="F6:F18" si="1">E6-C6</f>
        <v>150004.11318810002</v>
      </c>
    </row>
    <row r="7" spans="1:6" ht="13.7" customHeight="1" x14ac:dyDescent="0.2">
      <c r="A7" s="716" t="s">
        <v>157</v>
      </c>
      <c r="B7" s="1772">
        <f>'Revenues 9-14'!F5</f>
        <v>83654</v>
      </c>
      <c r="C7" s="585"/>
      <c r="D7" s="1775">
        <f t="shared" si="0"/>
        <v>83654</v>
      </c>
      <c r="E7" s="585">
        <f>44547297*0.0019081</f>
        <v>85000.697405700004</v>
      </c>
      <c r="F7" s="1775">
        <f t="shared" si="1"/>
        <v>85000.697405700004</v>
      </c>
    </row>
    <row r="8" spans="1:6" ht="13.7" customHeight="1" x14ac:dyDescent="0.2">
      <c r="A8" s="716" t="s">
        <v>1240</v>
      </c>
      <c r="B8" s="1772">
        <f>'Revenues 9-14'!G5</f>
        <v>69686</v>
      </c>
      <c r="C8" s="585"/>
      <c r="D8" s="1775">
        <f t="shared" si="0"/>
        <v>69686</v>
      </c>
      <c r="E8" s="585">
        <f>44547297*0.0015714</f>
        <v>70001.622505799998</v>
      </c>
      <c r="F8" s="1775">
        <f t="shared" si="1"/>
        <v>70001.622505799998</v>
      </c>
    </row>
    <row r="9" spans="1:6" ht="13.7" customHeight="1" x14ac:dyDescent="0.2">
      <c r="A9" s="716" t="s">
        <v>427</v>
      </c>
      <c r="B9" s="1772">
        <f>'Revenues 9-14'!H5</f>
        <v>0</v>
      </c>
      <c r="C9" s="585"/>
      <c r="D9" s="1775">
        <f t="shared" si="0"/>
        <v>0</v>
      </c>
      <c r="E9" s="585"/>
      <c r="F9" s="1775">
        <f t="shared" si="1"/>
        <v>0</v>
      </c>
    </row>
    <row r="10" spans="1:6" ht="13.7" customHeight="1" x14ac:dyDescent="0.2">
      <c r="A10" s="716" t="s">
        <v>426</v>
      </c>
      <c r="B10" s="1772">
        <f>'Revenues 9-14'!I5</f>
        <v>20909</v>
      </c>
      <c r="C10" s="585"/>
      <c r="D10" s="1775">
        <f t="shared" si="0"/>
        <v>20909</v>
      </c>
      <c r="E10" s="585">
        <f>44547297*0.0004715</f>
        <v>21004.050535500002</v>
      </c>
      <c r="F10" s="1775">
        <f t="shared" si="1"/>
        <v>21004.050535500002</v>
      </c>
    </row>
    <row r="11" spans="1:6" x14ac:dyDescent="0.2">
      <c r="A11" s="716" t="s">
        <v>428</v>
      </c>
      <c r="B11" s="1772">
        <f>'Revenues 9-14'!J5</f>
        <v>245895</v>
      </c>
      <c r="C11" s="585"/>
      <c r="D11" s="1775">
        <f t="shared" si="0"/>
        <v>245895</v>
      </c>
      <c r="E11" s="585">
        <f>44547297*0.0070263</f>
        <v>313002.67291110003</v>
      </c>
      <c r="F11" s="1775">
        <f t="shared" si="1"/>
        <v>313002.67291110003</v>
      </c>
    </row>
    <row r="12" spans="1:6" ht="13.7" customHeight="1" x14ac:dyDescent="0.2">
      <c r="A12" s="716" t="s">
        <v>159</v>
      </c>
      <c r="B12" s="1772">
        <f>'Revenues 9-14'!K5</f>
        <v>20909</v>
      </c>
      <c r="C12" s="585"/>
      <c r="D12" s="1775">
        <f t="shared" si="0"/>
        <v>20909</v>
      </c>
      <c r="E12" s="585">
        <f>44547297*0.0004715</f>
        <v>21004.050535500002</v>
      </c>
      <c r="F12" s="1775">
        <f t="shared" si="1"/>
        <v>21004.050535500002</v>
      </c>
    </row>
    <row r="13" spans="1:6" ht="13.7" customHeight="1" x14ac:dyDescent="0.2">
      <c r="A13" s="716" t="s">
        <v>992</v>
      </c>
      <c r="B13" s="1772">
        <f>SUM('Revenues 9-14'!C6:D6)</f>
        <v>20909</v>
      </c>
      <c r="C13" s="585"/>
      <c r="D13" s="1775">
        <f t="shared" si="0"/>
        <v>20909</v>
      </c>
      <c r="E13" s="585">
        <f>44547297*0.0004715</f>
        <v>21004.050535500002</v>
      </c>
      <c r="F13" s="1775">
        <f t="shared" si="1"/>
        <v>21004.050535500002</v>
      </c>
    </row>
    <row r="14" spans="1:6" ht="13.7" customHeight="1" x14ac:dyDescent="0.2">
      <c r="A14" s="716" t="s">
        <v>429</v>
      </c>
      <c r="B14" s="1772">
        <f>SUM('Revenues 9-14'!C7:D7,'Revenues 9-14'!F7:H7)</f>
        <v>16727</v>
      </c>
      <c r="C14" s="585"/>
      <c r="D14" s="1775">
        <f t="shared" si="0"/>
        <v>16727</v>
      </c>
      <c r="E14" s="585">
        <f>44547297*0.0003817</f>
        <v>17003.703264899999</v>
      </c>
      <c r="F14" s="1775">
        <f t="shared" si="1"/>
        <v>17003.703264899999</v>
      </c>
    </row>
    <row r="15" spans="1:6" ht="13.7" customHeight="1" x14ac:dyDescent="0.2">
      <c r="A15" s="716" t="s">
        <v>1219</v>
      </c>
      <c r="B15" s="1772">
        <f>'Revenues 9-14'!E9</f>
        <v>0</v>
      </c>
      <c r="C15" s="585"/>
      <c r="D15" s="1775">
        <f t="shared" si="0"/>
        <v>0</v>
      </c>
      <c r="E15" s="585"/>
      <c r="F15" s="1775">
        <f t="shared" si="1"/>
        <v>0</v>
      </c>
    </row>
    <row r="16" spans="1:6" ht="13.7" customHeight="1" x14ac:dyDescent="0.2">
      <c r="A16" s="716" t="s">
        <v>1220</v>
      </c>
      <c r="B16" s="1772">
        <f>'Revenues 9-14'!G8</f>
        <v>89600</v>
      </c>
      <c r="C16" s="585"/>
      <c r="D16" s="1775">
        <f t="shared" si="0"/>
        <v>89600</v>
      </c>
      <c r="E16" s="585">
        <f>44547297*0.0020204</f>
        <v>90003.358858799998</v>
      </c>
      <c r="F16" s="1775">
        <f t="shared" si="1"/>
        <v>90003.358858799998</v>
      </c>
    </row>
    <row r="17" spans="1:6" ht="13.7" customHeight="1" x14ac:dyDescent="0.2">
      <c r="A17" s="716" t="s">
        <v>1221</v>
      </c>
      <c r="B17" s="1772">
        <f>'Revenues 9-14'!C10</f>
        <v>0</v>
      </c>
      <c r="C17" s="585"/>
      <c r="D17" s="1775">
        <f t="shared" si="0"/>
        <v>0</v>
      </c>
      <c r="E17" s="585"/>
      <c r="F17" s="1775">
        <f t="shared" si="1"/>
        <v>0</v>
      </c>
    </row>
    <row r="18" spans="1:6" ht="13.7" customHeight="1" x14ac:dyDescent="0.2">
      <c r="A18" s="716" t="s">
        <v>785</v>
      </c>
      <c r="B18" s="1772">
        <f>SUM('Revenues 9-14'!C11:K11)</f>
        <v>0</v>
      </c>
      <c r="C18" s="585"/>
      <c r="D18" s="1775">
        <f t="shared" si="0"/>
        <v>0</v>
      </c>
      <c r="E18" s="585"/>
      <c r="F18" s="1775">
        <f t="shared" si="1"/>
        <v>0</v>
      </c>
    </row>
    <row r="19" spans="1:6" ht="13.7" customHeight="1" thickBot="1" x14ac:dyDescent="0.25">
      <c r="A19" s="1776" t="s">
        <v>1222</v>
      </c>
      <c r="B19" s="1773">
        <f>SUM(B4:B18)</f>
        <v>2392713</v>
      </c>
      <c r="C19" s="1773">
        <f>SUM(C4:C18)</f>
        <v>0</v>
      </c>
      <c r="D19" s="1773">
        <f>SUM(D4:D18)</f>
        <v>2392713</v>
      </c>
      <c r="E19" s="1773">
        <f>SUM(E4:E18)</f>
        <v>2513033.3014719002</v>
      </c>
      <c r="F19" s="1773">
        <f>SUM(F4:F18)</f>
        <v>2513033.3014719002</v>
      </c>
    </row>
    <row r="20" spans="1:6" ht="13.5" thickTop="1" x14ac:dyDescent="0.2">
      <c r="B20" s="714"/>
      <c r="F20" s="717"/>
    </row>
    <row r="21" spans="1:6" x14ac:dyDescent="0.2">
      <c r="A21" s="718" t="s">
        <v>1914</v>
      </c>
      <c r="B21" s="719"/>
      <c r="F21" s="717"/>
    </row>
    <row r="22" spans="1:6" x14ac:dyDescent="0.2">
      <c r="A22" s="720" t="s">
        <v>648</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9" colorId="8" zoomScale="110" zoomScaleNormal="110" workbookViewId="0">
      <selection activeCell="J39" sqref="J39"/>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2" t="s">
        <v>649</v>
      </c>
      <c r="B1" s="2220"/>
      <c r="C1" s="722"/>
    </row>
    <row r="2" spans="1:7" ht="33.75" x14ac:dyDescent="0.2">
      <c r="A2" s="2227" t="s">
        <v>1904</v>
      </c>
      <c r="B2" s="2228"/>
      <c r="C2" s="1905" t="s">
        <v>2037</v>
      </c>
      <c r="D2" s="724" t="s">
        <v>2044</v>
      </c>
      <c r="E2" s="724" t="s">
        <v>2045</v>
      </c>
      <c r="F2" s="1905" t="s">
        <v>2038</v>
      </c>
    </row>
    <row r="3" spans="1:7" ht="15.75" customHeight="1" x14ac:dyDescent="0.2">
      <c r="A3" s="2229" t="s">
        <v>1175</v>
      </c>
      <c r="B3" s="2230"/>
      <c r="C3" s="2223"/>
      <c r="D3" s="2224"/>
      <c r="E3" s="2224"/>
      <c r="F3" s="2225"/>
    </row>
    <row r="4" spans="1:7" ht="12.75" customHeight="1" thickBot="1" x14ac:dyDescent="0.25">
      <c r="A4" s="2217" t="s">
        <v>650</v>
      </c>
      <c r="B4" s="2218"/>
      <c r="C4" s="581"/>
      <c r="D4" s="581"/>
      <c r="E4" s="581"/>
      <c r="F4" s="1777">
        <f>SUM(C4+D4)-E4</f>
        <v>0</v>
      </c>
    </row>
    <row r="5" spans="1:7" ht="15.75" customHeight="1" thickTop="1" x14ac:dyDescent="0.2">
      <c r="A5" s="2221" t="s">
        <v>1171</v>
      </c>
      <c r="B5" s="2216"/>
      <c r="C5" s="2210"/>
      <c r="D5" s="2211"/>
      <c r="E5" s="2211"/>
      <c r="F5" s="2212"/>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528</v>
      </c>
      <c r="B8" s="726"/>
      <c r="C8" s="727"/>
      <c r="D8" s="585"/>
      <c r="E8" s="727"/>
      <c r="F8" s="1777">
        <f t="shared" si="0"/>
        <v>0</v>
      </c>
    </row>
    <row r="9" spans="1:7" ht="12.75" customHeight="1" thickTop="1" thickBot="1" x14ac:dyDescent="0.25">
      <c r="A9" s="725" t="s">
        <v>529</v>
      </c>
      <c r="B9" s="726"/>
      <c r="C9" s="727"/>
      <c r="D9" s="585"/>
      <c r="E9" s="727"/>
      <c r="F9" s="1777">
        <f t="shared" si="0"/>
        <v>0</v>
      </c>
    </row>
    <row r="10" spans="1:7" ht="12.75" customHeight="1" thickTop="1" thickBot="1" x14ac:dyDescent="0.25">
      <c r="A10" s="725" t="s">
        <v>530</v>
      </c>
      <c r="B10" s="726"/>
      <c r="C10" s="727"/>
      <c r="D10" s="585"/>
      <c r="E10" s="727"/>
      <c r="F10" s="1777">
        <f t="shared" si="0"/>
        <v>0</v>
      </c>
    </row>
    <row r="11" spans="1:7" ht="12.75" customHeight="1" thickTop="1" thickBot="1" x14ac:dyDescent="0.25">
      <c r="A11" s="725" t="s">
        <v>358</v>
      </c>
      <c r="B11" s="726"/>
      <c r="C11" s="727"/>
      <c r="D11" s="585"/>
      <c r="E11" s="727"/>
      <c r="F11" s="1777">
        <f t="shared" si="0"/>
        <v>0</v>
      </c>
    </row>
    <row r="12" spans="1:7" ht="12.75" customHeight="1" thickTop="1" thickBot="1" x14ac:dyDescent="0.25">
      <c r="A12" s="725" t="s">
        <v>1218</v>
      </c>
      <c r="B12" s="726"/>
      <c r="C12" s="727"/>
      <c r="D12" s="585"/>
      <c r="E12" s="727"/>
      <c r="F12" s="1777">
        <f t="shared" si="0"/>
        <v>0</v>
      </c>
    </row>
    <row r="13" spans="1:7" ht="12.75" customHeight="1" thickTop="1" thickBot="1" x14ac:dyDescent="0.25">
      <c r="A13" s="725" t="s">
        <v>405</v>
      </c>
      <c r="B13" s="726"/>
      <c r="C13" s="727"/>
      <c r="D13" s="585"/>
      <c r="E13" s="727"/>
      <c r="F13" s="1777">
        <f t="shared" si="0"/>
        <v>0</v>
      </c>
    </row>
    <row r="14" spans="1:7" ht="12.75" customHeight="1" thickTop="1" thickBot="1" x14ac:dyDescent="0.25">
      <c r="A14" s="725" t="s">
        <v>467</v>
      </c>
      <c r="B14" s="726"/>
      <c r="C14" s="727"/>
      <c r="D14" s="585"/>
      <c r="E14" s="727"/>
      <c r="F14" s="1777">
        <f t="shared" si="0"/>
        <v>0</v>
      </c>
    </row>
    <row r="15" spans="1:7" ht="14.25" thickTop="1" thickBot="1" x14ac:dyDescent="0.25">
      <c r="A15" s="2213" t="s">
        <v>651</v>
      </c>
      <c r="B15" s="2214"/>
      <c r="C15" s="1777">
        <f>SUM(C6:C14)</f>
        <v>0</v>
      </c>
      <c r="D15" s="1777">
        <f>SUM(D6:D14)</f>
        <v>0</v>
      </c>
      <c r="E15" s="1777">
        <f>SUM(E6:E14)</f>
        <v>0</v>
      </c>
      <c r="F15" s="1777">
        <f>SUM(F6:F14)</f>
        <v>0</v>
      </c>
      <c r="G15" s="552"/>
    </row>
    <row r="16" spans="1:7" s="202" customFormat="1" ht="15.75" customHeight="1" thickTop="1" x14ac:dyDescent="0.2">
      <c r="A16" s="2226" t="s">
        <v>1172</v>
      </c>
      <c r="B16" s="2216"/>
      <c r="C16" s="2210"/>
      <c r="D16" s="2211"/>
      <c r="E16" s="2211"/>
      <c r="F16" s="2212"/>
    </row>
    <row r="17" spans="1:11" ht="12.75" customHeight="1" thickBot="1" x14ac:dyDescent="0.25">
      <c r="A17" s="2208" t="s">
        <v>66</v>
      </c>
      <c r="B17" s="2209"/>
      <c r="C17" s="727"/>
      <c r="D17" s="585"/>
      <c r="E17" s="727"/>
      <c r="F17" s="1777">
        <f>SUM(C17+D17)-E17</f>
        <v>0</v>
      </c>
    </row>
    <row r="18" spans="1:11" ht="12.75" customHeight="1" thickTop="1" thickBot="1" x14ac:dyDescent="0.25">
      <c r="A18" s="2208" t="s">
        <v>6</v>
      </c>
      <c r="B18" s="2209"/>
      <c r="C18" s="727"/>
      <c r="D18" s="585"/>
      <c r="E18" s="727"/>
      <c r="F18" s="1777">
        <f>SUM(C18+D18)-E18</f>
        <v>0</v>
      </c>
    </row>
    <row r="19" spans="1:11" ht="12.75" customHeight="1" thickTop="1" thickBot="1" x14ac:dyDescent="0.25">
      <c r="A19" s="2208" t="s">
        <v>405</v>
      </c>
      <c r="B19" s="2209"/>
      <c r="C19" s="727"/>
      <c r="D19" s="585"/>
      <c r="E19" s="727"/>
      <c r="F19" s="1777">
        <f>SUM(C19+D19)-E19</f>
        <v>0</v>
      </c>
    </row>
    <row r="20" spans="1:11" ht="12.75" customHeight="1" thickTop="1" thickBot="1" x14ac:dyDescent="0.25">
      <c r="A20" s="2208" t="s">
        <v>467</v>
      </c>
      <c r="B20" s="2209"/>
      <c r="C20" s="727"/>
      <c r="D20" s="585"/>
      <c r="E20" s="727"/>
      <c r="F20" s="1777">
        <f>SUM(C20+D20)-E20</f>
        <v>0</v>
      </c>
    </row>
    <row r="21" spans="1:11" ht="14.25" thickTop="1" thickBot="1" x14ac:dyDescent="0.25">
      <c r="A21" s="2213" t="s">
        <v>652</v>
      </c>
      <c r="B21" s="2214"/>
      <c r="C21" s="1777">
        <f>SUM(C17:C20)</f>
        <v>0</v>
      </c>
      <c r="D21" s="1777">
        <f>SUM(D17:D20)</f>
        <v>0</v>
      </c>
      <c r="E21" s="1777">
        <f>SUM(E17:E20)</f>
        <v>0</v>
      </c>
      <c r="F21" s="1777">
        <f>SUM(F17:F20)</f>
        <v>0</v>
      </c>
      <c r="G21" s="552"/>
    </row>
    <row r="22" spans="1:11" ht="15.75" customHeight="1" thickTop="1" x14ac:dyDescent="0.2">
      <c r="A22" s="2215" t="s">
        <v>1173</v>
      </c>
      <c r="B22" s="2216"/>
      <c r="C22" s="2210"/>
      <c r="D22" s="2211"/>
      <c r="E22" s="2211"/>
      <c r="F22" s="2212"/>
    </row>
    <row r="23" spans="1:11" ht="13.5" thickBot="1" x14ac:dyDescent="0.25">
      <c r="A23" s="2217" t="s">
        <v>653</v>
      </c>
      <c r="B23" s="2218"/>
      <c r="C23" s="581"/>
      <c r="D23" s="581"/>
      <c r="E23" s="581"/>
      <c r="F23" s="1777">
        <f>SUM(C23+D23)-E23</f>
        <v>0</v>
      </c>
      <c r="G23" s="552"/>
    </row>
    <row r="24" spans="1:11" ht="15.75" customHeight="1" thickTop="1" x14ac:dyDescent="0.2">
      <c r="A24" s="2215" t="s">
        <v>1174</v>
      </c>
      <c r="B24" s="2216"/>
      <c r="C24" s="2210"/>
      <c r="D24" s="2211"/>
      <c r="E24" s="2211"/>
      <c r="F24" s="2212"/>
    </row>
    <row r="25" spans="1:11" ht="13.5" thickBot="1" x14ac:dyDescent="0.25">
      <c r="A25" s="2217" t="s">
        <v>654</v>
      </c>
      <c r="B25" s="2218"/>
      <c r="C25" s="581"/>
      <c r="D25" s="581"/>
      <c r="E25" s="581"/>
      <c r="F25" s="1777">
        <f>SUM(C25+D25)-E25</f>
        <v>0</v>
      </c>
      <c r="G25" s="552"/>
    </row>
    <row r="26" spans="1:11" ht="15.75" customHeight="1" thickTop="1" x14ac:dyDescent="0.2">
      <c r="A26" s="2221" t="s">
        <v>677</v>
      </c>
      <c r="B26" s="2216"/>
      <c r="C26" s="728"/>
      <c r="D26" s="728"/>
      <c r="E26" s="728"/>
      <c r="F26" s="729"/>
    </row>
    <row r="27" spans="1:11" ht="13.5" thickBot="1" x14ac:dyDescent="0.25">
      <c r="A27" s="2213" t="s">
        <v>1129</v>
      </c>
      <c r="B27" s="2214"/>
      <c r="C27" s="585"/>
      <c r="D27" s="585"/>
      <c r="E27" s="585"/>
      <c r="F27" s="1777">
        <f>SUM(C27+D27)-E27</f>
        <v>0</v>
      </c>
      <c r="G27" s="552"/>
    </row>
    <row r="28" spans="1:11" ht="7.5" customHeight="1" thickTop="1" x14ac:dyDescent="0.2">
      <c r="A28" s="594"/>
    </row>
    <row r="29" spans="1:11" ht="23.25" customHeight="1" x14ac:dyDescent="0.2">
      <c r="A29" s="2219" t="s">
        <v>602</v>
      </c>
      <c r="B29" s="2220"/>
      <c r="C29" s="730"/>
      <c r="D29" s="730"/>
      <c r="E29" s="730"/>
      <c r="F29" s="730"/>
      <c r="G29" s="730"/>
      <c r="H29" s="730"/>
      <c r="I29" s="730"/>
      <c r="J29" s="730"/>
    </row>
    <row r="30" spans="1:11" ht="33.75" x14ac:dyDescent="0.2">
      <c r="A30" s="1551" t="s">
        <v>1130</v>
      </c>
      <c r="B30" s="731" t="s">
        <v>1185</v>
      </c>
      <c r="C30" s="1906" t="s">
        <v>603</v>
      </c>
      <c r="D30" s="1906" t="s">
        <v>1771</v>
      </c>
      <c r="E30" s="1906" t="s">
        <v>2039</v>
      </c>
      <c r="F30" s="1906" t="s">
        <v>2040</v>
      </c>
      <c r="G30" s="1906" t="s">
        <v>2043</v>
      </c>
      <c r="H30" s="1906" t="s">
        <v>2041</v>
      </c>
      <c r="I30" s="1906" t="s">
        <v>2042</v>
      </c>
      <c r="J30" s="1907" t="s">
        <v>2</v>
      </c>
      <c r="K30" s="732"/>
    </row>
    <row r="31" spans="1:11" ht="12" customHeight="1" x14ac:dyDescent="0.2">
      <c r="A31" s="733" t="s">
        <v>2093</v>
      </c>
      <c r="B31" s="734">
        <v>41612</v>
      </c>
      <c r="C31" s="735">
        <v>500000</v>
      </c>
      <c r="D31" s="736">
        <v>1</v>
      </c>
      <c r="E31" s="735">
        <v>205000</v>
      </c>
      <c r="F31" s="735"/>
      <c r="G31" s="735"/>
      <c r="H31" s="735">
        <v>100000</v>
      </c>
      <c r="I31" s="1778">
        <f>((E31+F31)-H31)+G31</f>
        <v>105000</v>
      </c>
      <c r="J31" s="735">
        <f>105000-45518</f>
        <v>59482</v>
      </c>
      <c r="K31" s="737"/>
    </row>
    <row r="32" spans="1:11" ht="12" customHeight="1" x14ac:dyDescent="0.2">
      <c r="A32" s="733" t="s">
        <v>2094</v>
      </c>
      <c r="B32" s="734">
        <v>41932</v>
      </c>
      <c r="C32" s="735">
        <v>38500</v>
      </c>
      <c r="D32" s="736">
        <v>8</v>
      </c>
      <c r="E32" s="735">
        <v>6559</v>
      </c>
      <c r="F32" s="735"/>
      <c r="G32" s="735"/>
      <c r="H32" s="735">
        <v>6559</v>
      </c>
      <c r="I32" s="1778">
        <f>((E32+F32)-H32)+G32</f>
        <v>0</v>
      </c>
      <c r="J32" s="735"/>
      <c r="K32" s="737"/>
    </row>
    <row r="33" spans="1:11" ht="12" customHeight="1" x14ac:dyDescent="0.2">
      <c r="A33" s="733" t="s">
        <v>2095</v>
      </c>
      <c r="B33" s="734">
        <v>43473</v>
      </c>
      <c r="C33" s="735">
        <v>706000</v>
      </c>
      <c r="D33" s="736">
        <v>1</v>
      </c>
      <c r="E33" s="735">
        <v>666000</v>
      </c>
      <c r="F33" s="735"/>
      <c r="G33" s="735"/>
      <c r="H33" s="735">
        <v>51000</v>
      </c>
      <c r="I33" s="1778">
        <f t="shared" ref="I33:I48" si="1">((E33+F33)-H33)+G33</f>
        <v>615000</v>
      </c>
      <c r="J33" s="735">
        <v>615000</v>
      </c>
      <c r="K33" s="737"/>
    </row>
    <row r="34" spans="1:11" ht="12" customHeight="1" x14ac:dyDescent="0.2">
      <c r="A34" s="733" t="s">
        <v>2096</v>
      </c>
      <c r="B34" s="734">
        <v>42202</v>
      </c>
      <c r="C34" s="735">
        <v>80850</v>
      </c>
      <c r="D34" s="736">
        <v>7</v>
      </c>
      <c r="E34" s="735">
        <v>14552</v>
      </c>
      <c r="F34" s="735"/>
      <c r="G34" s="735"/>
      <c r="H34" s="735">
        <v>14552</v>
      </c>
      <c r="I34" s="1778">
        <f t="shared" si="1"/>
        <v>0</v>
      </c>
      <c r="J34" s="735"/>
      <c r="K34" s="738"/>
    </row>
    <row r="35" spans="1:11" ht="12" customHeight="1" x14ac:dyDescent="0.2">
      <c r="A35" s="733" t="s">
        <v>2097</v>
      </c>
      <c r="B35" s="734">
        <v>42551</v>
      </c>
      <c r="C35" s="739">
        <v>78523</v>
      </c>
      <c r="D35" s="736">
        <v>7</v>
      </c>
      <c r="E35" s="739">
        <v>27630</v>
      </c>
      <c r="F35" s="739"/>
      <c r="G35" s="739"/>
      <c r="H35" s="739">
        <v>13113</v>
      </c>
      <c r="I35" s="1778">
        <f t="shared" si="1"/>
        <v>14517</v>
      </c>
      <c r="J35" s="739">
        <v>14517</v>
      </c>
      <c r="K35" s="738"/>
    </row>
    <row r="36" spans="1:11" ht="12" customHeight="1" x14ac:dyDescent="0.2">
      <c r="A36" s="733" t="s">
        <v>2098</v>
      </c>
      <c r="B36" s="734">
        <v>42917</v>
      </c>
      <c r="C36" s="735">
        <v>31769</v>
      </c>
      <c r="D36" s="736">
        <v>7</v>
      </c>
      <c r="E36" s="735"/>
      <c r="F36" s="735">
        <v>31769</v>
      </c>
      <c r="G36" s="735"/>
      <c r="H36" s="735">
        <v>11965</v>
      </c>
      <c r="I36" s="1778">
        <f t="shared" si="1"/>
        <v>19804</v>
      </c>
      <c r="J36" s="735">
        <v>19804</v>
      </c>
      <c r="K36" s="740"/>
    </row>
    <row r="37" spans="1:11" ht="12" customHeight="1" x14ac:dyDescent="0.2">
      <c r="A37" s="733" t="s">
        <v>2099</v>
      </c>
      <c r="B37" s="734">
        <v>42917</v>
      </c>
      <c r="C37" s="467">
        <v>9655</v>
      </c>
      <c r="D37" s="741">
        <v>7</v>
      </c>
      <c r="E37" s="467"/>
      <c r="F37" s="467">
        <v>9655</v>
      </c>
      <c r="G37" s="467"/>
      <c r="H37" s="467">
        <v>9655</v>
      </c>
      <c r="I37" s="1778">
        <f t="shared" si="1"/>
        <v>0</v>
      </c>
      <c r="J37" s="467"/>
      <c r="K37" s="738"/>
    </row>
    <row r="38" spans="1:11" ht="12" customHeight="1" x14ac:dyDescent="0.2">
      <c r="A38" s="733" t="s">
        <v>2100</v>
      </c>
      <c r="B38" s="734">
        <v>42917</v>
      </c>
      <c r="C38" s="735">
        <v>31538</v>
      </c>
      <c r="D38" s="742">
        <v>7</v>
      </c>
      <c r="E38" s="743"/>
      <c r="F38" s="743">
        <v>31538</v>
      </c>
      <c r="G38" s="743"/>
      <c r="H38" s="743">
        <v>12285</v>
      </c>
      <c r="I38" s="1778">
        <f t="shared" si="1"/>
        <v>19253</v>
      </c>
      <c r="J38" s="744">
        <v>19253</v>
      </c>
      <c r="K38" s="745"/>
    </row>
    <row r="39" spans="1:11" ht="12" customHeight="1" x14ac:dyDescent="0.2">
      <c r="A39" s="733" t="s">
        <v>2101</v>
      </c>
      <c r="B39" s="734">
        <v>42917</v>
      </c>
      <c r="C39" s="735">
        <v>10470</v>
      </c>
      <c r="D39" s="742">
        <v>7</v>
      </c>
      <c r="E39" s="743"/>
      <c r="F39" s="743">
        <v>10470</v>
      </c>
      <c r="G39" s="743"/>
      <c r="H39" s="743">
        <v>10470</v>
      </c>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1487305</v>
      </c>
      <c r="D49" s="746"/>
      <c r="E49" s="1778">
        <f t="shared" ref="E49:J49" si="2">SUM(E31:E48)</f>
        <v>919741</v>
      </c>
      <c r="F49" s="1778">
        <f t="shared" si="2"/>
        <v>83432</v>
      </c>
      <c r="G49" s="1778">
        <f t="shared" si="2"/>
        <v>0</v>
      </c>
      <c r="H49" s="1778">
        <f t="shared" si="2"/>
        <v>229599</v>
      </c>
      <c r="I49" s="1778">
        <f t="shared" si="2"/>
        <v>773574</v>
      </c>
      <c r="J49" s="1778">
        <f t="shared" si="2"/>
        <v>728056</v>
      </c>
      <c r="K49" s="738"/>
    </row>
    <row r="50" spans="1:11" ht="6" customHeight="1" x14ac:dyDescent="0.2">
      <c r="A50" s="747"/>
      <c r="B50" s="737"/>
      <c r="C50" s="737"/>
      <c r="D50" s="737"/>
      <c r="E50" s="737"/>
      <c r="F50" s="737"/>
      <c r="G50" s="737"/>
      <c r="H50" s="737"/>
      <c r="I50" s="737"/>
      <c r="J50" s="747"/>
    </row>
    <row r="51" spans="1:11" x14ac:dyDescent="0.2">
      <c r="A51" s="748" t="s">
        <v>1913</v>
      </c>
      <c r="B51" s="747"/>
      <c r="C51" s="738"/>
      <c r="D51" s="738"/>
      <c r="E51" s="738"/>
      <c r="F51" s="738"/>
      <c r="G51" s="738"/>
      <c r="H51" s="737"/>
      <c r="I51" s="737"/>
      <c r="J51" s="747"/>
    </row>
    <row r="52" spans="1:11" ht="11.25" customHeight="1" x14ac:dyDescent="0.2">
      <c r="A52" s="749" t="s">
        <v>967</v>
      </c>
      <c r="B52" s="2202" t="s">
        <v>604</v>
      </c>
      <c r="C52" s="2203"/>
      <c r="D52" s="2203"/>
      <c r="E52" s="750" t="s">
        <v>899</v>
      </c>
      <c r="F52" s="2204" t="s">
        <v>2102</v>
      </c>
      <c r="G52" s="2205"/>
      <c r="H52" s="737"/>
      <c r="I52" s="737"/>
      <c r="J52" s="747"/>
    </row>
    <row r="53" spans="1:11" ht="11.25" customHeight="1" x14ac:dyDescent="0.2">
      <c r="A53" s="751" t="s">
        <v>968</v>
      </c>
      <c r="B53" s="752" t="s">
        <v>1007</v>
      </c>
      <c r="C53" s="747"/>
      <c r="D53" s="738"/>
      <c r="E53" s="750" t="s">
        <v>517</v>
      </c>
      <c r="F53" s="2206" t="s">
        <v>2103</v>
      </c>
      <c r="G53" s="2207"/>
      <c r="H53" s="737"/>
      <c r="I53" s="737"/>
      <c r="J53" s="747"/>
    </row>
    <row r="54" spans="1:11" ht="11.25" customHeight="1" x14ac:dyDescent="0.2">
      <c r="A54" s="753" t="s">
        <v>969</v>
      </c>
      <c r="B54" s="748" t="s">
        <v>1008</v>
      </c>
      <c r="C54" s="747"/>
      <c r="D54" s="738"/>
      <c r="E54" s="750" t="s">
        <v>518</v>
      </c>
      <c r="F54" s="2206"/>
      <c r="G54" s="220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C1"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1" t="s">
        <v>910</v>
      </c>
      <c r="B1" s="2232"/>
      <c r="C1" s="2232"/>
      <c r="D1" s="2232"/>
      <c r="E1" s="2232"/>
      <c r="F1" s="2232"/>
      <c r="G1" s="2233"/>
      <c r="H1" s="1552"/>
      <c r="I1" s="761"/>
      <c r="J1" s="433"/>
    </row>
    <row r="2" spans="1:11" ht="26.25" x14ac:dyDescent="0.2">
      <c r="A2" s="2250" t="s">
        <v>1775</v>
      </c>
      <c r="B2" s="2251"/>
      <c r="C2" s="2251"/>
      <c r="D2" s="2251"/>
      <c r="E2" s="2252"/>
      <c r="F2" s="762" t="s">
        <v>959</v>
      </c>
      <c r="G2" s="763" t="s">
        <v>1772</v>
      </c>
      <c r="H2" s="763" t="s">
        <v>429</v>
      </c>
      <c r="I2" s="763" t="s">
        <v>1219</v>
      </c>
      <c r="J2" s="763" t="s">
        <v>1918</v>
      </c>
      <c r="K2" s="763" t="s">
        <v>140</v>
      </c>
    </row>
    <row r="3" spans="1:11" x14ac:dyDescent="0.2">
      <c r="A3" s="2253" t="s">
        <v>1697</v>
      </c>
      <c r="B3" s="2254"/>
      <c r="C3" s="2254"/>
      <c r="D3" s="2254"/>
      <c r="E3" s="2255"/>
      <c r="F3" s="764"/>
      <c r="G3" s="765"/>
      <c r="H3" s="765"/>
      <c r="I3" s="765"/>
      <c r="J3" s="766"/>
      <c r="K3" s="766"/>
    </row>
    <row r="4" spans="1:11" x14ac:dyDescent="0.2">
      <c r="A4" s="2256" t="s">
        <v>386</v>
      </c>
      <c r="B4" s="2257"/>
      <c r="C4" s="2257"/>
      <c r="D4" s="2257"/>
      <c r="E4" s="2203"/>
      <c r="F4" s="767"/>
      <c r="G4" s="768"/>
      <c r="H4" s="769"/>
      <c r="I4" s="768"/>
      <c r="J4" s="770"/>
      <c r="K4" s="770"/>
    </row>
    <row r="5" spans="1:11" x14ac:dyDescent="0.2">
      <c r="A5" s="2234" t="s">
        <v>1128</v>
      </c>
      <c r="B5" s="2235"/>
      <c r="C5" s="2235"/>
      <c r="D5" s="2235"/>
      <c r="E5" s="2236"/>
      <c r="F5" s="771" t="s">
        <v>902</v>
      </c>
      <c r="G5" s="772"/>
      <c r="H5" s="765">
        <v>16727</v>
      </c>
      <c r="I5" s="773"/>
      <c r="J5" s="774"/>
      <c r="K5" s="774"/>
    </row>
    <row r="6" spans="1:11" x14ac:dyDescent="0.2">
      <c r="A6" s="775" t="s">
        <v>743</v>
      </c>
      <c r="B6" s="776"/>
      <c r="C6" s="776"/>
      <c r="D6" s="776"/>
      <c r="E6" s="777"/>
      <c r="F6" s="778" t="s">
        <v>903</v>
      </c>
      <c r="G6" s="765"/>
      <c r="H6" s="765"/>
      <c r="I6" s="765"/>
      <c r="J6" s="766"/>
      <c r="K6" s="766"/>
    </row>
    <row r="7" spans="1:11" x14ac:dyDescent="0.2">
      <c r="A7" s="779" t="s">
        <v>264</v>
      </c>
      <c r="B7" s="780"/>
      <c r="C7" s="780"/>
      <c r="D7" s="780"/>
      <c r="E7" s="781"/>
      <c r="F7" s="771" t="s">
        <v>904</v>
      </c>
      <c r="G7" s="768"/>
      <c r="H7" s="768"/>
      <c r="I7" s="768"/>
      <c r="J7" s="782"/>
      <c r="K7" s="766">
        <v>918</v>
      </c>
    </row>
    <row r="8" spans="1:11" x14ac:dyDescent="0.2">
      <c r="A8" s="779" t="s">
        <v>362</v>
      </c>
      <c r="B8" s="780"/>
      <c r="C8" s="780"/>
      <c r="D8" s="780"/>
      <c r="E8" s="781"/>
      <c r="F8" s="771" t="s">
        <v>905</v>
      </c>
      <c r="G8" s="783"/>
      <c r="H8" s="783"/>
      <c r="I8" s="783"/>
      <c r="J8" s="766"/>
      <c r="K8" s="770"/>
    </row>
    <row r="9" spans="1:11" x14ac:dyDescent="0.2">
      <c r="A9" s="779" t="s">
        <v>140</v>
      </c>
      <c r="B9" s="780"/>
      <c r="C9" s="780"/>
      <c r="D9" s="780"/>
      <c r="E9" s="781"/>
      <c r="F9" s="778" t="s">
        <v>907</v>
      </c>
      <c r="G9" s="783"/>
      <c r="H9" s="772"/>
      <c r="I9" s="772"/>
      <c r="J9" s="782"/>
      <c r="K9" s="766">
        <v>4888</v>
      </c>
    </row>
    <row r="10" spans="1:11" x14ac:dyDescent="0.2">
      <c r="A10" s="2234" t="s">
        <v>1919</v>
      </c>
      <c r="B10" s="2235"/>
      <c r="C10" s="2235"/>
      <c r="D10" s="2235"/>
      <c r="E10" s="2237"/>
      <c r="F10" s="784" t="s">
        <v>916</v>
      </c>
      <c r="G10" s="783"/>
      <c r="H10" s="785"/>
      <c r="I10" s="765"/>
      <c r="J10" s="766"/>
      <c r="K10" s="766"/>
    </row>
    <row r="11" spans="1:11" x14ac:dyDescent="0.2">
      <c r="A11" s="2234" t="s">
        <v>162</v>
      </c>
      <c r="B11" s="2235"/>
      <c r="C11" s="2235"/>
      <c r="D11" s="2235"/>
      <c r="E11" s="2236"/>
      <c r="F11" s="771" t="s">
        <v>906</v>
      </c>
      <c r="G11" s="772"/>
      <c r="H11" s="765"/>
      <c r="I11" s="765"/>
      <c r="J11" s="766"/>
      <c r="K11" s="774"/>
    </row>
    <row r="12" spans="1:11" ht="13.5" thickBot="1" x14ac:dyDescent="0.25">
      <c r="A12" s="2261" t="s">
        <v>960</v>
      </c>
      <c r="B12" s="2262"/>
      <c r="C12" s="2262"/>
      <c r="D12" s="2262"/>
      <c r="E12" s="2263"/>
      <c r="F12" s="1779"/>
      <c r="G12" s="1780">
        <f>SUM(G5:G11)</f>
        <v>0</v>
      </c>
      <c r="H12" s="1780">
        <f>SUM(H5:H11)</f>
        <v>16727</v>
      </c>
      <c r="I12" s="1780">
        <f>SUM(I5:I11)</f>
        <v>0</v>
      </c>
      <c r="J12" s="1780">
        <f>SUM(J5:J11)</f>
        <v>0</v>
      </c>
      <c r="K12" s="1780">
        <f>SUM(K5:K11)</f>
        <v>5806</v>
      </c>
    </row>
    <row r="13" spans="1:11" ht="13.5" thickTop="1" x14ac:dyDescent="0.2">
      <c r="A13" s="2258" t="s">
        <v>387</v>
      </c>
      <c r="B13" s="2259"/>
      <c r="C13" s="2259"/>
      <c r="D13" s="2259"/>
      <c r="E13" s="2260"/>
      <c r="F13" s="786"/>
      <c r="G13" s="787"/>
      <c r="H13" s="788"/>
      <c r="I13" s="789"/>
      <c r="J13" s="789"/>
      <c r="K13" s="789"/>
    </row>
    <row r="14" spans="1:11" x14ac:dyDescent="0.2">
      <c r="A14" s="2241" t="s">
        <v>475</v>
      </c>
      <c r="B14" s="2241"/>
      <c r="C14" s="2241"/>
      <c r="D14" s="2241"/>
      <c r="E14" s="2242"/>
      <c r="F14" s="790" t="s">
        <v>908</v>
      </c>
      <c r="G14" s="783"/>
      <c r="H14" s="765">
        <v>16727</v>
      </c>
      <c r="I14" s="772"/>
      <c r="J14" s="774"/>
      <c r="K14" s="766">
        <v>5806</v>
      </c>
    </row>
    <row r="15" spans="1:11" x14ac:dyDescent="0.2">
      <c r="A15" s="2235" t="s">
        <v>4</v>
      </c>
      <c r="B15" s="2235"/>
      <c r="C15" s="2235"/>
      <c r="D15" s="2235"/>
      <c r="E15" s="2236"/>
      <c r="F15" s="790" t="s">
        <v>909</v>
      </c>
      <c r="G15" s="772"/>
      <c r="H15" s="765"/>
      <c r="I15" s="765"/>
      <c r="J15" s="766"/>
      <c r="K15" s="766"/>
    </row>
    <row r="16" spans="1:11" x14ac:dyDescent="0.2">
      <c r="A16" s="2235" t="s">
        <v>315</v>
      </c>
      <c r="B16" s="2235"/>
      <c r="C16" s="2235"/>
      <c r="D16" s="2235"/>
      <c r="E16" s="2236"/>
      <c r="F16" s="790" t="s">
        <v>979</v>
      </c>
      <c r="G16" s="773"/>
      <c r="H16" s="768"/>
      <c r="I16" s="768"/>
      <c r="J16" s="770"/>
      <c r="K16" s="770"/>
    </row>
    <row r="17" spans="1:11" x14ac:dyDescent="0.2">
      <c r="A17" s="2266" t="s">
        <v>991</v>
      </c>
      <c r="B17" s="2266"/>
      <c r="C17" s="2266"/>
      <c r="D17" s="2266"/>
      <c r="E17" s="2267"/>
      <c r="F17" s="791"/>
      <c r="G17" s="792"/>
      <c r="H17" s="793"/>
      <c r="I17" s="793"/>
      <c r="J17" s="794"/>
      <c r="K17" s="795"/>
    </row>
    <row r="18" spans="1:11" x14ac:dyDescent="0.2">
      <c r="A18" s="2245" t="s">
        <v>385</v>
      </c>
      <c r="B18" s="2246"/>
      <c r="C18" s="2246"/>
      <c r="D18" s="2246"/>
      <c r="E18" s="2247"/>
      <c r="F18" s="790" t="s">
        <v>988</v>
      </c>
      <c r="G18" s="783"/>
      <c r="H18" s="783"/>
      <c r="I18" s="783"/>
      <c r="J18" s="766"/>
      <c r="K18" s="796"/>
    </row>
    <row r="19" spans="1:11" ht="21.75" customHeight="1" x14ac:dyDescent="0.2">
      <c r="A19" s="2243" t="s">
        <v>1915</v>
      </c>
      <c r="B19" s="2243"/>
      <c r="C19" s="2243"/>
      <c r="D19" s="2243"/>
      <c r="E19" s="2244"/>
      <c r="F19" s="790" t="s">
        <v>989</v>
      </c>
      <c r="G19" s="783"/>
      <c r="H19" s="783"/>
      <c r="I19" s="783"/>
      <c r="J19" s="766"/>
      <c r="K19" s="796"/>
    </row>
    <row r="20" spans="1:11" x14ac:dyDescent="0.2">
      <c r="A20" s="2245" t="s">
        <v>1920</v>
      </c>
      <c r="B20" s="2246"/>
      <c r="C20" s="2246"/>
      <c r="D20" s="2246"/>
      <c r="E20" s="2247"/>
      <c r="F20" s="790" t="s">
        <v>990</v>
      </c>
      <c r="G20" s="783"/>
      <c r="H20" s="783"/>
      <c r="I20" s="783"/>
      <c r="J20" s="766"/>
      <c r="K20" s="796"/>
    </row>
    <row r="21" spans="1:11" ht="13.5" thickBot="1" x14ac:dyDescent="0.25">
      <c r="A21" s="2264" t="s">
        <v>658</v>
      </c>
      <c r="B21" s="2264"/>
      <c r="C21" s="2264"/>
      <c r="D21" s="2264"/>
      <c r="E21" s="2264"/>
      <c r="F21" s="1781"/>
      <c r="G21" s="793"/>
      <c r="H21" s="797"/>
      <c r="I21" s="797"/>
      <c r="J21" s="1782">
        <f>SUM(J18:J20)</f>
        <v>0</v>
      </c>
      <c r="K21" s="794"/>
    </row>
    <row r="22" spans="1:11" ht="13.5" thickTop="1" x14ac:dyDescent="0.2">
      <c r="A22" s="2235" t="s">
        <v>1921</v>
      </c>
      <c r="B22" s="2235"/>
      <c r="C22" s="2235"/>
      <c r="D22" s="2235"/>
      <c r="E22" s="2236"/>
      <c r="F22" s="790" t="s">
        <v>916</v>
      </c>
      <c r="G22" s="783"/>
      <c r="H22" s="765"/>
      <c r="I22" s="765"/>
      <c r="J22" s="798"/>
      <c r="K22" s="766"/>
    </row>
    <row r="23" spans="1:11" ht="13.5" thickBot="1" x14ac:dyDescent="0.25">
      <c r="A23" s="2265" t="s">
        <v>961</v>
      </c>
      <c r="B23" s="2264"/>
      <c r="C23" s="2264"/>
      <c r="D23" s="2264"/>
      <c r="E23" s="2264"/>
      <c r="F23" s="1783"/>
      <c r="G23" s="1780">
        <f>SUM(G14:G16,G21,G22)</f>
        <v>0</v>
      </c>
      <c r="H23" s="1780">
        <f>SUM(H14:H16,H21,H22)</f>
        <v>16727</v>
      </c>
      <c r="I23" s="1780">
        <f>SUM(I14:I16,I21,I22)</f>
        <v>0</v>
      </c>
      <c r="J23" s="1780">
        <f>SUM(J14:J16,J21,J22)</f>
        <v>0</v>
      </c>
      <c r="K23" s="1780">
        <f>SUM(K14:K16,K21,K22)</f>
        <v>5806</v>
      </c>
    </row>
    <row r="24" spans="1:11" ht="14.25" thickTop="1" thickBot="1" x14ac:dyDescent="0.25">
      <c r="A24" s="2265" t="s">
        <v>2025</v>
      </c>
      <c r="B24" s="2264"/>
      <c r="C24" s="2264"/>
      <c r="D24" s="2264"/>
      <c r="E24" s="2264"/>
      <c r="F24" s="1784"/>
      <c r="G24" s="1785">
        <f>SUM(G3,G12)-G23</f>
        <v>0</v>
      </c>
      <c r="H24" s="1785">
        <f>SUM(H3,H12)-H23</f>
        <v>0</v>
      </c>
      <c r="I24" s="1785">
        <f>SUM(I3,I12)-I23</f>
        <v>0</v>
      </c>
      <c r="J24" s="1785">
        <f>SUM(J3,J12)-J23</f>
        <v>0</v>
      </c>
      <c r="K24" s="1785">
        <f>SUM(K3,K12)-K23</f>
        <v>0</v>
      </c>
    </row>
    <row r="25" spans="1:11" ht="13.5" thickTop="1" x14ac:dyDescent="0.2">
      <c r="A25" s="799" t="s">
        <v>439</v>
      </c>
      <c r="B25" s="800"/>
      <c r="C25" s="800"/>
      <c r="D25" s="800"/>
      <c r="E25" s="801"/>
      <c r="F25" s="802">
        <v>714</v>
      </c>
      <c r="G25" s="803"/>
      <c r="H25" s="803"/>
      <c r="I25" s="803"/>
      <c r="J25" s="798"/>
      <c r="K25" s="798"/>
    </row>
    <row r="26" spans="1:11" ht="13.5" thickBot="1" x14ac:dyDescent="0.25">
      <c r="A26" s="799" t="s">
        <v>359</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1" t="s">
        <v>2035</v>
      </c>
      <c r="B28" s="1902"/>
      <c r="C28" s="1902"/>
      <c r="D28" s="1902"/>
      <c r="E28" s="1903"/>
      <c r="F28" s="804"/>
      <c r="G28" s="805"/>
    </row>
    <row r="29" spans="1:11" x14ac:dyDescent="0.2">
      <c r="B29" s="501"/>
      <c r="C29" s="501"/>
      <c r="D29" s="501"/>
      <c r="F29" s="202"/>
      <c r="G29" s="806"/>
    </row>
    <row r="30" spans="1:11" x14ac:dyDescent="0.2">
      <c r="A30" s="807" t="s">
        <v>592</v>
      </c>
      <c r="B30" s="808"/>
      <c r="C30" s="807" t="s">
        <v>400</v>
      </c>
      <c r="D30" s="808"/>
      <c r="E30" s="809" t="s">
        <v>791</v>
      </c>
      <c r="F30" s="202"/>
      <c r="G30" s="806"/>
    </row>
    <row r="31" spans="1:11" x14ac:dyDescent="0.2">
      <c r="A31" s="810"/>
      <c r="D31" s="237"/>
      <c r="E31" s="811" t="s">
        <v>792</v>
      </c>
      <c r="F31" s="812" t="s">
        <v>559</v>
      </c>
      <c r="G31" s="765"/>
      <c r="H31" s="2238"/>
      <c r="I31" s="2239"/>
      <c r="J31" s="2239"/>
      <c r="K31" s="2239"/>
    </row>
    <row r="32" spans="1:11" x14ac:dyDescent="0.2">
      <c r="A32" s="810"/>
      <c r="B32" s="237"/>
      <c r="C32" s="237"/>
      <c r="D32" s="237"/>
      <c r="E32" s="806"/>
      <c r="F32" s="812" t="s">
        <v>560</v>
      </c>
      <c r="G32" s="765"/>
      <c r="H32" s="2240"/>
      <c r="I32" s="2239"/>
      <c r="J32" s="2239"/>
      <c r="K32" s="2239"/>
    </row>
    <row r="33" spans="1:11" ht="1.5" customHeight="1" x14ac:dyDescent="0.2">
      <c r="A33" s="813" t="s">
        <v>1230</v>
      </c>
      <c r="B33" s="364"/>
      <c r="C33" s="364"/>
      <c r="D33" s="364"/>
      <c r="E33" s="364"/>
      <c r="F33" s="364"/>
      <c r="G33" s="814"/>
      <c r="H33" s="2240"/>
      <c r="I33" s="2239"/>
      <c r="J33" s="2239"/>
      <c r="K33" s="2239"/>
    </row>
    <row r="34" spans="1:11" x14ac:dyDescent="0.2">
      <c r="A34" s="815" t="s">
        <v>1922</v>
      </c>
      <c r="B34" s="364"/>
      <c r="C34" s="364"/>
      <c r="D34" s="364"/>
      <c r="E34" s="364"/>
      <c r="F34" s="364"/>
      <c r="G34" s="814"/>
    </row>
    <row r="35" spans="1:11" ht="15" x14ac:dyDescent="0.2">
      <c r="A35" s="826" t="s">
        <v>962</v>
      </c>
      <c r="B35" s="816"/>
      <c r="C35" s="816"/>
      <c r="D35" s="816"/>
      <c r="E35" s="816"/>
      <c r="F35" s="816"/>
      <c r="G35" s="817"/>
      <c r="H35" s="818"/>
    </row>
    <row r="36" spans="1:11" x14ac:dyDescent="0.2">
      <c r="A36" s="779" t="s">
        <v>1170</v>
      </c>
      <c r="B36" s="819"/>
      <c r="C36" s="819"/>
      <c r="D36" s="819"/>
      <c r="E36" s="819"/>
      <c r="F36" s="820"/>
      <c r="G36" s="766"/>
    </row>
    <row r="37" spans="1:11" x14ac:dyDescent="0.2">
      <c r="A37" s="821" t="s">
        <v>951</v>
      </c>
      <c r="B37" s="819"/>
      <c r="C37" s="819"/>
      <c r="D37" s="819"/>
      <c r="E37" s="819"/>
      <c r="F37" s="820"/>
      <c r="G37" s="766"/>
    </row>
    <row r="38" spans="1:11" x14ac:dyDescent="0.2">
      <c r="A38" s="821" t="s">
        <v>1049</v>
      </c>
      <c r="B38" s="819"/>
      <c r="C38" s="819"/>
      <c r="D38" s="819"/>
      <c r="E38" s="819"/>
      <c r="F38" s="820"/>
      <c r="G38" s="766"/>
    </row>
    <row r="39" spans="1:11" x14ac:dyDescent="0.2">
      <c r="A39" s="821" t="s">
        <v>1050</v>
      </c>
      <c r="B39" s="819"/>
      <c r="C39" s="819"/>
      <c r="D39" s="819"/>
      <c r="E39" s="819"/>
      <c r="F39" s="820"/>
      <c r="G39" s="766"/>
    </row>
    <row r="40" spans="1:11" x14ac:dyDescent="0.2">
      <c r="A40" s="821" t="s">
        <v>1051</v>
      </c>
      <c r="B40" s="819"/>
      <c r="C40" s="819"/>
      <c r="D40" s="819"/>
      <c r="E40" s="819"/>
      <c r="F40" s="820"/>
      <c r="G40" s="766"/>
    </row>
    <row r="41" spans="1:11" x14ac:dyDescent="0.2">
      <c r="A41" s="2235" t="s">
        <v>561</v>
      </c>
      <c r="B41" s="2248"/>
      <c r="C41" s="2248"/>
      <c r="D41" s="2248"/>
      <c r="E41" s="2248"/>
      <c r="F41" s="2249"/>
      <c r="G41" s="766"/>
    </row>
    <row r="42" spans="1:11" x14ac:dyDescent="0.2">
      <c r="A42" s="821" t="s">
        <v>1026</v>
      </c>
      <c r="B42" s="819"/>
      <c r="C42" s="819"/>
      <c r="D42" s="819"/>
      <c r="E42" s="819"/>
      <c r="F42" s="820"/>
      <c r="G42" s="766"/>
    </row>
    <row r="43" spans="1:11" x14ac:dyDescent="0.2">
      <c r="A43" s="821" t="s">
        <v>1027</v>
      </c>
      <c r="B43" s="819"/>
      <c r="C43" s="819"/>
      <c r="D43" s="819"/>
      <c r="E43" s="819"/>
      <c r="F43" s="820"/>
      <c r="G43" s="766"/>
    </row>
    <row r="44" spans="1:11" x14ac:dyDescent="0.2">
      <c r="A44" s="821" t="s">
        <v>1028</v>
      </c>
      <c r="B44" s="819"/>
      <c r="C44" s="819"/>
      <c r="D44" s="819"/>
      <c r="E44" s="819"/>
      <c r="F44" s="820"/>
      <c r="G44" s="766"/>
    </row>
    <row r="45" spans="1:11" ht="6.75" customHeight="1" x14ac:dyDescent="0.2"/>
    <row r="46" spans="1:11" ht="15" x14ac:dyDescent="0.2">
      <c r="A46" s="1553" t="s">
        <v>1916</v>
      </c>
      <c r="B46" s="408" t="s">
        <v>1773</v>
      </c>
    </row>
    <row r="47" spans="1:11" s="824" customFormat="1" ht="12.75" customHeight="1" x14ac:dyDescent="0.2">
      <c r="A47" s="822"/>
      <c r="B47" s="823" t="s">
        <v>1774</v>
      </c>
      <c r="E47" s="823"/>
      <c r="K47" s="825"/>
    </row>
    <row r="48" spans="1:11" ht="12.75" customHeight="1" x14ac:dyDescent="0.2">
      <c r="A48" s="1554" t="s">
        <v>1917</v>
      </c>
      <c r="B48" s="408" t="s">
        <v>980</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A7" colorId="8" zoomScale="110" zoomScaleNormal="110" workbookViewId="0">
      <selection activeCell="I14" sqref="I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0" t="s">
        <v>2034</v>
      </c>
      <c r="B1" s="2271"/>
      <c r="C1" s="2272"/>
      <c r="D1" s="827"/>
      <c r="E1" s="828"/>
      <c r="F1" s="828"/>
      <c r="G1" s="829"/>
      <c r="H1" s="830"/>
      <c r="I1" s="831"/>
      <c r="J1" s="2268"/>
      <c r="K1" s="2269"/>
      <c r="L1" s="2269"/>
    </row>
    <row r="2" spans="1:14" ht="69.75" customHeight="1" x14ac:dyDescent="0.2">
      <c r="A2" s="832" t="s">
        <v>1776</v>
      </c>
      <c r="B2" s="833" t="s">
        <v>395</v>
      </c>
      <c r="C2" s="834" t="s">
        <v>2029</v>
      </c>
      <c r="D2" s="834" t="s">
        <v>2026</v>
      </c>
      <c r="E2" s="834" t="s">
        <v>2027</v>
      </c>
      <c r="F2" s="834" t="s">
        <v>2028</v>
      </c>
      <c r="G2" s="834" t="s">
        <v>625</v>
      </c>
      <c r="H2" s="834" t="s">
        <v>2030</v>
      </c>
      <c r="I2" s="834" t="s">
        <v>2031</v>
      </c>
      <c r="J2" s="834" t="s">
        <v>2046</v>
      </c>
      <c r="K2" s="834" t="s">
        <v>2032</v>
      </c>
      <c r="L2" s="834" t="s">
        <v>2033</v>
      </c>
      <c r="M2" s="835"/>
      <c r="N2" s="835"/>
    </row>
    <row r="3" spans="1:14" ht="13.5" thickBot="1" x14ac:dyDescent="0.25">
      <c r="A3" s="1651" t="s">
        <v>947</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948</v>
      </c>
      <c r="B5" s="841">
        <v>221</v>
      </c>
      <c r="C5" s="842">
        <v>48291</v>
      </c>
      <c r="D5" s="842"/>
      <c r="E5" s="842"/>
      <c r="F5" s="1782">
        <f>(C5+D5)-E5</f>
        <v>48291</v>
      </c>
      <c r="G5" s="838"/>
      <c r="H5" s="843"/>
      <c r="I5" s="843"/>
      <c r="J5" s="843"/>
      <c r="K5" s="794"/>
      <c r="L5" s="1791">
        <f>F5-K5</f>
        <v>48291</v>
      </c>
    </row>
    <row r="6" spans="1:14" ht="14.25" thickTop="1" thickBot="1" x14ac:dyDescent="0.25">
      <c r="A6" s="779" t="s">
        <v>1178</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1179</v>
      </c>
      <c r="B8" s="841">
        <v>231</v>
      </c>
      <c r="C8" s="845">
        <v>3697904</v>
      </c>
      <c r="D8" s="845">
        <f>3727823-3697904</f>
        <v>29919</v>
      </c>
      <c r="E8" s="845"/>
      <c r="F8" s="1782">
        <f>(C8+D8)-E8</f>
        <v>3727823</v>
      </c>
      <c r="G8" s="844">
        <v>50</v>
      </c>
      <c r="H8" s="766">
        <v>1893386</v>
      </c>
      <c r="I8" s="766">
        <v>54627</v>
      </c>
      <c r="J8" s="766"/>
      <c r="K8" s="1791">
        <f>(H8+I8)-J8</f>
        <v>1948013</v>
      </c>
      <c r="L8" s="1791">
        <f>F8-K8</f>
        <v>1779810</v>
      </c>
    </row>
    <row r="9" spans="1:14" ht="14.25" thickTop="1" thickBot="1" x14ac:dyDescent="0.25">
      <c r="A9" s="779" t="s">
        <v>1180</v>
      </c>
      <c r="B9" s="841">
        <v>232</v>
      </c>
      <c r="C9" s="766"/>
      <c r="D9" s="766"/>
      <c r="E9" s="766"/>
      <c r="F9" s="1782">
        <f>(C9+D9)-E9</f>
        <v>0</v>
      </c>
      <c r="G9" s="844">
        <v>20</v>
      </c>
      <c r="H9" s="766"/>
      <c r="I9" s="766"/>
      <c r="J9" s="766"/>
      <c r="K9" s="1791">
        <f>(H9+I9)-J9</f>
        <v>0</v>
      </c>
      <c r="L9" s="1791">
        <f>F9-K9</f>
        <v>0</v>
      </c>
    </row>
    <row r="10" spans="1:14" ht="24" thickTop="1" thickBot="1" x14ac:dyDescent="0.25">
      <c r="A10" s="846" t="s">
        <v>1181</v>
      </c>
      <c r="B10" s="841">
        <v>240</v>
      </c>
      <c r="C10" s="847">
        <v>222421</v>
      </c>
      <c r="D10" s="847">
        <f>232421-222421</f>
        <v>10000</v>
      </c>
      <c r="E10" s="847"/>
      <c r="F10" s="1786">
        <f>(C10+D10)-E10</f>
        <v>232421</v>
      </c>
      <c r="G10" s="844">
        <v>20</v>
      </c>
      <c r="H10" s="848">
        <v>117817</v>
      </c>
      <c r="I10" s="848">
        <v>8537</v>
      </c>
      <c r="J10" s="848"/>
      <c r="K10" s="1791">
        <f>(H10+I10)-J10</f>
        <v>126354</v>
      </c>
      <c r="L10" s="1791">
        <f>F10-K10</f>
        <v>106067</v>
      </c>
    </row>
    <row r="11" spans="1:14" ht="13.5" thickTop="1" x14ac:dyDescent="0.2">
      <c r="A11" s="1654" t="s">
        <v>1197</v>
      </c>
      <c r="B11" s="1652">
        <v>250</v>
      </c>
      <c r="C11" s="782"/>
      <c r="D11" s="782"/>
      <c r="E11" s="782"/>
      <c r="F11" s="774"/>
      <c r="G11" s="844"/>
      <c r="H11" s="782"/>
      <c r="I11" s="782"/>
      <c r="J11" s="782"/>
      <c r="K11" s="774"/>
      <c r="L11" s="774"/>
    </row>
    <row r="12" spans="1:14" ht="13.5" thickBot="1" x14ac:dyDescent="0.25">
      <c r="A12" s="849" t="s">
        <v>1182</v>
      </c>
      <c r="B12" s="841">
        <v>251</v>
      </c>
      <c r="C12" s="845">
        <v>844476</v>
      </c>
      <c r="D12" s="845"/>
      <c r="E12" s="845"/>
      <c r="F12" s="1782">
        <f>(C12+D12)-E12</f>
        <v>844476</v>
      </c>
      <c r="G12" s="844">
        <v>10</v>
      </c>
      <c r="H12" s="766">
        <v>420313</v>
      </c>
      <c r="I12" s="766">
        <v>73862</v>
      </c>
      <c r="J12" s="766"/>
      <c r="K12" s="1791">
        <f>(H12+I12)-J12</f>
        <v>494175</v>
      </c>
      <c r="L12" s="1791">
        <f>F12-K12</f>
        <v>350301</v>
      </c>
    </row>
    <row r="13" spans="1:14" ht="14.25" thickTop="1" thickBot="1" x14ac:dyDescent="0.25">
      <c r="A13" s="849" t="s">
        <v>1183</v>
      </c>
      <c r="B13" s="841">
        <v>252</v>
      </c>
      <c r="C13" s="845">
        <v>564778</v>
      </c>
      <c r="D13" s="845">
        <f>565802-564778</f>
        <v>1024</v>
      </c>
      <c r="E13" s="845"/>
      <c r="F13" s="1782">
        <f>(C13+D13)-E13</f>
        <v>565802</v>
      </c>
      <c r="G13" s="844">
        <v>5</v>
      </c>
      <c r="H13" s="766">
        <v>356533</v>
      </c>
      <c r="I13" s="766">
        <v>111137</v>
      </c>
      <c r="J13" s="766"/>
      <c r="K13" s="1791">
        <f>(H13+I13)-J13</f>
        <v>467670</v>
      </c>
      <c r="L13" s="1791">
        <f>F13-K13</f>
        <v>98132</v>
      </c>
    </row>
    <row r="14" spans="1:14" ht="14.25" thickTop="1" thickBot="1" x14ac:dyDescent="0.25">
      <c r="A14" s="849" t="s">
        <v>1184</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548</v>
      </c>
      <c r="B15" s="1652">
        <v>260</v>
      </c>
      <c r="C15" s="845"/>
      <c r="D15" s="845"/>
      <c r="E15" s="845"/>
      <c r="F15" s="1782">
        <f>(C15+D15)-E15</f>
        <v>0</v>
      </c>
      <c r="G15" s="850" t="s">
        <v>916</v>
      </c>
      <c r="H15" s="782"/>
      <c r="I15" s="782"/>
      <c r="J15" s="782"/>
      <c r="K15" s="782"/>
      <c r="L15" s="1791">
        <f>F15-K15</f>
        <v>0</v>
      </c>
    </row>
    <row r="16" spans="1:14" ht="15" customHeight="1" thickTop="1" thickBot="1" x14ac:dyDescent="0.25">
      <c r="A16" s="1787" t="s">
        <v>663</v>
      </c>
      <c r="B16" s="1788">
        <v>200</v>
      </c>
      <c r="C16" s="1782">
        <f>SUM(C3,C5:C6,C8:C10,C12:C15)</f>
        <v>5377870</v>
      </c>
      <c r="D16" s="1782">
        <f>SUM(D3,D5:D6,D8:D10,D12:D15)</f>
        <v>40943</v>
      </c>
      <c r="E16" s="1782">
        <f>SUM(E3,E5:E6,E8:E10,E12:E15)</f>
        <v>0</v>
      </c>
      <c r="F16" s="1782">
        <f>SUM(F3,F5:F6,F8:F10,F12:F15)</f>
        <v>5418813</v>
      </c>
      <c r="G16" s="844"/>
      <c r="H16" s="1782">
        <f>SUM(H3,H6,H8:H10,H12:H14,)</f>
        <v>2788049</v>
      </c>
      <c r="I16" s="1782">
        <f>SUM(I3,I6,I8:I10,I12:I14,)</f>
        <v>248163</v>
      </c>
      <c r="J16" s="1782">
        <f>SUM(J3,J6,J8:J10,J12:J14,)</f>
        <v>0</v>
      </c>
      <c r="K16" s="1782">
        <f>(H16+I16)-J16</f>
        <v>3036212</v>
      </c>
      <c r="L16" s="1782">
        <f>F16-K16</f>
        <v>2382601</v>
      </c>
    </row>
    <row r="17" spans="1:12" ht="15" customHeight="1" thickTop="1" thickBot="1" x14ac:dyDescent="0.25">
      <c r="A17" s="1655" t="s">
        <v>308</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705</v>
      </c>
      <c r="B18" s="1790"/>
      <c r="C18" s="772"/>
      <c r="D18" s="772"/>
      <c r="E18" s="772"/>
      <c r="F18" s="851"/>
      <c r="G18" s="852"/>
      <c r="H18" s="774"/>
      <c r="I18" s="1782">
        <f>SUM(I16,I17)</f>
        <v>248163</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6" activePane="bottomLeft" state="frozen"/>
      <selection activeCell="A47" sqref="A47"/>
      <selection pane="bottomLeft" activeCell="F79" sqref="F79"/>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6" t="s">
        <v>1698</v>
      </c>
      <c r="B1" s="2277"/>
      <c r="C1" s="2277"/>
      <c r="D1" s="2277"/>
      <c r="E1" s="2277"/>
      <c r="F1" s="2278"/>
      <c r="G1" s="856"/>
    </row>
    <row r="2" spans="1:7" ht="15" customHeight="1" thickBot="1" x14ac:dyDescent="0.25">
      <c r="A2" s="2279" t="s">
        <v>497</v>
      </c>
      <c r="B2" s="2280"/>
      <c r="C2" s="2280"/>
      <c r="D2" s="2280"/>
      <c r="E2" s="2280"/>
      <c r="F2" s="2281"/>
      <c r="G2" s="858"/>
    </row>
    <row r="3" spans="1:7" ht="5.25" customHeight="1" thickTop="1" x14ac:dyDescent="0.2">
      <c r="A3" s="859"/>
      <c r="B3" s="860"/>
      <c r="C3" s="861"/>
      <c r="D3" s="860"/>
      <c r="E3" s="861"/>
      <c r="F3" s="860"/>
      <c r="G3" s="860"/>
    </row>
    <row r="4" spans="1:7" ht="12.2" customHeight="1" x14ac:dyDescent="0.2">
      <c r="A4" s="862" t="s">
        <v>1136</v>
      </c>
      <c r="B4" s="863" t="s">
        <v>117</v>
      </c>
      <c r="D4" s="865" t="s">
        <v>531</v>
      </c>
      <c r="F4" s="863" t="s">
        <v>919</v>
      </c>
    </row>
    <row r="5" spans="1:7" ht="7.5" customHeight="1" x14ac:dyDescent="0.2">
      <c r="A5" s="2282"/>
      <c r="B5" s="2283"/>
      <c r="C5" s="2283"/>
      <c r="D5" s="2283"/>
      <c r="E5" s="2283"/>
      <c r="F5" s="2283"/>
    </row>
    <row r="6" spans="1:7" ht="13.5" customHeight="1" thickBot="1" x14ac:dyDescent="0.25">
      <c r="A6" s="2273" t="s">
        <v>1165</v>
      </c>
      <c r="B6" s="2274"/>
      <c r="C6" s="2274"/>
      <c r="D6" s="2274"/>
      <c r="E6" s="2274"/>
      <c r="F6" s="2275"/>
      <c r="G6" s="866"/>
    </row>
    <row r="7" spans="1:7" s="866" customFormat="1" ht="12" thickTop="1" x14ac:dyDescent="0.2">
      <c r="A7" s="867" t="s">
        <v>522</v>
      </c>
      <c r="B7" s="868"/>
      <c r="C7" s="869"/>
      <c r="D7" s="868"/>
      <c r="E7" s="869"/>
      <c r="F7" s="868"/>
    </row>
    <row r="8" spans="1:7" x14ac:dyDescent="0.2">
      <c r="A8" s="870" t="s">
        <v>478</v>
      </c>
      <c r="B8" s="871" t="s">
        <v>1543</v>
      </c>
      <c r="C8" s="872"/>
      <c r="D8" s="870" t="s">
        <v>521</v>
      </c>
      <c r="E8" s="869" t="s">
        <v>1014</v>
      </c>
      <c r="F8" s="1930">
        <f>'Expenditures 15-22'!K114</f>
        <v>2884619</v>
      </c>
      <c r="G8" s="866"/>
    </row>
    <row r="9" spans="1:7" x14ac:dyDescent="0.2">
      <c r="A9" s="870" t="s">
        <v>479</v>
      </c>
      <c r="B9" s="871" t="s">
        <v>1988</v>
      </c>
      <c r="C9" s="872"/>
      <c r="D9" s="870" t="s">
        <v>521</v>
      </c>
      <c r="E9" s="869"/>
      <c r="F9" s="1931">
        <f>'Expenditures 15-22'!K151</f>
        <v>306225</v>
      </c>
      <c r="G9" s="873"/>
    </row>
    <row r="10" spans="1:7" x14ac:dyDescent="0.2">
      <c r="A10" s="870" t="s">
        <v>519</v>
      </c>
      <c r="B10" s="871" t="s">
        <v>1989</v>
      </c>
      <c r="C10" s="872"/>
      <c r="D10" s="870" t="s">
        <v>521</v>
      </c>
      <c r="E10" s="869"/>
      <c r="F10" s="1931">
        <f>'Expenditures 15-22'!K174</f>
        <v>157625</v>
      </c>
      <c r="G10" s="873"/>
    </row>
    <row r="11" spans="1:7" x14ac:dyDescent="0.2">
      <c r="A11" s="870" t="s">
        <v>480</v>
      </c>
      <c r="B11" s="871" t="s">
        <v>1990</v>
      </c>
      <c r="C11" s="872"/>
      <c r="D11" s="870" t="s">
        <v>521</v>
      </c>
      <c r="E11" s="869"/>
      <c r="F11" s="1931">
        <f>'Expenditures 15-22'!K210</f>
        <v>284210</v>
      </c>
      <c r="G11" s="873"/>
    </row>
    <row r="12" spans="1:7" x14ac:dyDescent="0.2">
      <c r="A12" s="870" t="s">
        <v>481</v>
      </c>
      <c r="B12" s="871" t="s">
        <v>1991</v>
      </c>
      <c r="C12" s="872"/>
      <c r="D12" s="870" t="s">
        <v>521</v>
      </c>
      <c r="E12" s="869"/>
      <c r="F12" s="1931">
        <f>'Expenditures 15-22'!K295</f>
        <v>147302</v>
      </c>
      <c r="G12" s="873"/>
    </row>
    <row r="13" spans="1:7" x14ac:dyDescent="0.2">
      <c r="A13" s="870" t="s">
        <v>108</v>
      </c>
      <c r="B13" s="871" t="s">
        <v>1992</v>
      </c>
      <c r="C13" s="872"/>
      <c r="D13" s="870" t="s">
        <v>521</v>
      </c>
      <c r="E13" s="869"/>
      <c r="F13" s="1931">
        <f>'Expenditures 15-22'!K342</f>
        <v>231987</v>
      </c>
      <c r="G13" s="874"/>
    </row>
    <row r="14" spans="1:7" ht="12" customHeight="1" thickBot="1" x14ac:dyDescent="0.25">
      <c r="A14" s="1792"/>
      <c r="B14" s="1793"/>
      <c r="C14" s="1794"/>
      <c r="D14" s="1795" t="s">
        <v>521</v>
      </c>
      <c r="E14" s="1796" t="s">
        <v>1014</v>
      </c>
      <c r="F14" s="1797">
        <f>SUM(F8:F13)</f>
        <v>4011968</v>
      </c>
      <c r="G14" s="866"/>
    </row>
    <row r="15" spans="1:7" ht="3.75" customHeight="1" thickTop="1" x14ac:dyDescent="0.2">
      <c r="A15" s="866"/>
      <c r="B15" s="866"/>
      <c r="C15" s="872"/>
      <c r="D15" s="866"/>
      <c r="E15" s="869"/>
      <c r="F15" s="866"/>
      <c r="G15" s="866"/>
    </row>
    <row r="16" spans="1:7" ht="12" customHeight="1" x14ac:dyDescent="0.2">
      <c r="A16" s="875" t="s">
        <v>532</v>
      </c>
      <c r="B16" s="231"/>
      <c r="C16" s="231"/>
      <c r="D16" s="868"/>
      <c r="E16" s="869"/>
      <c r="F16" s="868"/>
      <c r="G16" s="866"/>
    </row>
    <row r="17" spans="1:7" ht="4.5" customHeight="1" x14ac:dyDescent="0.2">
      <c r="A17" s="875"/>
      <c r="B17" s="231"/>
      <c r="C17" s="231"/>
      <c r="D17" s="868"/>
      <c r="E17" s="869"/>
      <c r="F17" s="868"/>
      <c r="G17" s="866"/>
    </row>
    <row r="18" spans="1:7" x14ac:dyDescent="0.2">
      <c r="A18" s="870" t="s">
        <v>480</v>
      </c>
      <c r="B18" s="871" t="s">
        <v>1067</v>
      </c>
      <c r="C18" s="876">
        <f>'Revenues 9-14'!B43</f>
        <v>1412</v>
      </c>
      <c r="D18" s="877" t="str">
        <f>'Revenues 9-14'!A43</f>
        <v>Regular - Transp Fees from Other Districts (In State)</v>
      </c>
      <c r="E18" s="869" t="s">
        <v>1014</v>
      </c>
      <c r="F18" s="1932">
        <f>'Revenues 9-14'!F43</f>
        <v>0</v>
      </c>
      <c r="G18" s="866"/>
    </row>
    <row r="19" spans="1:7" x14ac:dyDescent="0.2">
      <c r="A19" s="870" t="s">
        <v>480</v>
      </c>
      <c r="B19" s="871" t="s">
        <v>1068</v>
      </c>
      <c r="C19" s="878">
        <f>'Revenues 9-14'!B47</f>
        <v>1421</v>
      </c>
      <c r="D19" s="879" t="str">
        <f>'Revenues 9-14'!A47</f>
        <v>Summer Sch - Transp. Fees from Pupils or Parents (In State)</v>
      </c>
      <c r="E19" s="880"/>
      <c r="F19" s="1933">
        <f>'Revenues 9-14'!F47</f>
        <v>0</v>
      </c>
      <c r="G19" s="866"/>
    </row>
    <row r="20" spans="1:7" x14ac:dyDescent="0.2">
      <c r="A20" s="870" t="s">
        <v>480</v>
      </c>
      <c r="B20" s="871" t="s">
        <v>1069</v>
      </c>
      <c r="C20" s="876">
        <f>'Revenues 9-14'!B48</f>
        <v>1422</v>
      </c>
      <c r="D20" s="877" t="str">
        <f>'Revenues 9-14'!A48</f>
        <v>Summer Sch - Transp. Fees from Other Districts (In State)</v>
      </c>
      <c r="E20" s="869"/>
      <c r="F20" s="1934">
        <f>'Revenues 9-14'!F48</f>
        <v>0</v>
      </c>
      <c r="G20" s="866"/>
    </row>
    <row r="21" spans="1:7" x14ac:dyDescent="0.2">
      <c r="A21" s="870" t="s">
        <v>480</v>
      </c>
      <c r="B21" s="871" t="s">
        <v>1070</v>
      </c>
      <c r="C21" s="878">
        <f>'Revenues 9-14'!B49</f>
        <v>1423</v>
      </c>
      <c r="D21" s="877" t="str">
        <f>'Revenues 9-14'!A49</f>
        <v>Summer Sch - Transp. Fees from Other Sources (In State)</v>
      </c>
      <c r="E21" s="869"/>
      <c r="F21" s="1935">
        <f>'Revenues 9-14'!F49</f>
        <v>0</v>
      </c>
      <c r="G21" s="866"/>
    </row>
    <row r="22" spans="1:7" x14ac:dyDescent="0.2">
      <c r="A22" s="870" t="s">
        <v>480</v>
      </c>
      <c r="B22" s="871" t="s">
        <v>1071</v>
      </c>
      <c r="C22" s="878">
        <f>'Revenues 9-14'!B50</f>
        <v>1424</v>
      </c>
      <c r="D22" s="877" t="str">
        <f>'Revenues 9-14'!A50</f>
        <v>Summer Sch - Transp. Fees from Other Sources (Out of State)</v>
      </c>
      <c r="E22" s="869"/>
      <c r="F22" s="1935">
        <f>'Revenues 9-14'!F50</f>
        <v>0</v>
      </c>
      <c r="G22" s="866"/>
    </row>
    <row r="23" spans="1:7" x14ac:dyDescent="0.2">
      <c r="A23" s="870" t="s">
        <v>480</v>
      </c>
      <c r="B23" s="871" t="s">
        <v>1072</v>
      </c>
      <c r="C23" s="876">
        <f>'Revenues 9-14'!B52</f>
        <v>1432</v>
      </c>
      <c r="D23" s="877" t="str">
        <f>'Revenues 9-14'!A52</f>
        <v>CTE - Transp Fees from Other Districts (In State)</v>
      </c>
      <c r="E23" s="869"/>
      <c r="F23" s="1935">
        <f>'Revenues 9-14'!F52</f>
        <v>2512</v>
      </c>
      <c r="G23" s="866"/>
    </row>
    <row r="24" spans="1:7" x14ac:dyDescent="0.2">
      <c r="A24" s="870" t="s">
        <v>480</v>
      </c>
      <c r="B24" s="871" t="s">
        <v>1073</v>
      </c>
      <c r="C24" s="876">
        <f>'Revenues 9-14'!B56</f>
        <v>1442</v>
      </c>
      <c r="D24" s="877" t="str">
        <f>'Revenues 9-14'!A56</f>
        <v>Special Ed - Transp Fees from Other Districts (In State)</v>
      </c>
      <c r="E24" s="869"/>
      <c r="F24" s="1935">
        <f>'Revenues 9-14'!F56</f>
        <v>0</v>
      </c>
      <c r="G24" s="866"/>
    </row>
    <row r="25" spans="1:7" x14ac:dyDescent="0.2">
      <c r="A25" s="870" t="s">
        <v>480</v>
      </c>
      <c r="B25" s="871" t="s">
        <v>1074</v>
      </c>
      <c r="C25" s="876">
        <f>'Revenues 9-14'!B59</f>
        <v>1451</v>
      </c>
      <c r="D25" s="877" t="str">
        <f>'Revenues 9-14'!A59</f>
        <v>Adult - Transp Fees from Pupils or Parents (In State)</v>
      </c>
      <c r="E25" s="869"/>
      <c r="F25" s="1935">
        <f>'Revenues 9-14'!F59</f>
        <v>0</v>
      </c>
      <c r="G25" s="866"/>
    </row>
    <row r="26" spans="1:7" x14ac:dyDescent="0.2">
      <c r="A26" s="870" t="s">
        <v>480</v>
      </c>
      <c r="B26" s="871" t="s">
        <v>1075</v>
      </c>
      <c r="C26" s="876">
        <f>'Revenues 9-14'!B60</f>
        <v>1452</v>
      </c>
      <c r="D26" s="877" t="str">
        <f>'Revenues 9-14'!A60</f>
        <v>Adult - Transp Fees from Other Districts (In State)</v>
      </c>
      <c r="E26" s="869"/>
      <c r="F26" s="1935">
        <f>'Revenues 9-14'!F60</f>
        <v>0</v>
      </c>
      <c r="G26" s="866"/>
    </row>
    <row r="27" spans="1:7" x14ac:dyDescent="0.2">
      <c r="A27" s="870" t="s">
        <v>480</v>
      </c>
      <c r="B27" s="871" t="s">
        <v>1076</v>
      </c>
      <c r="C27" s="876">
        <f>'Revenues 9-14'!B61</f>
        <v>1453</v>
      </c>
      <c r="D27" s="877" t="str">
        <f>'Revenues 9-14'!A61</f>
        <v>Adult - Transp Fees from Other Sources (In State)</v>
      </c>
      <c r="E27" s="869"/>
      <c r="F27" s="1935">
        <f>'Revenues 9-14'!F61</f>
        <v>0</v>
      </c>
      <c r="G27" s="866"/>
    </row>
    <row r="28" spans="1:7" x14ac:dyDescent="0.2">
      <c r="A28" s="870" t="s">
        <v>480</v>
      </c>
      <c r="B28" s="871" t="s">
        <v>1077</v>
      </c>
      <c r="C28" s="876">
        <f>'Revenues 9-14'!B62</f>
        <v>1454</v>
      </c>
      <c r="D28" s="877" t="str">
        <f>'Revenues 9-14'!A62</f>
        <v>Adult - Transp Fees from Other Sources (Out of State)</v>
      </c>
      <c r="E28" s="869"/>
      <c r="F28" s="1935">
        <f>'Revenues 9-14'!F62</f>
        <v>0</v>
      </c>
      <c r="G28" s="866"/>
    </row>
    <row r="29" spans="1:7" x14ac:dyDescent="0.2">
      <c r="A29" s="870" t="s">
        <v>1158</v>
      </c>
      <c r="B29" s="871" t="s">
        <v>1682</v>
      </c>
      <c r="C29" s="881">
        <f>'Revenues 9-14'!B148</f>
        <v>3410</v>
      </c>
      <c r="D29" s="882" t="str">
        <f>'Revenues 9-14'!A148</f>
        <v>Adult Ed (from ICCB)</v>
      </c>
      <c r="E29" s="869"/>
      <c r="F29" s="1935">
        <f>SUM('Revenues 9-14'!D148,F149)</f>
        <v>0</v>
      </c>
      <c r="G29" s="866"/>
    </row>
    <row r="30" spans="1:7" x14ac:dyDescent="0.2">
      <c r="A30" s="870" t="s">
        <v>1158</v>
      </c>
      <c r="B30" s="871" t="s">
        <v>860</v>
      </c>
      <c r="C30" s="881">
        <f>'Revenues 9-14'!B149</f>
        <v>3499</v>
      </c>
      <c r="D30" s="882" t="str">
        <f>'Revenues 9-14'!A149</f>
        <v>Adult Ed - Other (Describe &amp; Itemize)</v>
      </c>
      <c r="E30" s="869"/>
      <c r="F30" s="1936">
        <f>('Revenues 9-14'!D149+'Revenues 9-14'!F149)</f>
        <v>0</v>
      </c>
      <c r="G30" s="866"/>
    </row>
    <row r="31" spans="1:7" x14ac:dyDescent="0.2">
      <c r="A31" s="870" t="s">
        <v>1158</v>
      </c>
      <c r="B31" s="871" t="s">
        <v>861</v>
      </c>
      <c r="C31" s="876">
        <f>'Revenues 9-14'!B218</f>
        <v>4600</v>
      </c>
      <c r="D31" s="884" t="str">
        <f>'Revenues 9-14'!A218</f>
        <v>Fed - Spec Education - Preschool Flow-Through</v>
      </c>
      <c r="E31" s="885"/>
      <c r="F31" s="1935">
        <f>SUM('Revenues 9-14'!D218,'Revenues 9-14'!F218)</f>
        <v>0</v>
      </c>
      <c r="G31" s="866"/>
    </row>
    <row r="32" spans="1:7" x14ac:dyDescent="0.2">
      <c r="A32" s="870" t="s">
        <v>1158</v>
      </c>
      <c r="B32" s="871" t="s">
        <v>799</v>
      </c>
      <c r="C32" s="876">
        <f>'Revenues 9-14'!B219</f>
        <v>4605</v>
      </c>
      <c r="D32" s="886" t="str">
        <f>'Revenues 9-14'!A219</f>
        <v>Fed - Spec Education - Preschool Discretionary</v>
      </c>
      <c r="E32" s="885"/>
      <c r="F32" s="1935">
        <f>SUM('Revenues 9-14'!D219,'Revenues 9-14'!F219)</f>
        <v>0</v>
      </c>
      <c r="G32" s="866"/>
    </row>
    <row r="33" spans="1:7" x14ac:dyDescent="0.2">
      <c r="A33" s="870" t="s">
        <v>479</v>
      </c>
      <c r="B33" s="871" t="s">
        <v>800</v>
      </c>
      <c r="C33" s="876">
        <f>'Revenues 9-14'!B229</f>
        <v>4810</v>
      </c>
      <c r="D33" s="884" t="str">
        <f>'Revenues 9-14'!A229</f>
        <v>Federal - Adult Education</v>
      </c>
      <c r="E33" s="869"/>
      <c r="F33" s="1935">
        <f>'Revenues 9-14'!D229</f>
        <v>0</v>
      </c>
      <c r="G33" s="866"/>
    </row>
    <row r="34" spans="1:7" x14ac:dyDescent="0.2">
      <c r="A34" s="870" t="s">
        <v>478</v>
      </c>
      <c r="B34" s="870" t="s">
        <v>1544</v>
      </c>
      <c r="C34" s="887" t="str">
        <f>'Expenditures 15-22'!B7</f>
        <v>1125</v>
      </c>
      <c r="D34" s="888" t="str">
        <f>'Expenditures 15-22'!A7</f>
        <v>Pre-K Programs</v>
      </c>
      <c r="E34" s="869"/>
      <c r="F34" s="1935">
        <f>'Expenditures 15-22'!K7-SUM('Expenditures 15-22'!G7,'Expenditures 15-22'!I7)</f>
        <v>0</v>
      </c>
      <c r="G34" s="866"/>
    </row>
    <row r="35" spans="1:7" x14ac:dyDescent="0.2">
      <c r="A35" s="870" t="s">
        <v>478</v>
      </c>
      <c r="B35" s="870" t="s">
        <v>1545</v>
      </c>
      <c r="C35" s="887" t="str">
        <f>'Expenditures 15-22'!B9</f>
        <v>1225</v>
      </c>
      <c r="D35" s="888" t="str">
        <f>'Expenditures 15-22'!A9</f>
        <v>Special Education Programs Pre-K</v>
      </c>
      <c r="E35" s="869"/>
      <c r="F35" s="1935">
        <f>'Expenditures 15-22'!K9-SUM('Expenditures 15-22'!G9+'Expenditures 15-22'!I9)</f>
        <v>0</v>
      </c>
      <c r="G35" s="866"/>
    </row>
    <row r="36" spans="1:7" x14ac:dyDescent="0.2">
      <c r="A36" s="870" t="s">
        <v>478</v>
      </c>
      <c r="B36" s="870" t="s">
        <v>118</v>
      </c>
      <c r="C36" s="887" t="str">
        <f>'Expenditures 15-22'!B11</f>
        <v>1275</v>
      </c>
      <c r="D36" s="888" t="str">
        <f>'Expenditures 15-22'!A11</f>
        <v>Remedial and Supplemental Programs Pre-K</v>
      </c>
      <c r="E36" s="869"/>
      <c r="F36" s="1935">
        <f>'Expenditures 15-22'!K11-SUM('Expenditures 15-22'!G11,'Expenditures 15-22'!I11)</f>
        <v>0</v>
      </c>
      <c r="G36" s="866"/>
    </row>
    <row r="37" spans="1:7" x14ac:dyDescent="0.2">
      <c r="A37" s="870" t="s">
        <v>478</v>
      </c>
      <c r="B37" s="870" t="s">
        <v>1546</v>
      </c>
      <c r="C37" s="887">
        <f>'Expenditures 15-22'!B12</f>
        <v>1300</v>
      </c>
      <c r="D37" s="889" t="str">
        <f>'Expenditures 15-22'!A12</f>
        <v>Adult/Continuing Education Programs</v>
      </c>
      <c r="E37" s="869"/>
      <c r="F37" s="1935">
        <f>'Expenditures 15-22'!K12-SUM('Expenditures 15-22'!G12+'Expenditures 15-22'!I12)</f>
        <v>0</v>
      </c>
      <c r="G37" s="866"/>
    </row>
    <row r="38" spans="1:7" x14ac:dyDescent="0.2">
      <c r="A38" s="870" t="s">
        <v>478</v>
      </c>
      <c r="B38" s="870" t="s">
        <v>1547</v>
      </c>
      <c r="C38" s="887">
        <f>'Expenditures 15-22'!B15</f>
        <v>1600</v>
      </c>
      <c r="D38" s="889" t="str">
        <f>'Expenditures 15-22'!A15</f>
        <v>Summer School Programs</v>
      </c>
      <c r="E38" s="869"/>
      <c r="F38" s="1935">
        <f>'Expenditures 15-22'!K15-SUM('Expenditures 15-22'!G15,'Expenditures 15-22'!I15)</f>
        <v>0</v>
      </c>
      <c r="G38" s="866"/>
    </row>
    <row r="39" spans="1:7" x14ac:dyDescent="0.2">
      <c r="A39" s="870" t="s">
        <v>478</v>
      </c>
      <c r="B39" s="870" t="s">
        <v>119</v>
      </c>
      <c r="C39" s="887" t="str">
        <f>'Expenditures 15-22'!B20</f>
        <v>1910</v>
      </c>
      <c r="D39" s="889" t="str">
        <f>'Expenditures 15-22'!A20</f>
        <v>Pre-K Programs - Private Tuition</v>
      </c>
      <c r="E39" s="869"/>
      <c r="F39" s="1935">
        <f>'Expenditures 15-22'!K20</f>
        <v>0</v>
      </c>
      <c r="G39" s="866"/>
    </row>
    <row r="40" spans="1:7" x14ac:dyDescent="0.2">
      <c r="A40" s="870" t="s">
        <v>478</v>
      </c>
      <c r="B40" s="870" t="s">
        <v>120</v>
      </c>
      <c r="C40" s="887" t="str">
        <f>'Expenditures 15-22'!B21</f>
        <v>1911</v>
      </c>
      <c r="D40" s="889" t="str">
        <f>'Expenditures 15-22'!A21</f>
        <v>Regular K-12 Programs - Private Tuition</v>
      </c>
      <c r="E40" s="869"/>
      <c r="F40" s="1935">
        <f>'Expenditures 15-22'!K21</f>
        <v>0</v>
      </c>
      <c r="G40" s="866"/>
    </row>
    <row r="41" spans="1:7" x14ac:dyDescent="0.2">
      <c r="A41" s="870" t="s">
        <v>478</v>
      </c>
      <c r="B41" s="870" t="s">
        <v>121</v>
      </c>
      <c r="C41" s="887" t="str">
        <f>'Expenditures 15-22'!B22</f>
        <v>1912</v>
      </c>
      <c r="D41" s="889" t="str">
        <f>'Expenditures 15-22'!A22</f>
        <v>Special Education Programs K-12 - Private Tuition</v>
      </c>
      <c r="E41" s="869"/>
      <c r="F41" s="1935">
        <f>'Expenditures 15-22'!K22</f>
        <v>98385</v>
      </c>
      <c r="G41" s="866"/>
    </row>
    <row r="42" spans="1:7" x14ac:dyDescent="0.2">
      <c r="A42" s="870" t="s">
        <v>478</v>
      </c>
      <c r="B42" s="870" t="s">
        <v>122</v>
      </c>
      <c r="C42" s="890" t="str">
        <f>'Expenditures 15-22'!B23</f>
        <v>1913</v>
      </c>
      <c r="D42" s="889" t="str">
        <f>'Expenditures 15-22'!A23</f>
        <v>Special Education Programs Pre-K - Tuition</v>
      </c>
      <c r="E42" s="869"/>
      <c r="F42" s="1935">
        <f>'Expenditures 15-22'!K23</f>
        <v>0</v>
      </c>
      <c r="G42" s="866"/>
    </row>
    <row r="43" spans="1:7" x14ac:dyDescent="0.2">
      <c r="A43" s="870" t="s">
        <v>478</v>
      </c>
      <c r="B43" s="870" t="s">
        <v>123</v>
      </c>
      <c r="C43" s="887" t="str">
        <f>'Expenditures 15-22'!B24</f>
        <v>1914</v>
      </c>
      <c r="D43" s="889" t="str">
        <f>'Expenditures 15-22'!A24</f>
        <v>Remedial/Supplemental Programs K-12 - Private Tuition</v>
      </c>
      <c r="E43" s="869"/>
      <c r="F43" s="1935">
        <f>'Expenditures 15-22'!K24</f>
        <v>0</v>
      </c>
      <c r="G43" s="866"/>
    </row>
    <row r="44" spans="1:7" x14ac:dyDescent="0.2">
      <c r="A44" s="870" t="s">
        <v>478</v>
      </c>
      <c r="B44" s="870" t="s">
        <v>124</v>
      </c>
      <c r="C44" s="890" t="str">
        <f>'Expenditures 15-22'!B25</f>
        <v>1915</v>
      </c>
      <c r="D44" s="889" t="str">
        <f>'Expenditures 15-22'!A25</f>
        <v>Remedial/Supplemental Programs Pre-K - Private Tuition</v>
      </c>
      <c r="E44" s="869"/>
      <c r="F44" s="1935">
        <f>'Expenditures 15-22'!K25</f>
        <v>0</v>
      </c>
      <c r="G44" s="866"/>
    </row>
    <row r="45" spans="1:7" x14ac:dyDescent="0.2">
      <c r="A45" s="870" t="s">
        <v>478</v>
      </c>
      <c r="B45" s="870" t="s">
        <v>125</v>
      </c>
      <c r="C45" s="890" t="str">
        <f>'Expenditures 15-22'!B26</f>
        <v>1916</v>
      </c>
      <c r="D45" s="889" t="str">
        <f>'Expenditures 15-22'!A26</f>
        <v>Adult/Continuing Education Programs - Private Tuition</v>
      </c>
      <c r="E45" s="869"/>
      <c r="F45" s="1935">
        <f>'Expenditures 15-22'!K26</f>
        <v>0</v>
      </c>
      <c r="G45" s="866"/>
    </row>
    <row r="46" spans="1:7" x14ac:dyDescent="0.2">
      <c r="A46" s="870" t="s">
        <v>478</v>
      </c>
      <c r="B46" s="870" t="s">
        <v>126</v>
      </c>
      <c r="C46" s="887" t="str">
        <f>'Expenditures 15-22'!B27</f>
        <v>1917</v>
      </c>
      <c r="D46" s="889" t="str">
        <f>'Expenditures 15-22'!A27</f>
        <v>CTE Programs - Private Tuition</v>
      </c>
      <c r="E46" s="869"/>
      <c r="F46" s="1935">
        <f>'Expenditures 15-22'!K27</f>
        <v>0</v>
      </c>
      <c r="G46" s="866"/>
    </row>
    <row r="47" spans="1:7" x14ac:dyDescent="0.2">
      <c r="A47" s="870" t="s">
        <v>478</v>
      </c>
      <c r="B47" s="870" t="s">
        <v>127</v>
      </c>
      <c r="C47" s="891" t="str">
        <f>'Expenditures 15-22'!B28</f>
        <v>1918</v>
      </c>
      <c r="D47" s="892" t="str">
        <f>'Expenditures 15-22'!A28</f>
        <v>Interscholastic Programs - Private Tuition</v>
      </c>
      <c r="E47" s="869"/>
      <c r="F47" s="1935">
        <f>'Expenditures 15-22'!K28</f>
        <v>0</v>
      </c>
      <c r="G47" s="866"/>
    </row>
    <row r="48" spans="1:7" x14ac:dyDescent="0.2">
      <c r="A48" s="870" t="s">
        <v>478</v>
      </c>
      <c r="B48" s="870" t="s">
        <v>128</v>
      </c>
      <c r="C48" s="890" t="str">
        <f>'Expenditures 15-22'!B29</f>
        <v>1919</v>
      </c>
      <c r="D48" s="889" t="str">
        <f>'Expenditures 15-22'!A29</f>
        <v>Summer School Programs - Private Tuition</v>
      </c>
      <c r="E48" s="869"/>
      <c r="F48" s="1935">
        <f>'Expenditures 15-22'!K29</f>
        <v>0</v>
      </c>
      <c r="G48" s="866"/>
    </row>
    <row r="49" spans="1:7" x14ac:dyDescent="0.2">
      <c r="A49" s="870" t="s">
        <v>478</v>
      </c>
      <c r="B49" s="870" t="s">
        <v>129</v>
      </c>
      <c r="C49" s="887" t="str">
        <f>'Expenditures 15-22'!B30</f>
        <v>1920</v>
      </c>
      <c r="D49" s="889" t="str">
        <f>'Expenditures 15-22'!A30</f>
        <v>Gifted Programs - Private Tuition</v>
      </c>
      <c r="E49" s="869"/>
      <c r="F49" s="1935">
        <f>'Expenditures 15-22'!K30</f>
        <v>0</v>
      </c>
      <c r="G49" s="866"/>
    </row>
    <row r="50" spans="1:7" x14ac:dyDescent="0.2">
      <c r="A50" s="870" t="s">
        <v>478</v>
      </c>
      <c r="B50" s="870" t="s">
        <v>130</v>
      </c>
      <c r="C50" s="887" t="str">
        <f>'Expenditures 15-22'!B31</f>
        <v>1921</v>
      </c>
      <c r="D50" s="889" t="str">
        <f>'Expenditures 15-22'!A31</f>
        <v>Bilingual Programs - Private Tuition</v>
      </c>
      <c r="E50" s="869"/>
      <c r="F50" s="1935">
        <f>'Expenditures 15-22'!K31</f>
        <v>0</v>
      </c>
      <c r="G50" s="866"/>
    </row>
    <row r="51" spans="1:7" x14ac:dyDescent="0.2">
      <c r="A51" s="870" t="s">
        <v>478</v>
      </c>
      <c r="B51" s="870" t="s">
        <v>1548</v>
      </c>
      <c r="C51" s="887" t="str">
        <f>'Expenditures 15-22'!B32</f>
        <v>1922</v>
      </c>
      <c r="D51" s="889" t="str">
        <f>'Expenditures 15-22'!A32</f>
        <v>Truants Alternative/Optional Ed Progms - Private Tuition</v>
      </c>
      <c r="E51" s="869"/>
      <c r="F51" s="1935">
        <f>'Expenditures 15-22'!K32</f>
        <v>0</v>
      </c>
      <c r="G51" s="866"/>
    </row>
    <row r="52" spans="1:7" x14ac:dyDescent="0.2">
      <c r="A52" s="870" t="s">
        <v>478</v>
      </c>
      <c r="B52" s="870" t="s">
        <v>1549</v>
      </c>
      <c r="C52" s="890" t="str">
        <f>'Expenditures 15-22'!B75</f>
        <v>3000</v>
      </c>
      <c r="D52" s="889" t="s">
        <v>468</v>
      </c>
      <c r="E52" s="869"/>
      <c r="F52" s="1935">
        <f>'Expenditures 15-22'!K75-SUM('Expenditures 15-22'!G75,'Expenditures 15-22'!I75)</f>
        <v>0</v>
      </c>
      <c r="G52" s="866"/>
    </row>
    <row r="53" spans="1:7" x14ac:dyDescent="0.2">
      <c r="A53" s="870" t="s">
        <v>478</v>
      </c>
      <c r="B53" s="870" t="s">
        <v>1550</v>
      </c>
      <c r="C53" s="890">
        <f>'Expenditures 15-22'!B102</f>
        <v>4000</v>
      </c>
      <c r="D53" s="889" t="str">
        <f>'Expenditures 15-22'!A102</f>
        <v>Total Payments to Other Govt Units</v>
      </c>
      <c r="E53" s="869"/>
      <c r="F53" s="1935">
        <f>'Expenditures 15-22'!K102</f>
        <v>73793</v>
      </c>
      <c r="G53" s="866"/>
    </row>
    <row r="54" spans="1:7" x14ac:dyDescent="0.2">
      <c r="A54" s="870" t="s">
        <v>478</v>
      </c>
      <c r="B54" s="870" t="s">
        <v>1551</v>
      </c>
      <c r="C54" s="890" t="s">
        <v>1038</v>
      </c>
      <c r="D54" s="886" t="s">
        <v>1156</v>
      </c>
      <c r="E54" s="869"/>
      <c r="F54" s="1935">
        <f>'Expenditures 15-22'!G114</f>
        <v>0</v>
      </c>
      <c r="G54" s="866"/>
    </row>
    <row r="55" spans="1:7" x14ac:dyDescent="0.2">
      <c r="A55" s="870" t="s">
        <v>478</v>
      </c>
      <c r="B55" s="870" t="s">
        <v>1552</v>
      </c>
      <c r="C55" s="890" t="s">
        <v>1038</v>
      </c>
      <c r="D55" s="886" t="s">
        <v>308</v>
      </c>
      <c r="E55" s="869"/>
      <c r="F55" s="1935">
        <f>'Expenditures 15-22'!I114</f>
        <v>0</v>
      </c>
      <c r="G55" s="866"/>
    </row>
    <row r="56" spans="1:7" x14ac:dyDescent="0.2">
      <c r="A56" s="870" t="s">
        <v>479</v>
      </c>
      <c r="B56" s="870" t="s">
        <v>1553</v>
      </c>
      <c r="C56" s="887" t="str">
        <f>'Expenditures 15-22'!B130</f>
        <v>3000</v>
      </c>
      <c r="D56" s="893" t="s">
        <v>468</v>
      </c>
      <c r="E56" s="869"/>
      <c r="F56" s="1935">
        <f>'Expenditures 15-22'!K130-SUM('Expenditures 15-22'!G130+'Expenditures 15-22'!I130)</f>
        <v>0</v>
      </c>
      <c r="G56" s="866"/>
    </row>
    <row r="57" spans="1:7" x14ac:dyDescent="0.2">
      <c r="A57" s="870" t="s">
        <v>479</v>
      </c>
      <c r="B57" s="870" t="s">
        <v>1993</v>
      </c>
      <c r="C57" s="890">
        <f>'Expenditures 15-22'!B139</f>
        <v>4000</v>
      </c>
      <c r="D57" s="888" t="str">
        <f>'Expenditures 15-22'!A139</f>
        <v>Total Payments to Other Govt Units</v>
      </c>
      <c r="E57" s="869"/>
      <c r="F57" s="1935">
        <f>'Expenditures 15-22'!K139</f>
        <v>0</v>
      </c>
      <c r="G57" s="866"/>
    </row>
    <row r="58" spans="1:7" x14ac:dyDescent="0.2">
      <c r="A58" s="870" t="s">
        <v>479</v>
      </c>
      <c r="B58" s="870" t="s">
        <v>1994</v>
      </c>
      <c r="C58" s="887" t="s">
        <v>1038</v>
      </c>
      <c r="D58" s="886" t="s">
        <v>1156</v>
      </c>
      <c r="E58" s="869"/>
      <c r="F58" s="1937">
        <f>'Expenditures 15-22'!G151</f>
        <v>0</v>
      </c>
      <c r="G58" s="866"/>
    </row>
    <row r="59" spans="1:7" x14ac:dyDescent="0.2">
      <c r="A59" s="894" t="s">
        <v>479</v>
      </c>
      <c r="B59" s="857" t="s">
        <v>1995</v>
      </c>
      <c r="C59" s="895" t="s">
        <v>1038</v>
      </c>
      <c r="D59" s="857" t="s">
        <v>308</v>
      </c>
      <c r="F59" s="1938">
        <f>'Expenditures 15-22'!I151</f>
        <v>0</v>
      </c>
      <c r="G59" s="866"/>
    </row>
    <row r="60" spans="1:7" x14ac:dyDescent="0.2">
      <c r="A60" s="894" t="s">
        <v>519</v>
      </c>
      <c r="B60" s="857" t="s">
        <v>1996</v>
      </c>
      <c r="C60" s="895">
        <v>4000</v>
      </c>
      <c r="D60" s="857" t="s">
        <v>329</v>
      </c>
      <c r="F60" s="1936">
        <f>'Expenditures 15-22'!K160</f>
        <v>6559</v>
      </c>
      <c r="G60" s="866"/>
    </row>
    <row r="61" spans="1:7" x14ac:dyDescent="0.2">
      <c r="A61" s="896" t="s">
        <v>519</v>
      </c>
      <c r="B61" s="896" t="s">
        <v>1997</v>
      </c>
      <c r="C61" s="897" t="str">
        <f>'Expenditures 15-22'!B170</f>
        <v>5300</v>
      </c>
      <c r="D61" s="898" t="s">
        <v>328</v>
      </c>
      <c r="E61" s="880"/>
      <c r="F61" s="1935">
        <f>'Expenditures 15-22'!K170</f>
        <v>151000</v>
      </c>
      <c r="G61" s="866"/>
    </row>
    <row r="62" spans="1:7" x14ac:dyDescent="0.2">
      <c r="A62" s="870" t="s">
        <v>480</v>
      </c>
      <c r="B62" s="870" t="s">
        <v>1998</v>
      </c>
      <c r="C62" s="887">
        <f>'Expenditures 15-22'!B185</f>
        <v>3000</v>
      </c>
      <c r="D62" s="877" t="s">
        <v>468</v>
      </c>
      <c r="E62" s="869"/>
      <c r="F62" s="1935">
        <f>'Expenditures 15-22'!K185-SUM('Expenditures 15-22'!G185,'Expenditures 15-22'!I185)</f>
        <v>0</v>
      </c>
      <c r="G62" s="866"/>
    </row>
    <row r="63" spans="1:7" x14ac:dyDescent="0.2">
      <c r="A63" s="870" t="s">
        <v>480</v>
      </c>
      <c r="B63" s="870" t="s">
        <v>1999</v>
      </c>
      <c r="C63" s="887" t="str">
        <f>'Expenditures 15-22'!B196</f>
        <v>4000</v>
      </c>
      <c r="D63" s="888" t="str">
        <f>'Expenditures 15-22'!A196</f>
        <v>Total Payments to Other Govt Units</v>
      </c>
      <c r="E63" s="869"/>
      <c r="F63" s="1935">
        <f>'Expenditures 15-22'!K196</f>
        <v>26687</v>
      </c>
      <c r="G63" s="866"/>
    </row>
    <row r="64" spans="1:7" x14ac:dyDescent="0.2">
      <c r="A64" s="896" t="s">
        <v>480</v>
      </c>
      <c r="B64" s="896" t="s">
        <v>2000</v>
      </c>
      <c r="C64" s="897" t="str">
        <f>'Expenditures 15-22'!B206</f>
        <v>5300</v>
      </c>
      <c r="D64" s="893" t="s">
        <v>328</v>
      </c>
      <c r="E64" s="869"/>
      <c r="F64" s="1935">
        <f>'Expenditures 15-22'!K206</f>
        <v>71950</v>
      </c>
      <c r="G64" s="866"/>
    </row>
    <row r="65" spans="1:8" x14ac:dyDescent="0.2">
      <c r="A65" s="870" t="s">
        <v>480</v>
      </c>
      <c r="B65" s="870" t="s">
        <v>2001</v>
      </c>
      <c r="C65" s="887" t="s">
        <v>1038</v>
      </c>
      <c r="D65" s="886" t="s">
        <v>1156</v>
      </c>
      <c r="E65" s="869"/>
      <c r="F65" s="1935">
        <f>'Expenditures 15-22'!G210</f>
        <v>0</v>
      </c>
      <c r="G65" s="866"/>
    </row>
    <row r="66" spans="1:8" x14ac:dyDescent="0.2">
      <c r="A66" s="870" t="s">
        <v>480</v>
      </c>
      <c r="B66" s="870" t="s">
        <v>2002</v>
      </c>
      <c r="C66" s="887" t="s">
        <v>1038</v>
      </c>
      <c r="D66" s="886" t="s">
        <v>308</v>
      </c>
      <c r="E66" s="869"/>
      <c r="F66" s="1935">
        <f>'Expenditures 15-22'!I210</f>
        <v>0</v>
      </c>
      <c r="G66" s="866"/>
    </row>
    <row r="67" spans="1:8" x14ac:dyDescent="0.2">
      <c r="A67" s="870" t="s">
        <v>481</v>
      </c>
      <c r="B67" s="870" t="s">
        <v>2003</v>
      </c>
      <c r="C67" s="887" t="str">
        <f>'Expenditures 15-22'!B216</f>
        <v>1125</v>
      </c>
      <c r="D67" s="893" t="str">
        <f>'Expenditures 15-22'!A216</f>
        <v>Pre-K Programs</v>
      </c>
      <c r="E67" s="869"/>
      <c r="F67" s="1935">
        <f>'Expenditures 15-22'!K216</f>
        <v>0</v>
      </c>
      <c r="G67" s="866"/>
    </row>
    <row r="68" spans="1:8" x14ac:dyDescent="0.2">
      <c r="A68" s="870" t="s">
        <v>481</v>
      </c>
      <c r="B68" s="870" t="s">
        <v>1554</v>
      </c>
      <c r="C68" s="887" t="str">
        <f>'Expenditures 15-22'!B218</f>
        <v>1225</v>
      </c>
      <c r="D68" s="893" t="str">
        <f>'Expenditures 15-22'!A218</f>
        <v>Special Education Programs - Pre-K</v>
      </c>
      <c r="E68" s="869"/>
      <c r="F68" s="1935">
        <f>'Expenditures 15-22'!K218</f>
        <v>0</v>
      </c>
      <c r="G68" s="866"/>
    </row>
    <row r="69" spans="1:8" x14ac:dyDescent="0.2">
      <c r="A69" s="870" t="s">
        <v>481</v>
      </c>
      <c r="B69" s="870" t="s">
        <v>2004</v>
      </c>
      <c r="C69" s="887" t="str">
        <f>'Expenditures 15-22'!B220</f>
        <v>1275</v>
      </c>
      <c r="D69" s="893" t="str">
        <f>'Expenditures 15-22'!A220</f>
        <v>Remedial and Supplemental Programs - Pre-K</v>
      </c>
      <c r="E69" s="869"/>
      <c r="F69" s="1935">
        <f>'Expenditures 15-22'!K220</f>
        <v>0</v>
      </c>
      <c r="G69" s="866"/>
    </row>
    <row r="70" spans="1:8" x14ac:dyDescent="0.2">
      <c r="A70" s="870" t="s">
        <v>481</v>
      </c>
      <c r="B70" s="870" t="s">
        <v>2005</v>
      </c>
      <c r="C70" s="887">
        <f>'Expenditures 15-22'!B221</f>
        <v>1300</v>
      </c>
      <c r="D70" s="888" t="str">
        <f>'Expenditures 15-22'!A221</f>
        <v>Adult/Continuing Education Programs</v>
      </c>
      <c r="E70" s="869"/>
      <c r="F70" s="1935">
        <f>'Expenditures 15-22'!K221</f>
        <v>0</v>
      </c>
      <c r="G70" s="866"/>
    </row>
    <row r="71" spans="1:8" x14ac:dyDescent="0.2">
      <c r="A71" s="870" t="s">
        <v>481</v>
      </c>
      <c r="B71" s="870" t="s">
        <v>2006</v>
      </c>
      <c r="C71" s="887">
        <f>'Expenditures 15-22'!B224</f>
        <v>1600</v>
      </c>
      <c r="D71" s="888" t="str">
        <f>'Expenditures 15-22'!A224</f>
        <v>Summer School Programs</v>
      </c>
      <c r="E71" s="869"/>
      <c r="F71" s="1935">
        <f>'Expenditures 15-22'!K224</f>
        <v>0</v>
      </c>
      <c r="G71" s="866"/>
    </row>
    <row r="72" spans="1:8" x14ac:dyDescent="0.2">
      <c r="A72" s="870" t="s">
        <v>481</v>
      </c>
      <c r="B72" s="870" t="s">
        <v>2007</v>
      </c>
      <c r="C72" s="887">
        <f>'Expenditures 15-22'!B280</f>
        <v>3000</v>
      </c>
      <c r="D72" s="877" t="s">
        <v>468</v>
      </c>
      <c r="E72" s="869"/>
      <c r="F72" s="1935">
        <f>'Expenditures 15-22'!K280</f>
        <v>0</v>
      </c>
      <c r="G72" s="866"/>
    </row>
    <row r="73" spans="1:8" x14ac:dyDescent="0.2">
      <c r="A73" s="870" t="s">
        <v>481</v>
      </c>
      <c r="B73" s="870" t="s">
        <v>2008</v>
      </c>
      <c r="C73" s="887" t="str">
        <f>'Expenditures 15-22'!B285</f>
        <v>4000</v>
      </c>
      <c r="D73" s="888" t="str">
        <f>'Expenditures 15-22'!A285</f>
        <v>Total Payments to Other Govt Units</v>
      </c>
      <c r="E73" s="869"/>
      <c r="F73" s="1935">
        <f>'Expenditures 15-22'!K285</f>
        <v>0</v>
      </c>
      <c r="G73" s="866"/>
    </row>
    <row r="74" spans="1:8" x14ac:dyDescent="0.2">
      <c r="A74" s="870" t="s">
        <v>455</v>
      </c>
      <c r="B74" s="870" t="s">
        <v>2009</v>
      </c>
      <c r="C74" s="887" t="s">
        <v>914</v>
      </c>
      <c r="D74" s="888" t="s">
        <v>1566</v>
      </c>
      <c r="E74" s="869"/>
      <c r="F74" s="1939">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1014</v>
      </c>
      <c r="F76" s="1800">
        <f>SUM(F18:F74)</f>
        <v>430886</v>
      </c>
      <c r="G76" s="866"/>
    </row>
    <row r="77" spans="1:8" s="894" customFormat="1" ht="12" customHeight="1" thickTop="1" thickBot="1" x14ac:dyDescent="0.25">
      <c r="A77" s="1801"/>
      <c r="B77" s="1798"/>
      <c r="C77" s="1794"/>
      <c r="D77" s="1799" t="s">
        <v>2011</v>
      </c>
      <c r="E77" s="1796"/>
      <c r="F77" s="1802">
        <f>(F14-F76)</f>
        <v>3581082</v>
      </c>
      <c r="G77" s="870"/>
    </row>
    <row r="78" spans="1:8" s="894" customFormat="1" ht="12" customHeight="1" thickTop="1" x14ac:dyDescent="0.2">
      <c r="A78" s="1803"/>
      <c r="B78" s="1798"/>
      <c r="C78" s="1794"/>
      <c r="D78" s="1799" t="s">
        <v>2058</v>
      </c>
      <c r="E78" s="1796"/>
      <c r="F78" s="899">
        <v>207.1</v>
      </c>
      <c r="G78" s="900"/>
      <c r="H78" s="870"/>
    </row>
    <row r="79" spans="1:8" s="894" customFormat="1" ht="12" customHeight="1" thickBot="1" x14ac:dyDescent="0.25">
      <c r="A79" s="1804"/>
      <c r="B79" s="1798"/>
      <c r="C79" s="1794"/>
      <c r="D79" s="1799" t="s">
        <v>2012</v>
      </c>
      <c r="E79" s="1796" t="s">
        <v>1014</v>
      </c>
      <c r="F79" s="1805">
        <f>IF(F78&gt;0,F77/F78," Complete Line 78")</f>
        <v>17291.559633027522</v>
      </c>
      <c r="G79" s="870"/>
    </row>
    <row r="80" spans="1:8" s="894" customFormat="1" ht="8.25" customHeight="1" thickTop="1" x14ac:dyDescent="0.2">
      <c r="A80" s="901"/>
      <c r="B80" s="870"/>
      <c r="C80" s="872"/>
      <c r="D80" s="902"/>
      <c r="E80" s="869"/>
      <c r="F80" s="903"/>
      <c r="G80" s="870"/>
    </row>
    <row r="81" spans="1:7" s="894" customFormat="1" ht="12" thickBot="1" x14ac:dyDescent="0.25">
      <c r="A81" s="2273" t="s">
        <v>1166</v>
      </c>
      <c r="B81" s="2274"/>
      <c r="C81" s="2274"/>
      <c r="D81" s="2274"/>
      <c r="E81" s="2274"/>
      <c r="F81" s="2275"/>
      <c r="G81" s="870"/>
    </row>
    <row r="82" spans="1:7" s="894" customFormat="1" ht="5.25" customHeight="1" thickTop="1" x14ac:dyDescent="0.2">
      <c r="A82" s="870"/>
      <c r="B82" s="870"/>
      <c r="C82" s="872"/>
      <c r="D82" s="870"/>
      <c r="E82" s="872"/>
      <c r="F82" s="870"/>
      <c r="G82" s="904"/>
    </row>
    <row r="83" spans="1:7" ht="12" customHeight="1" x14ac:dyDescent="0.2">
      <c r="A83" s="905" t="s">
        <v>866</v>
      </c>
      <c r="B83" s="906"/>
      <c r="C83" s="907"/>
      <c r="D83" s="908"/>
      <c r="E83" s="907"/>
      <c r="F83" s="906"/>
      <c r="G83" s="906"/>
    </row>
    <row r="84" spans="1:7" x14ac:dyDescent="0.2">
      <c r="A84" s="909" t="s">
        <v>480</v>
      </c>
      <c r="B84" s="910" t="s">
        <v>148</v>
      </c>
      <c r="C84" s="911">
        <f>'Revenues 9-14'!B42</f>
        <v>1411</v>
      </c>
      <c r="D84" s="912" t="str">
        <f>'Revenues 9-14'!A42</f>
        <v>Regular -Transp Fees from Pupils or Parents (In State)</v>
      </c>
      <c r="E84" s="907" t="s">
        <v>1014</v>
      </c>
      <c r="F84" s="1929">
        <f>'Revenues 9-14'!F42</f>
        <v>0</v>
      </c>
      <c r="G84" s="913"/>
    </row>
    <row r="85" spans="1:7" x14ac:dyDescent="0.2">
      <c r="A85" s="909" t="s">
        <v>480</v>
      </c>
      <c r="B85" s="909" t="s">
        <v>192</v>
      </c>
      <c r="C85" s="914">
        <f>'Revenues 9-14'!B44</f>
        <v>1413</v>
      </c>
      <c r="D85" s="912" t="str">
        <f>'Revenues 9-14'!A44</f>
        <v>Regular - Transp Fees from Other Sources (In State)</v>
      </c>
      <c r="E85" s="907"/>
      <c r="F85" s="1811">
        <f>'Revenues 9-14'!F44</f>
        <v>0</v>
      </c>
      <c r="G85" s="915"/>
    </row>
    <row r="86" spans="1:7" x14ac:dyDescent="0.2">
      <c r="A86" s="909" t="s">
        <v>480</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480</v>
      </c>
      <c r="B87" s="909" t="s">
        <v>169</v>
      </c>
      <c r="C87" s="911">
        <v>1416</v>
      </c>
      <c r="D87" s="912" t="str">
        <f>'Revenues 9-14'!A46</f>
        <v>Regular Transp Fees from Other Sources (Out of State)</v>
      </c>
      <c r="E87" s="907"/>
      <c r="F87" s="1811">
        <f>'Revenues 9-14'!F46</f>
        <v>0</v>
      </c>
      <c r="G87" s="915"/>
    </row>
    <row r="88" spans="1:7" x14ac:dyDescent="0.2">
      <c r="A88" s="909" t="s">
        <v>480</v>
      </c>
      <c r="B88" s="909" t="s">
        <v>170</v>
      </c>
      <c r="C88" s="911">
        <f>'Revenues 9-14'!B51</f>
        <v>1431</v>
      </c>
      <c r="D88" s="912" t="str">
        <f>'Revenues 9-14'!A51</f>
        <v>CTE - Transp Fees from Pupils or Parents (In State)</v>
      </c>
      <c r="E88" s="907"/>
      <c r="F88" s="1811">
        <f>'Revenues 9-14'!F51</f>
        <v>0</v>
      </c>
      <c r="G88" s="915"/>
    </row>
    <row r="89" spans="1:7" x14ac:dyDescent="0.2">
      <c r="A89" s="909" t="s">
        <v>480</v>
      </c>
      <c r="B89" s="909" t="s">
        <v>171</v>
      </c>
      <c r="C89" s="911">
        <f>'Revenues 9-14'!B53</f>
        <v>1433</v>
      </c>
      <c r="D89" s="912" t="str">
        <f>'Revenues 9-14'!A53</f>
        <v>CTE - Transp Fees from Other Sources (In State)</v>
      </c>
      <c r="E89" s="907"/>
      <c r="F89" s="1811">
        <f>'Revenues 9-14'!F53</f>
        <v>0</v>
      </c>
      <c r="G89" s="915"/>
    </row>
    <row r="90" spans="1:7" x14ac:dyDescent="0.2">
      <c r="A90" s="909" t="s">
        <v>480</v>
      </c>
      <c r="B90" s="909" t="s">
        <v>172</v>
      </c>
      <c r="C90" s="911">
        <f>'Revenues 9-14'!B54</f>
        <v>1434</v>
      </c>
      <c r="D90" s="912" t="str">
        <f>'Revenues 9-14'!A54</f>
        <v>CTE - Transp Fees from Other Sources (Out of State)</v>
      </c>
      <c r="E90" s="907"/>
      <c r="F90" s="1811">
        <f>'Revenues 9-14'!F54</f>
        <v>0</v>
      </c>
      <c r="G90" s="915"/>
    </row>
    <row r="91" spans="1:7" x14ac:dyDescent="0.2">
      <c r="A91" s="909" t="s">
        <v>480</v>
      </c>
      <c r="B91" s="909" t="s">
        <v>173</v>
      </c>
      <c r="C91" s="916">
        <f>'Revenues 9-14'!B55</f>
        <v>1441</v>
      </c>
      <c r="D91" s="912" t="str">
        <f>'Revenues 9-14'!A55</f>
        <v>Special Ed - Transp Fees from Pupils or Parents (In State)</v>
      </c>
      <c r="E91" s="907"/>
      <c r="F91" s="1811">
        <f>'Revenues 9-14'!F55</f>
        <v>0</v>
      </c>
      <c r="G91" s="915"/>
    </row>
    <row r="92" spans="1:7" x14ac:dyDescent="0.2">
      <c r="A92" s="909" t="s">
        <v>480</v>
      </c>
      <c r="B92" s="909" t="s">
        <v>174</v>
      </c>
      <c r="C92" s="911">
        <f>'Revenues 9-14'!B57</f>
        <v>1443</v>
      </c>
      <c r="D92" s="912" t="str">
        <f>'Revenues 9-14'!A57</f>
        <v>Special Ed - Transp Fees from Other Sources (In State)</v>
      </c>
      <c r="E92" s="907"/>
      <c r="F92" s="1811">
        <f>'Revenues 9-14'!F57</f>
        <v>0</v>
      </c>
      <c r="G92" s="917"/>
    </row>
    <row r="93" spans="1:7" x14ac:dyDescent="0.2">
      <c r="A93" s="909" t="s">
        <v>480</v>
      </c>
      <c r="B93" s="909" t="s">
        <v>175</v>
      </c>
      <c r="C93" s="911">
        <f>'Revenues 9-14'!B58</f>
        <v>1444</v>
      </c>
      <c r="D93" s="912" t="str">
        <f>'Revenues 9-14'!A58</f>
        <v>Special Ed - Transp Fees from Other Sources (Out of State)</v>
      </c>
      <c r="E93" s="907"/>
      <c r="F93" s="1811">
        <f>'Revenues 9-14'!F58</f>
        <v>0</v>
      </c>
      <c r="G93" s="917"/>
    </row>
    <row r="94" spans="1:7" x14ac:dyDescent="0.2">
      <c r="A94" s="909" t="s">
        <v>478</v>
      </c>
      <c r="B94" s="909" t="s">
        <v>176</v>
      </c>
      <c r="C94" s="911">
        <v>1600</v>
      </c>
      <c r="D94" s="918" t="str">
        <f>'Revenues 9-14'!A75</f>
        <v>Total Food Service</v>
      </c>
      <c r="E94" s="907"/>
      <c r="F94" s="1811">
        <f>'Revenues 9-14'!C75</f>
        <v>38442</v>
      </c>
      <c r="G94" s="913"/>
    </row>
    <row r="95" spans="1:7" x14ac:dyDescent="0.2">
      <c r="A95" s="909" t="s">
        <v>142</v>
      </c>
      <c r="B95" s="909" t="s">
        <v>177</v>
      </c>
      <c r="C95" s="911">
        <v>1700</v>
      </c>
      <c r="D95" s="919" t="str">
        <f>'Revenues 9-14'!A82</f>
        <v>Total District/School Activity Income</v>
      </c>
      <c r="E95" s="907"/>
      <c r="F95" s="1811">
        <f>SUM('Revenues 9-14'!C82,'Revenues 9-14'!D82)</f>
        <v>14769</v>
      </c>
      <c r="G95" s="913"/>
    </row>
    <row r="96" spans="1:7" x14ac:dyDescent="0.2">
      <c r="A96" s="909" t="s">
        <v>478</v>
      </c>
      <c r="B96" s="909" t="s">
        <v>178</v>
      </c>
      <c r="C96" s="911">
        <f>'Revenues 9-14'!B84</f>
        <v>1811</v>
      </c>
      <c r="D96" s="912" t="str">
        <f>'Revenues 9-14'!A84</f>
        <v>Rentals - Regular Textbooks</v>
      </c>
      <c r="E96" s="907"/>
      <c r="F96" s="1811">
        <f>'Revenues 9-14'!C84</f>
        <v>6517</v>
      </c>
      <c r="G96" s="913"/>
    </row>
    <row r="97" spans="1:7" x14ac:dyDescent="0.2">
      <c r="A97" s="909" t="s">
        <v>478</v>
      </c>
      <c r="B97" s="909" t="s">
        <v>179</v>
      </c>
      <c r="C97" s="911">
        <f>'Revenues 9-14'!B87</f>
        <v>1819</v>
      </c>
      <c r="D97" s="912" t="str">
        <f>'Revenues 9-14'!A87</f>
        <v>Rentals - Other (Describe &amp; Itemize)</v>
      </c>
      <c r="E97" s="907"/>
      <c r="F97" s="1811">
        <f>'Revenues 9-14'!C87</f>
        <v>0</v>
      </c>
      <c r="G97" s="913"/>
    </row>
    <row r="98" spans="1:7" x14ac:dyDescent="0.2">
      <c r="A98" s="909" t="s">
        <v>478</v>
      </c>
      <c r="B98" s="909" t="s">
        <v>180</v>
      </c>
      <c r="C98" s="911">
        <f>'Revenues 9-14'!B88</f>
        <v>1821</v>
      </c>
      <c r="D98" s="912" t="str">
        <f>'Revenues 9-14'!A88</f>
        <v>Sales - Regular Textbooks</v>
      </c>
      <c r="E98" s="907"/>
      <c r="F98" s="1811">
        <f>'Revenues 9-14'!C88</f>
        <v>0</v>
      </c>
      <c r="G98" s="913"/>
    </row>
    <row r="99" spans="1:7" x14ac:dyDescent="0.2">
      <c r="A99" s="909" t="s">
        <v>478</v>
      </c>
      <c r="B99" s="909" t="s">
        <v>181</v>
      </c>
      <c r="C99" s="911">
        <f>'Revenues 9-14'!B91</f>
        <v>1829</v>
      </c>
      <c r="D99" s="912" t="str">
        <f>'Revenues 9-14'!A91</f>
        <v>Sales - Other (Describe &amp; Itemize)</v>
      </c>
      <c r="E99" s="907"/>
      <c r="F99" s="1811">
        <f>'Revenues 9-14'!C91</f>
        <v>0</v>
      </c>
      <c r="G99" s="913"/>
    </row>
    <row r="100" spans="1:7" x14ac:dyDescent="0.2">
      <c r="A100" s="909" t="s">
        <v>478</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640</v>
      </c>
      <c r="G101" s="913"/>
    </row>
    <row r="102" spans="1:7" x14ac:dyDescent="0.2">
      <c r="A102" s="909" t="s">
        <v>523</v>
      </c>
      <c r="B102" s="909" t="s">
        <v>184</v>
      </c>
      <c r="C102" s="911">
        <f>'Revenues 9-14'!B98</f>
        <v>1940</v>
      </c>
      <c r="D102" s="912" t="str">
        <f>'Revenues 9-14'!A98</f>
        <v>Services Provided Other Districts</v>
      </c>
      <c r="E102" s="907"/>
      <c r="F102" s="1811">
        <f>SUM('Revenues 9-14'!C98,'Revenues 9-14'!D98,'Revenues 9-14'!F98)</f>
        <v>9108</v>
      </c>
      <c r="G102" s="913"/>
    </row>
    <row r="103" spans="1:7" x14ac:dyDescent="0.2">
      <c r="A103" s="909" t="s">
        <v>1065</v>
      </c>
      <c r="B103" s="909" t="s">
        <v>833</v>
      </c>
      <c r="C103" s="911">
        <f>'Revenues 9-14'!B104</f>
        <v>1991</v>
      </c>
      <c r="D103" s="920" t="str">
        <f>'Revenues 9-14'!A104</f>
        <v>Payment from Other Districts</v>
      </c>
      <c r="E103" s="907"/>
      <c r="F103" s="1811">
        <f>SUM('Revenues 9-14'!C104,'Revenues 9-14'!D104,'Revenues 9-14'!E104,'Revenues 9-14'!F104,'Revenues 9-14'!G104)</f>
        <v>10782</v>
      </c>
      <c r="G103" s="913"/>
    </row>
    <row r="104" spans="1:7" x14ac:dyDescent="0.2">
      <c r="A104" s="909" t="s">
        <v>478</v>
      </c>
      <c r="B104" s="909" t="s">
        <v>840</v>
      </c>
      <c r="C104" s="911">
        <f>'Revenues 9-14'!B106</f>
        <v>1993</v>
      </c>
      <c r="D104" s="912" t="str">
        <f>'Revenues 9-14'!A106</f>
        <v>Other Local Fees (Describe &amp; Itemize)</v>
      </c>
      <c r="E104" s="907"/>
      <c r="F104" s="1811">
        <f>('Revenues 9-14'!C106)</f>
        <v>0</v>
      </c>
      <c r="G104" s="913"/>
    </row>
    <row r="105" spans="1:7" x14ac:dyDescent="0.2">
      <c r="A105" s="909" t="s">
        <v>523</v>
      </c>
      <c r="B105" s="909" t="s">
        <v>841</v>
      </c>
      <c r="C105" s="914">
        <v>3100</v>
      </c>
      <c r="D105" s="920" t="str">
        <f>'Revenues 9-14'!A131</f>
        <v>Total Special Education</v>
      </c>
      <c r="E105" s="907"/>
      <c r="F105" s="1811">
        <f>SUM('Revenues 9-14'!C131:D131,'Revenues 9-14'!F131)</f>
        <v>68660</v>
      </c>
      <c r="G105" s="913"/>
    </row>
    <row r="106" spans="1:7" x14ac:dyDescent="0.2">
      <c r="A106" s="909" t="s">
        <v>693</v>
      </c>
      <c r="B106" s="909" t="s">
        <v>1482</v>
      </c>
      <c r="C106" s="921">
        <v>3200</v>
      </c>
      <c r="D106" s="912" t="str">
        <f>'Revenues 9-14'!A140</f>
        <v>Total Career and Technical Education</v>
      </c>
      <c r="E106" s="907"/>
      <c r="F106" s="1811">
        <f>SUM('Revenues 9-14'!C140,'Revenues 9-14'!D140,'Revenues 9-14'!G140)</f>
        <v>2170</v>
      </c>
      <c r="G106" s="913"/>
    </row>
    <row r="107" spans="1:7" x14ac:dyDescent="0.2">
      <c r="A107" s="922" t="s">
        <v>684</v>
      </c>
      <c r="B107" s="909" t="s">
        <v>842</v>
      </c>
      <c r="C107" s="921">
        <v>3300</v>
      </c>
      <c r="D107" s="912" t="str">
        <f>'Revenues 9-14'!A144</f>
        <v>Total Bilingual Ed</v>
      </c>
      <c r="E107" s="907"/>
      <c r="F107" s="1811">
        <f>SUM('Revenues 9-14'!C144,'Revenues 9-14'!G144)</f>
        <v>0</v>
      </c>
      <c r="G107" s="913"/>
    </row>
    <row r="108" spans="1:7" x14ac:dyDescent="0.2">
      <c r="A108" s="909" t="s">
        <v>478</v>
      </c>
      <c r="B108" s="909" t="s">
        <v>843</v>
      </c>
      <c r="C108" s="921">
        <f>'Revenues 9-14'!B145</f>
        <v>3360</v>
      </c>
      <c r="D108" s="912" t="str">
        <f>'Revenues 9-14'!A145</f>
        <v>State Free Lunch &amp; Breakfast</v>
      </c>
      <c r="E108" s="907"/>
      <c r="F108" s="1811">
        <f>'Revenues 9-14'!C145</f>
        <v>746</v>
      </c>
      <c r="G108" s="913"/>
    </row>
    <row r="109" spans="1:7" x14ac:dyDescent="0.2">
      <c r="A109" s="909" t="s">
        <v>693</v>
      </c>
      <c r="B109" s="909" t="s">
        <v>844</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845</v>
      </c>
      <c r="C110" s="921">
        <f>'Revenues 9-14'!B147</f>
        <v>3370</v>
      </c>
      <c r="D110" s="912" t="str">
        <f>'Revenues 9-14'!A147</f>
        <v>Driver Education</v>
      </c>
      <c r="E110" s="907"/>
      <c r="F110" s="1811">
        <f>SUM('Revenues 9-14'!C147,'Revenues 9-14'!D147)</f>
        <v>4888</v>
      </c>
      <c r="G110" s="913"/>
    </row>
    <row r="111" spans="1:7" x14ac:dyDescent="0.2">
      <c r="A111" s="909" t="s">
        <v>688</v>
      </c>
      <c r="B111" s="909" t="s">
        <v>801</v>
      </c>
      <c r="C111" s="923">
        <v>3500</v>
      </c>
      <c r="D111" s="912" t="str">
        <f>'Revenues 9-14'!A154</f>
        <v>Total Transportation</v>
      </c>
      <c r="E111" s="907"/>
      <c r="F111" s="1811">
        <f>SUM('Revenues 9-14'!C154,'Revenues 9-14'!D154,'Revenues 9-14'!F154,'Revenues 9-14'!G154)</f>
        <v>185288</v>
      </c>
      <c r="G111" s="913"/>
    </row>
    <row r="112" spans="1:7" x14ac:dyDescent="0.2">
      <c r="A112" s="909" t="s">
        <v>478</v>
      </c>
      <c r="B112" s="909" t="s">
        <v>846</v>
      </c>
      <c r="C112" s="921">
        <f>'Revenues 9-14'!B155</f>
        <v>3610</v>
      </c>
      <c r="D112" s="912" t="str">
        <f>'Revenues 9-14'!A155</f>
        <v>Learning Improvement - Change Grants</v>
      </c>
      <c r="E112" s="907"/>
      <c r="F112" s="1811">
        <f>'Revenues 9-14'!C155</f>
        <v>0</v>
      </c>
      <c r="G112" s="913"/>
    </row>
    <row r="113" spans="1:7" x14ac:dyDescent="0.2">
      <c r="A113" s="909" t="s">
        <v>688</v>
      </c>
      <c r="B113" s="909" t="s">
        <v>847</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848</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849</v>
      </c>
      <c r="C118" s="925">
        <f>'Revenues 9-14'!B162</f>
        <v>3726</v>
      </c>
      <c r="D118" s="926" t="str">
        <f>'Revenues 9-14'!A162</f>
        <v>Continued Reading Improvement Block Grant (2% Set Aside)</v>
      </c>
      <c r="E118" s="927"/>
      <c r="F118" s="1928">
        <f>SUM('Revenues 9-14'!C162,'Revenues 9-14'!F162,'Revenues 9-14'!G162)</f>
        <v>0</v>
      </c>
      <c r="G118" s="913"/>
    </row>
    <row r="119" spans="1:7" x14ac:dyDescent="0.2">
      <c r="A119" s="909" t="s">
        <v>688</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688</v>
      </c>
      <c r="B120" s="909" t="s">
        <v>850</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1065</v>
      </c>
      <c r="B121" s="924" t="s">
        <v>189</v>
      </c>
      <c r="C121" s="925">
        <f>'Revenues 9-14'!B165</f>
        <v>3775</v>
      </c>
      <c r="D121" s="926" t="str">
        <f>'Revenues 9-14'!A165</f>
        <v>School Safety &amp; Educational Improvement Block Grant</v>
      </c>
      <c r="E121" s="907"/>
      <c r="F121" s="1929">
        <f>SUM('Revenues 9-14'!C165,'Revenues 9-14'!D165,'Revenues 9-14'!E165,'Revenues 9-14'!F165,'Revenues 9-14'!G165)</f>
        <v>0</v>
      </c>
      <c r="G121" s="913"/>
    </row>
    <row r="122" spans="1:7" x14ac:dyDescent="0.2">
      <c r="A122" s="924" t="s">
        <v>1065</v>
      </c>
      <c r="B122" s="924" t="s">
        <v>851</v>
      </c>
      <c r="C122" s="925">
        <f>'Revenues 9-14'!B166</f>
        <v>3780</v>
      </c>
      <c r="D122" s="926" t="str">
        <f>'Revenues 9-14'!A166</f>
        <v>Technology - Technology for Success</v>
      </c>
      <c r="E122" s="907"/>
      <c r="F122" s="1929">
        <f>SUM('Revenues 9-14'!C166:G166)</f>
        <v>0</v>
      </c>
      <c r="G122" s="913"/>
    </row>
    <row r="123" spans="1:7" x14ac:dyDescent="0.2">
      <c r="A123" s="924" t="s">
        <v>524</v>
      </c>
      <c r="B123" s="924" t="s">
        <v>852</v>
      </c>
      <c r="C123" s="925">
        <f>'Revenues 9-14'!B167</f>
        <v>3815</v>
      </c>
      <c r="D123" s="926" t="str">
        <f>'Revenues 9-14'!A167</f>
        <v>State Charter Schools</v>
      </c>
      <c r="E123" s="907"/>
      <c r="F123" s="1929">
        <f>SUM('Revenues 9-14'!C167,'Revenues 9-14'!F167)</f>
        <v>0</v>
      </c>
      <c r="G123" s="913"/>
    </row>
    <row r="124" spans="1:7" x14ac:dyDescent="0.2">
      <c r="A124" s="928" t="s">
        <v>479</v>
      </c>
      <c r="B124" s="928" t="s">
        <v>853</v>
      </c>
      <c r="C124" s="929">
        <f>'Revenues 9-14'!B170</f>
        <v>3925</v>
      </c>
      <c r="D124" s="930" t="str">
        <f>'Revenues 9-14'!A170</f>
        <v>School Infrastructure - Maintenance Projects</v>
      </c>
      <c r="E124" s="907"/>
      <c r="F124" s="1811">
        <f>'Revenues 9-14'!D170</f>
        <v>0</v>
      </c>
      <c r="G124" s="931"/>
    </row>
    <row r="125" spans="1:7" x14ac:dyDescent="0.2">
      <c r="A125" s="928" t="s">
        <v>520</v>
      </c>
      <c r="B125" s="928" t="s">
        <v>854</v>
      </c>
      <c r="C125" s="929">
        <f>'Revenues 9-14'!B171</f>
        <v>3999</v>
      </c>
      <c r="D125" s="930" t="s">
        <v>563</v>
      </c>
      <c r="E125" s="932"/>
      <c r="F125" s="1811">
        <f>SUM('Revenues 9-14'!C171:G171,'Revenues 9-14'!J171)</f>
        <v>0</v>
      </c>
      <c r="G125" s="931"/>
    </row>
    <row r="126" spans="1:7" x14ac:dyDescent="0.2">
      <c r="A126" s="928" t="s">
        <v>478</v>
      </c>
      <c r="B126" s="928" t="s">
        <v>855</v>
      </c>
      <c r="C126" s="933">
        <f>'Revenues 9-14'!B180</f>
        <v>4045</v>
      </c>
      <c r="D126" s="930" t="str">
        <f>'Revenues 9-14'!A180 &amp; " (Subtract)"</f>
        <v>Head Start (Subtract)</v>
      </c>
      <c r="E126" s="907"/>
      <c r="F126" s="1811">
        <f>SUM(-'Revenues 9-14'!C180)</f>
        <v>0</v>
      </c>
      <c r="G126" s="931"/>
    </row>
    <row r="127" spans="1:7" x14ac:dyDescent="0.2">
      <c r="A127" s="928" t="s">
        <v>688</v>
      </c>
      <c r="B127" s="928" t="s">
        <v>856</v>
      </c>
      <c r="C127" s="933" t="s">
        <v>1038</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688</v>
      </c>
      <c r="B128" s="928" t="s">
        <v>857</v>
      </c>
      <c r="C128" s="933">
        <v>4100</v>
      </c>
      <c r="D128" s="934" t="str">
        <f>'Revenues 9-14'!A191</f>
        <v>Total Title V</v>
      </c>
      <c r="E128" s="907"/>
      <c r="F128" s="1811">
        <f>SUM('Revenues 9-14'!C191,'Revenues 9-14'!D191,'Revenues 9-14'!F191,'Revenues 9-14'!G191)</f>
        <v>17320</v>
      </c>
      <c r="G128" s="931"/>
    </row>
    <row r="129" spans="1:7" x14ac:dyDescent="0.2">
      <c r="A129" s="928" t="s">
        <v>684</v>
      </c>
      <c r="B129" s="928" t="s">
        <v>802</v>
      </c>
      <c r="C129" s="933">
        <v>4200</v>
      </c>
      <c r="D129" s="930" t="str">
        <f>'Revenues 9-14'!A201</f>
        <v>Total Food Service</v>
      </c>
      <c r="E129" s="907"/>
      <c r="F129" s="1811">
        <f>SUM('Revenues 9-14'!C201,'Revenues 9-14'!G201)</f>
        <v>59422</v>
      </c>
      <c r="G129" s="931"/>
    </row>
    <row r="130" spans="1:7" x14ac:dyDescent="0.2">
      <c r="A130" s="928" t="s">
        <v>688</v>
      </c>
      <c r="B130" s="928" t="s">
        <v>803</v>
      </c>
      <c r="C130" s="933">
        <v>4300</v>
      </c>
      <c r="D130" s="934" t="str">
        <f>'Revenues 9-14'!A211</f>
        <v>Total Title I</v>
      </c>
      <c r="E130" s="907"/>
      <c r="F130" s="1811">
        <f>SUM('Revenues 9-14'!C211,'Revenues 9-14'!D211,'Revenues 9-14'!F211,'Revenues 9-14'!G211)</f>
        <v>66084</v>
      </c>
      <c r="G130" s="931"/>
    </row>
    <row r="131" spans="1:7" x14ac:dyDescent="0.2">
      <c r="A131" s="928" t="s">
        <v>688</v>
      </c>
      <c r="B131" s="928" t="s">
        <v>804</v>
      </c>
      <c r="C131" s="933">
        <v>4400</v>
      </c>
      <c r="D131" s="934" t="str">
        <f>'Revenues 9-14'!A216</f>
        <v>Total Title IV</v>
      </c>
      <c r="E131" s="907"/>
      <c r="F131" s="1811">
        <f>SUM('Revenues 9-14'!C216,'Revenues 9-14'!D216,'Revenues 9-14'!F216,'Revenues 9-14'!G216)</f>
        <v>19544</v>
      </c>
      <c r="G131" s="931"/>
    </row>
    <row r="132" spans="1:7" x14ac:dyDescent="0.2">
      <c r="A132" s="928" t="s">
        <v>688</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688</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688</v>
      </c>
      <c r="B134" s="928" t="s">
        <v>858</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688</v>
      </c>
      <c r="B135" s="928" t="s">
        <v>805</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693</v>
      </c>
      <c r="B136" s="928" t="s">
        <v>806</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1483</v>
      </c>
      <c r="C137" s="936" t="s">
        <v>216</v>
      </c>
      <c r="D137" s="937" t="str">
        <f>'Revenues 9-14'!A231</f>
        <v>ARRA - Title I - Low Income</v>
      </c>
      <c r="E137" s="938"/>
      <c r="F137" s="1929">
        <f>SUM('Revenues 9-14'!$C$231:$D$231,'Revenues 9-14'!$F$231:$G$231)</f>
        <v>0</v>
      </c>
      <c r="G137" s="906"/>
    </row>
    <row r="138" spans="1:7" s="868" customFormat="1" hidden="1" x14ac:dyDescent="0.2">
      <c r="A138" s="935" t="s">
        <v>215</v>
      </c>
      <c r="B138" s="935" t="s">
        <v>1484</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859</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1485</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688</v>
      </c>
      <c r="B146" s="935" t="s">
        <v>1486</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1487</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862</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1488</v>
      </c>
      <c r="C160" s="936" t="s">
        <v>255</v>
      </c>
      <c r="D160" s="937" t="str">
        <f>'Revenues 9-14'!A258</f>
        <v>Other ARRA Funds Ed Job Fund Program</v>
      </c>
      <c r="E160" s="938"/>
      <c r="F160" s="1811">
        <f>SUM('Revenues 9-14'!C258:G258,'Revenues 9-14'!J258)</f>
        <v>0</v>
      </c>
      <c r="G160" s="906"/>
    </row>
    <row r="161" spans="1:7" s="868" customFormat="1" x14ac:dyDescent="0.2">
      <c r="A161" s="939" t="s">
        <v>520</v>
      </c>
      <c r="B161" s="940" t="s">
        <v>1563</v>
      </c>
      <c r="C161" s="941" t="s">
        <v>895</v>
      </c>
      <c r="D161" s="942" t="s">
        <v>807</v>
      </c>
      <c r="E161" s="943"/>
      <c r="F161" s="1811">
        <f>SUM(F137:F160)</f>
        <v>0</v>
      </c>
      <c r="G161" s="906"/>
    </row>
    <row r="162" spans="1:7" s="868" customFormat="1" x14ac:dyDescent="0.2">
      <c r="A162" s="939" t="s">
        <v>478</v>
      </c>
      <c r="B162" s="940" t="s">
        <v>1500</v>
      </c>
      <c r="C162" s="941" t="s">
        <v>1498</v>
      </c>
      <c r="D162" s="942" t="s">
        <v>1499</v>
      </c>
      <c r="E162" s="943"/>
      <c r="F162" s="1811">
        <f>SUM('Revenues 9-14'!C260)</f>
        <v>0</v>
      </c>
      <c r="G162" s="906"/>
    </row>
    <row r="163" spans="1:7" s="868" customFormat="1" x14ac:dyDescent="0.2">
      <c r="A163" s="939" t="s">
        <v>520</v>
      </c>
      <c r="B163" s="940" t="s">
        <v>1540</v>
      </c>
      <c r="C163" s="941" t="s">
        <v>1541</v>
      </c>
      <c r="D163" s="942" t="s">
        <v>1542</v>
      </c>
      <c r="E163" s="943"/>
      <c r="F163" s="1811">
        <f>SUM('Revenues 9-14'!C261:H261,'Revenues 9-14'!J261:K261)</f>
        <v>0</v>
      </c>
      <c r="G163" s="906"/>
    </row>
    <row r="164" spans="1:7" x14ac:dyDescent="0.2">
      <c r="A164" s="928" t="s">
        <v>1066</v>
      </c>
      <c r="B164" s="928" t="s">
        <v>1555</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808</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1501</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1556</v>
      </c>
      <c r="C167" s="933">
        <f>'Revenues 9-14'!B265</f>
        <v>4910</v>
      </c>
      <c r="D167" s="930" t="str">
        <f>'Revenues 9-14'!A265</f>
        <v>Learn &amp; Serve America</v>
      </c>
      <c r="E167" s="907"/>
      <c r="F167" s="1811">
        <f>SUM('Revenues 9-14'!C265,'Revenues 9-14'!F265,'Revenues 9-14'!G265)</f>
        <v>0</v>
      </c>
      <c r="G167" s="931"/>
    </row>
    <row r="168" spans="1:7" x14ac:dyDescent="0.2">
      <c r="A168" s="928" t="s">
        <v>688</v>
      </c>
      <c r="B168" s="928" t="s">
        <v>706</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688</v>
      </c>
      <c r="B169" s="945" t="s">
        <v>707</v>
      </c>
      <c r="C169" s="946">
        <f>'Revenues 9-14'!B267</f>
        <v>4930</v>
      </c>
      <c r="D169" s="947" t="str">
        <f>'Revenues 9-14'!A267</f>
        <v>Title II - Eisenhower Professional Development Formula</v>
      </c>
      <c r="E169" s="927"/>
      <c r="F169" s="1929">
        <f>SUM('Revenues 9-14'!C267:D267,'Revenues 9-14'!F267,'Revenues 9-14'!G267)</f>
        <v>0</v>
      </c>
      <c r="G169" s="931"/>
    </row>
    <row r="170" spans="1:7" x14ac:dyDescent="0.2">
      <c r="A170" s="928" t="s">
        <v>688</v>
      </c>
      <c r="B170" s="928" t="s">
        <v>708</v>
      </c>
      <c r="C170" s="933">
        <f>'Revenues 9-14'!B268</f>
        <v>4932</v>
      </c>
      <c r="D170" s="934" t="str">
        <f>'Revenues 9-14'!A268</f>
        <v>Title II - Teacher Quality</v>
      </c>
      <c r="E170" s="907"/>
      <c r="F170" s="1929">
        <f>SUM('Revenues 9-14'!C268,'Revenues 9-14'!D268,'Revenues 9-14'!F268,'Revenues 9-14'!G268)</f>
        <v>7809</v>
      </c>
      <c r="G170" s="931"/>
    </row>
    <row r="171" spans="1:7" x14ac:dyDescent="0.2">
      <c r="A171" s="928" t="s">
        <v>688</v>
      </c>
      <c r="B171" s="928" t="s">
        <v>863</v>
      </c>
      <c r="C171" s="933">
        <f>'Revenues 9-14'!B269</f>
        <v>4960</v>
      </c>
      <c r="D171" s="930" t="str">
        <f>'Revenues 9-14'!A269</f>
        <v>Federal Charter Schools</v>
      </c>
      <c r="E171" s="907"/>
      <c r="F171" s="1811">
        <f>SUM('Revenues 9-14'!C269:D269,'Revenues 9-14'!F269:G269)</f>
        <v>0</v>
      </c>
      <c r="G171" s="931"/>
    </row>
    <row r="172" spans="1:7" x14ac:dyDescent="0.2">
      <c r="A172" s="928" t="s">
        <v>688</v>
      </c>
      <c r="B172" s="928" t="s">
        <v>809</v>
      </c>
      <c r="C172" s="933">
        <f>'Revenues 9-14'!B270</f>
        <v>4991</v>
      </c>
      <c r="D172" s="934" t="str">
        <f>'Revenues 9-14'!A270</f>
        <v>Medicaid Matching Funds - Administrative Outreach</v>
      </c>
      <c r="E172" s="907"/>
      <c r="F172" s="1811">
        <f>SUM('Revenues 9-14'!C270:D270,'Revenues 9-14'!F270:G270)</f>
        <v>4672</v>
      </c>
      <c r="G172" s="948">
        <v>6320</v>
      </c>
    </row>
    <row r="173" spans="1:7" x14ac:dyDescent="0.2">
      <c r="A173" s="928" t="s">
        <v>688</v>
      </c>
      <c r="B173" s="928" t="s">
        <v>1502</v>
      </c>
      <c r="C173" s="933">
        <f>'Revenues 9-14'!B271</f>
        <v>4992</v>
      </c>
      <c r="D173" s="934" t="str">
        <f>'Revenues 9-14'!A271</f>
        <v>Medicaid Matching Funds - Fee-for-Service Program</v>
      </c>
      <c r="E173" s="907"/>
      <c r="F173" s="1811">
        <f>SUM('Revenues 9-14'!C271:D271,'Revenues 9-14'!F271:G271)</f>
        <v>23272</v>
      </c>
      <c r="G173" s="948"/>
    </row>
    <row r="174" spans="1:7" x14ac:dyDescent="0.2">
      <c r="A174" s="949" t="s">
        <v>688</v>
      </c>
      <c r="B174" s="945" t="s">
        <v>1557</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0" t="s">
        <v>5</v>
      </c>
      <c r="B175" s="1941" t="s">
        <v>2057</v>
      </c>
      <c r="C175" s="1942">
        <v>3100</v>
      </c>
      <c r="D175" s="1943" t="s">
        <v>2060</v>
      </c>
      <c r="E175" s="907"/>
      <c r="F175" s="1927"/>
      <c r="G175" s="928"/>
    </row>
    <row r="176" spans="1:7" x14ac:dyDescent="0.2">
      <c r="A176" s="1940" t="s">
        <v>684</v>
      </c>
      <c r="B176" s="1941" t="s">
        <v>2057</v>
      </c>
      <c r="C176" s="1942">
        <v>3300</v>
      </c>
      <c r="D176" s="1943" t="s">
        <v>2061</v>
      </c>
      <c r="E176" s="907"/>
      <c r="F176" s="1927"/>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1014</v>
      </c>
      <c r="F178" s="1810">
        <f>SUM(F84:F136,F161:F176)</f>
        <v>540133</v>
      </c>
    </row>
    <row r="179" spans="1:7" ht="12" customHeight="1" x14ac:dyDescent="0.2">
      <c r="A179" s="1792"/>
      <c r="B179" s="1806"/>
      <c r="C179" s="1807"/>
      <c r="D179" s="1808" t="s">
        <v>2014</v>
      </c>
      <c r="E179" s="1809"/>
      <c r="F179" s="1811">
        <f>'PCTC-OEPP 27-28'!F77-F178</f>
        <v>3040949</v>
      </c>
    </row>
    <row r="180" spans="1:7" ht="12" customHeight="1" x14ac:dyDescent="0.2">
      <c r="A180" s="1792"/>
      <c r="B180" s="1806"/>
      <c r="C180" s="1807"/>
      <c r="D180" s="1808" t="s">
        <v>1923</v>
      </c>
      <c r="E180" s="1809"/>
      <c r="F180" s="1811">
        <f>'Cap Outlay Deprec 26'!I18</f>
        <v>248163</v>
      </c>
    </row>
    <row r="181" spans="1:7" ht="12" customHeight="1" x14ac:dyDescent="0.2">
      <c r="A181" s="1792"/>
      <c r="B181" s="1806"/>
      <c r="C181" s="1807"/>
      <c r="D181" s="1808" t="s">
        <v>2015</v>
      </c>
      <c r="E181" s="1809"/>
      <c r="F181" s="1811">
        <f>F179+F180</f>
        <v>3289112</v>
      </c>
    </row>
    <row r="182" spans="1:7" ht="12" customHeight="1" x14ac:dyDescent="0.2">
      <c r="A182" s="1792"/>
      <c r="B182" s="1812"/>
      <c r="C182" s="1807"/>
      <c r="D182" s="1808" t="str">
        <f>D78</f>
        <v>9 Month ADA from District Average Daily Attendance/Prior General State Aid Inquiry 2017-2018</v>
      </c>
      <c r="E182" s="1809"/>
      <c r="F182" s="1813">
        <f>'PCTC-OEPP 27-28'!F78</f>
        <v>207.1</v>
      </c>
      <c r="G182" s="931"/>
    </row>
    <row r="183" spans="1:7" ht="12" customHeight="1" thickBot="1" x14ac:dyDescent="0.25">
      <c r="A183" s="1792"/>
      <c r="B183" s="1812"/>
      <c r="C183" s="1807"/>
      <c r="D183" s="1808" t="s">
        <v>2016</v>
      </c>
      <c r="E183" s="1809" t="s">
        <v>1625</v>
      </c>
      <c r="F183" s="1814">
        <f>F181/F182</f>
        <v>15881.757605021729</v>
      </c>
      <c r="G183" s="857">
        <v>6323</v>
      </c>
    </row>
    <row r="184" spans="1:7" ht="12" thickTop="1" x14ac:dyDescent="0.2">
      <c r="B184" s="931"/>
      <c r="C184" s="950"/>
      <c r="D184" s="931"/>
      <c r="E184" s="950"/>
      <c r="F184" s="931"/>
      <c r="G184" s="952">
        <v>6326</v>
      </c>
    </row>
    <row r="185" spans="1:7" ht="12.2" customHeight="1" x14ac:dyDescent="0.2">
      <c r="A185" s="931" t="s">
        <v>2059</v>
      </c>
      <c r="B185" s="931"/>
      <c r="C185" s="950"/>
      <c r="D185" s="931"/>
      <c r="E185" s="950"/>
      <c r="F185" s="931"/>
      <c r="G185" s="931"/>
    </row>
    <row r="186" spans="1:7" s="1944" customFormat="1" ht="12.2" customHeight="1" x14ac:dyDescent="0.2">
      <c r="A186" s="1944" t="s">
        <v>2064</v>
      </c>
      <c r="B186" s="1945"/>
      <c r="C186" s="1946"/>
      <c r="D186" s="1945"/>
      <c r="E186" s="1946"/>
      <c r="F186" s="1945"/>
      <c r="G186" s="1945"/>
    </row>
    <row r="187" spans="1:7" s="1944" customFormat="1" ht="12.2" customHeight="1" x14ac:dyDescent="0.2">
      <c r="A187" s="1947" t="s">
        <v>2065</v>
      </c>
      <c r="C187" s="1946"/>
      <c r="D187" s="1945"/>
      <c r="E187" s="1946"/>
      <c r="F187" s="1945"/>
      <c r="G187" s="1945"/>
    </row>
    <row r="188" spans="1:7" ht="12" customHeight="1" x14ac:dyDescent="0.2">
      <c r="C188" s="950"/>
      <c r="D188" s="931"/>
      <c r="E188" s="950"/>
      <c r="F188" s="931"/>
      <c r="G188" s="931"/>
    </row>
    <row r="189" spans="1:7" x14ac:dyDescent="0.2">
      <c r="A189" s="1948" t="s">
        <v>2063</v>
      </c>
      <c r="B189" s="1949" t="s">
        <v>2062</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Normal="100" workbookViewId="0">
      <pane ySplit="16" topLeftCell="A17" activePane="bottomLeft" state="frozen"/>
      <selection pane="bottomLeft" activeCell="A9" sqref="A9:G9"/>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1939</v>
      </c>
      <c r="B1" s="1682"/>
      <c r="C1" s="1682"/>
      <c r="D1" s="1682"/>
      <c r="E1" s="1682"/>
      <c r="F1" s="1682"/>
      <c r="G1" s="1682"/>
    </row>
    <row r="2" spans="1:7" x14ac:dyDescent="0.25">
      <c r="A2" s="1679"/>
      <c r="B2" s="1679"/>
      <c r="C2" s="1680" t="s">
        <v>1035</v>
      </c>
      <c r="D2" s="1679"/>
      <c r="E2" s="1679"/>
      <c r="F2" s="1679"/>
      <c r="G2" s="1679"/>
    </row>
    <row r="3" spans="1:7" ht="5.25" customHeight="1" x14ac:dyDescent="0.25">
      <c r="A3" s="1567"/>
      <c r="B3" s="1567"/>
      <c r="C3" s="1567"/>
      <c r="D3" s="1567"/>
      <c r="E3" s="1567"/>
      <c r="F3" s="1567"/>
      <c r="G3" s="1567"/>
    </row>
    <row r="4" spans="1:7" ht="18.75" customHeight="1" x14ac:dyDescent="0.25">
      <c r="A4" s="2287" t="s">
        <v>1924</v>
      </c>
      <c r="B4" s="2288"/>
      <c r="C4" s="2288"/>
      <c r="D4" s="2288"/>
      <c r="E4" s="2288"/>
      <c r="F4" s="2288"/>
      <c r="G4" s="2289"/>
    </row>
    <row r="5" spans="1:7" x14ac:dyDescent="0.25">
      <c r="A5" s="2290"/>
      <c r="B5" s="2291"/>
      <c r="C5" s="2291"/>
      <c r="D5" s="2291"/>
      <c r="E5" s="2291"/>
      <c r="F5" s="2291"/>
      <c r="G5" s="2292"/>
    </row>
    <row r="6" spans="1:7" ht="18.75" x14ac:dyDescent="0.25">
      <c r="A6" s="1556" t="s">
        <v>1925</v>
      </c>
      <c r="B6" s="1557"/>
      <c r="C6" s="1557"/>
      <c r="D6" s="1557"/>
      <c r="E6" s="1557"/>
      <c r="F6" s="1557"/>
      <c r="G6" s="1558"/>
    </row>
    <row r="7" spans="1:7" ht="30.75" customHeight="1" x14ac:dyDescent="0.25">
      <c r="A7" s="2293" t="s">
        <v>2074</v>
      </c>
      <c r="B7" s="2294"/>
      <c r="C7" s="2294"/>
      <c r="D7" s="2294"/>
      <c r="E7" s="2294"/>
      <c r="F7" s="2294"/>
      <c r="G7" s="2295"/>
    </row>
    <row r="8" spans="1:7" ht="15.75" customHeight="1" x14ac:dyDescent="0.25">
      <c r="A8" s="2296" t="s">
        <v>2023</v>
      </c>
      <c r="B8" s="2297"/>
      <c r="C8" s="2297"/>
      <c r="D8" s="2297"/>
      <c r="E8" s="2297"/>
      <c r="F8" s="2297"/>
      <c r="G8" s="2298"/>
    </row>
    <row r="9" spans="1:7" ht="35.25" customHeight="1" x14ac:dyDescent="0.25">
      <c r="A9" s="2293" t="s">
        <v>2022</v>
      </c>
      <c r="B9" s="2294"/>
      <c r="C9" s="2294"/>
      <c r="D9" s="2294"/>
      <c r="E9" s="2294"/>
      <c r="F9" s="2294"/>
      <c r="G9" s="2295"/>
    </row>
    <row r="10" spans="1:7" ht="15" customHeight="1" x14ac:dyDescent="0.25">
      <c r="A10" s="1559" t="s">
        <v>1926</v>
      </c>
      <c r="B10" s="1560"/>
      <c r="C10" s="1560"/>
      <c r="D10" s="1560"/>
      <c r="E10" s="1560"/>
      <c r="F10" s="1560"/>
      <c r="G10" s="1561"/>
    </row>
    <row r="11" spans="1:7" ht="17.25" customHeight="1" x14ac:dyDescent="0.25">
      <c r="A11" s="2293" t="s">
        <v>1940</v>
      </c>
      <c r="B11" s="2294"/>
      <c r="C11" s="2294"/>
      <c r="D11" s="2294"/>
      <c r="E11" s="2294"/>
      <c r="F11" s="2294"/>
      <c r="G11" s="2295"/>
    </row>
    <row r="12" spans="1:7" ht="15" customHeight="1" x14ac:dyDescent="0.25">
      <c r="A12" s="1559" t="s">
        <v>1931</v>
      </c>
      <c r="B12" s="1560"/>
      <c r="C12" s="1560"/>
      <c r="D12" s="1560"/>
      <c r="E12" s="1560"/>
      <c r="F12" s="1560"/>
      <c r="G12" s="1561"/>
    </row>
    <row r="13" spans="1:7" ht="32.25" customHeight="1" x14ac:dyDescent="0.25">
      <c r="A13" s="2284" t="s">
        <v>1932</v>
      </c>
      <c r="B13" s="2285"/>
      <c r="C13" s="2285"/>
      <c r="D13" s="2285"/>
      <c r="E13" s="2285"/>
      <c r="F13" s="2285"/>
      <c r="G13" s="2286"/>
    </row>
    <row r="14" spans="1:7" x14ac:dyDescent="0.25">
      <c r="A14" s="1683" t="s">
        <v>1941</v>
      </c>
      <c r="B14" s="1684"/>
      <c r="C14" s="1684"/>
      <c r="D14" s="1684"/>
      <c r="E14" s="1684"/>
      <c r="F14" s="1684"/>
      <c r="G14" s="1685"/>
    </row>
    <row r="15" spans="1:7" ht="61.5" customHeight="1" x14ac:dyDescent="0.25">
      <c r="A15" s="1568" t="s">
        <v>1933</v>
      </c>
      <c r="B15" s="1568" t="s">
        <v>1934</v>
      </c>
      <c r="C15" s="1568" t="s">
        <v>1935</v>
      </c>
      <c r="D15" s="1569" t="s">
        <v>1936</v>
      </c>
      <c r="E15" s="1569" t="s">
        <v>1927</v>
      </c>
      <c r="F15" s="1569" t="s">
        <v>1937</v>
      </c>
      <c r="G15" s="1569" t="s">
        <v>1938</v>
      </c>
    </row>
    <row r="16" spans="1:7" x14ac:dyDescent="0.25">
      <c r="A16" s="1670" t="s">
        <v>1942</v>
      </c>
      <c r="B16" s="1671" t="s">
        <v>1930</v>
      </c>
      <c r="C16" s="1672" t="s">
        <v>1928</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3" t="s">
        <v>2132</v>
      </c>
      <c r="B17" s="1954" t="s">
        <v>2133</v>
      </c>
      <c r="C17" s="1955" t="s">
        <v>2134</v>
      </c>
      <c r="D17" s="1867">
        <v>534</v>
      </c>
      <c r="E17" s="1562">
        <f t="shared" ref="E17:E141" si="1">IF(D17&lt;=25000,D17,IF(D17&gt;25000,25000,0))</f>
        <v>534</v>
      </c>
      <c r="F17" s="1815">
        <f t="shared" si="0"/>
        <v>534</v>
      </c>
      <c r="G17" s="1816">
        <f>IF(F17=0,0,D17-F17)</f>
        <v>0</v>
      </c>
      <c r="H17" s="1669"/>
    </row>
    <row r="18" spans="1:8" x14ac:dyDescent="0.25">
      <c r="A18" s="1953" t="s">
        <v>2132</v>
      </c>
      <c r="B18" s="1954" t="s">
        <v>2133</v>
      </c>
      <c r="C18" s="1955" t="s">
        <v>2135</v>
      </c>
      <c r="D18" s="1867">
        <v>1060</v>
      </c>
      <c r="E18" s="1562">
        <f t="shared" ref="E18:E140" si="2">IF(D18&lt;=25000,D18,IF(D18&gt;25000,25000,0))</f>
        <v>1060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1060</v>
      </c>
      <c r="G18" s="1816">
        <f t="shared" ref="G18:G140" si="4">IF(F18=0,0,D18-F18)</f>
        <v>0</v>
      </c>
    </row>
    <row r="19" spans="1:8" x14ac:dyDescent="0.25">
      <c r="A19" s="1953" t="s">
        <v>2132</v>
      </c>
      <c r="B19" s="1954" t="s">
        <v>2133</v>
      </c>
      <c r="C19" s="1955" t="s">
        <v>2136</v>
      </c>
      <c r="D19" s="1867">
        <v>2437</v>
      </c>
      <c r="E19" s="1562">
        <f t="shared" si="2"/>
        <v>2437</v>
      </c>
      <c r="F19" s="1815">
        <f t="shared" si="3"/>
        <v>2437</v>
      </c>
      <c r="G19" s="1816">
        <f t="shared" si="4"/>
        <v>0</v>
      </c>
    </row>
    <row r="20" spans="1:8" x14ac:dyDescent="0.25">
      <c r="A20" s="1953" t="s">
        <v>2132</v>
      </c>
      <c r="B20" s="1954" t="s">
        <v>2133</v>
      </c>
      <c r="C20" s="1955" t="s">
        <v>2137</v>
      </c>
      <c r="D20" s="1867">
        <v>2414</v>
      </c>
      <c r="E20" s="1562">
        <f t="shared" si="2"/>
        <v>2414</v>
      </c>
      <c r="F20" s="1815">
        <f t="shared" si="3"/>
        <v>2414</v>
      </c>
      <c r="G20" s="1816">
        <f t="shared" si="4"/>
        <v>0</v>
      </c>
    </row>
    <row r="21" spans="1:8" x14ac:dyDescent="0.25">
      <c r="A21" s="1953" t="s">
        <v>2132</v>
      </c>
      <c r="B21" s="1954" t="s">
        <v>2133</v>
      </c>
      <c r="C21" s="1955" t="s">
        <v>2138</v>
      </c>
      <c r="D21" s="1867">
        <v>2140</v>
      </c>
      <c r="E21" s="1562">
        <f t="shared" si="2"/>
        <v>2140</v>
      </c>
      <c r="F21" s="1815">
        <f t="shared" si="3"/>
        <v>2140</v>
      </c>
      <c r="G21" s="1816">
        <f t="shared" si="4"/>
        <v>0</v>
      </c>
    </row>
    <row r="22" spans="1:8" x14ac:dyDescent="0.25">
      <c r="A22" s="1953" t="s">
        <v>2132</v>
      </c>
      <c r="B22" s="1954" t="s">
        <v>2133</v>
      </c>
      <c r="C22" s="1955" t="s">
        <v>2139</v>
      </c>
      <c r="D22" s="1867">
        <v>11016</v>
      </c>
      <c r="E22" s="1562">
        <f t="shared" si="2"/>
        <v>11016</v>
      </c>
      <c r="F22" s="1815">
        <f t="shared" si="3"/>
        <v>11016</v>
      </c>
      <c r="G22" s="1816">
        <f t="shared" si="4"/>
        <v>0</v>
      </c>
    </row>
    <row r="23" spans="1:8" x14ac:dyDescent="0.25">
      <c r="A23" s="1953" t="s">
        <v>2132</v>
      </c>
      <c r="B23" s="1954" t="s">
        <v>2133</v>
      </c>
      <c r="C23" s="1955" t="s">
        <v>2140</v>
      </c>
      <c r="D23" s="1867">
        <v>8928</v>
      </c>
      <c r="E23" s="1562">
        <f t="shared" si="2"/>
        <v>8928</v>
      </c>
      <c r="F23" s="1815">
        <f t="shared" si="3"/>
        <v>8928</v>
      </c>
      <c r="G23" s="1816">
        <f t="shared" si="4"/>
        <v>0</v>
      </c>
    </row>
    <row r="24" spans="1:8" x14ac:dyDescent="0.25">
      <c r="A24" s="1953" t="s">
        <v>2132</v>
      </c>
      <c r="B24" s="1954" t="s">
        <v>2133</v>
      </c>
      <c r="C24" s="1955" t="s">
        <v>2141</v>
      </c>
      <c r="D24" s="1867">
        <v>2703</v>
      </c>
      <c r="E24" s="1562">
        <f t="shared" si="2"/>
        <v>2703</v>
      </c>
      <c r="F24" s="1815">
        <f t="shared" si="3"/>
        <v>2703</v>
      </c>
      <c r="G24" s="1816">
        <f t="shared" si="4"/>
        <v>0</v>
      </c>
    </row>
    <row r="25" spans="1:8" x14ac:dyDescent="0.25">
      <c r="A25" s="1953" t="s">
        <v>2132</v>
      </c>
      <c r="B25" s="1954" t="s">
        <v>2133</v>
      </c>
      <c r="C25" s="1955" t="s">
        <v>2142</v>
      </c>
      <c r="D25" s="1867">
        <v>2177</v>
      </c>
      <c r="E25" s="1562">
        <f t="shared" si="2"/>
        <v>2177</v>
      </c>
      <c r="F25" s="1815">
        <f t="shared" si="3"/>
        <v>2177</v>
      </c>
      <c r="G25" s="1816">
        <f t="shared" si="4"/>
        <v>0</v>
      </c>
    </row>
    <row r="26" spans="1:8" x14ac:dyDescent="0.25">
      <c r="A26" s="1953" t="s">
        <v>2132</v>
      </c>
      <c r="B26" s="1954" t="s">
        <v>2133</v>
      </c>
      <c r="C26" s="1955" t="s">
        <v>2143</v>
      </c>
      <c r="D26" s="1867">
        <v>397</v>
      </c>
      <c r="E26" s="1562">
        <f t="shared" si="2"/>
        <v>397</v>
      </c>
      <c r="F26" s="1815">
        <f t="shared" si="3"/>
        <v>397</v>
      </c>
      <c r="G26" s="1816">
        <f t="shared" si="4"/>
        <v>0</v>
      </c>
    </row>
    <row r="27" spans="1:8" x14ac:dyDescent="0.25">
      <c r="A27" s="1675"/>
      <c r="B27" s="1868"/>
      <c r="C27" s="1676"/>
      <c r="D27" s="1867"/>
      <c r="E27" s="1562">
        <f t="shared" si="2"/>
        <v>0</v>
      </c>
      <c r="F27" s="1815">
        <f t="shared" si="3"/>
        <v>0</v>
      </c>
      <c r="G27" s="1816">
        <f t="shared" si="4"/>
        <v>0</v>
      </c>
    </row>
    <row r="28" spans="1:8" hidden="1" x14ac:dyDescent="0.25">
      <c r="A28" s="1675"/>
      <c r="B28" s="1868"/>
      <c r="C28" s="1676"/>
      <c r="D28" s="1867"/>
      <c r="E28" s="1562">
        <f t="shared" si="2"/>
        <v>0</v>
      </c>
      <c r="F28" s="1815">
        <f t="shared" si="3"/>
        <v>0</v>
      </c>
      <c r="G28" s="1816">
        <f t="shared" si="4"/>
        <v>0</v>
      </c>
    </row>
    <row r="29" spans="1:8" hidden="1" x14ac:dyDescent="0.25">
      <c r="A29" s="1675"/>
      <c r="B29" s="1868"/>
      <c r="C29" s="1676"/>
      <c r="D29" s="1867"/>
      <c r="E29" s="1562">
        <f t="shared" si="2"/>
        <v>0</v>
      </c>
      <c r="F29" s="1815">
        <f t="shared" si="3"/>
        <v>0</v>
      </c>
      <c r="G29" s="1816">
        <f t="shared" si="4"/>
        <v>0</v>
      </c>
    </row>
    <row r="30" spans="1:8" hidden="1" x14ac:dyDescent="0.25">
      <c r="A30" s="1675"/>
      <c r="B30" s="1868"/>
      <c r="C30" s="1676"/>
      <c r="D30" s="1867"/>
      <c r="E30" s="1562">
        <f t="shared" si="2"/>
        <v>0</v>
      </c>
      <c r="F30" s="1815">
        <f t="shared" si="3"/>
        <v>0</v>
      </c>
      <c r="G30" s="1816">
        <f t="shared" si="4"/>
        <v>0</v>
      </c>
    </row>
    <row r="31" spans="1:8" hidden="1" x14ac:dyDescent="0.25">
      <c r="A31" s="1675"/>
      <c r="B31" s="1868"/>
      <c r="C31" s="1676"/>
      <c r="D31" s="1867"/>
      <c r="E31" s="1562">
        <f t="shared" si="2"/>
        <v>0</v>
      </c>
      <c r="F31" s="1815">
        <f t="shared" si="3"/>
        <v>0</v>
      </c>
      <c r="G31" s="1816">
        <f t="shared" si="4"/>
        <v>0</v>
      </c>
    </row>
    <row r="32" spans="1:8" hidden="1" x14ac:dyDescent="0.25">
      <c r="A32" s="1675"/>
      <c r="B32" s="1868"/>
      <c r="C32" s="1676"/>
      <c r="D32" s="1867"/>
      <c r="E32" s="1562">
        <f t="shared" si="2"/>
        <v>0</v>
      </c>
      <c r="F32" s="1815">
        <f t="shared" si="3"/>
        <v>0</v>
      </c>
      <c r="G32" s="1816">
        <f t="shared" si="4"/>
        <v>0</v>
      </c>
    </row>
    <row r="33" spans="1:7" hidden="1" x14ac:dyDescent="0.25">
      <c r="A33" s="1675"/>
      <c r="B33" s="1868"/>
      <c r="C33" s="1676"/>
      <c r="D33" s="1867"/>
      <c r="E33" s="1562">
        <f t="shared" si="2"/>
        <v>0</v>
      </c>
      <c r="F33" s="1815">
        <f t="shared" si="3"/>
        <v>0</v>
      </c>
      <c r="G33" s="1816">
        <f t="shared" si="4"/>
        <v>0</v>
      </c>
    </row>
    <row r="34" spans="1:7" hidden="1" x14ac:dyDescent="0.25">
      <c r="A34" s="1675"/>
      <c r="B34" s="1868"/>
      <c r="C34" s="1676"/>
      <c r="D34" s="1867"/>
      <c r="E34" s="1562">
        <f t="shared" si="2"/>
        <v>0</v>
      </c>
      <c r="F34" s="1815">
        <f t="shared" si="3"/>
        <v>0</v>
      </c>
      <c r="G34" s="1816">
        <f t="shared" si="4"/>
        <v>0</v>
      </c>
    </row>
    <row r="35" spans="1:7" hidden="1" x14ac:dyDescent="0.25">
      <c r="A35" s="1675"/>
      <c r="B35" s="1868"/>
      <c r="C35" s="1676"/>
      <c r="D35" s="1867"/>
      <c r="E35" s="1562">
        <f t="shared" si="2"/>
        <v>0</v>
      </c>
      <c r="F35" s="1815">
        <f t="shared" si="3"/>
        <v>0</v>
      </c>
      <c r="G35" s="1816">
        <f t="shared" si="4"/>
        <v>0</v>
      </c>
    </row>
    <row r="36" spans="1:7" hidden="1" x14ac:dyDescent="0.25">
      <c r="A36" s="1675"/>
      <c r="B36" s="1868"/>
      <c r="C36" s="1676"/>
      <c r="D36" s="1867"/>
      <c r="E36" s="1562">
        <f t="shared" si="2"/>
        <v>0</v>
      </c>
      <c r="F36" s="1815">
        <f t="shared" si="3"/>
        <v>0</v>
      </c>
      <c r="G36" s="1816">
        <f t="shared" si="4"/>
        <v>0</v>
      </c>
    </row>
    <row r="37" spans="1:7" hidden="1" x14ac:dyDescent="0.25">
      <c r="A37" s="1675"/>
      <c r="B37" s="1868"/>
      <c r="C37" s="1676"/>
      <c r="D37" s="1867"/>
      <c r="E37" s="1562">
        <f t="shared" si="2"/>
        <v>0</v>
      </c>
      <c r="F37" s="1815">
        <f t="shared" si="3"/>
        <v>0</v>
      </c>
      <c r="G37" s="1816">
        <f t="shared" si="4"/>
        <v>0</v>
      </c>
    </row>
    <row r="38" spans="1:7" hidden="1" x14ac:dyDescent="0.25">
      <c r="A38" s="1675"/>
      <c r="B38" s="1689"/>
      <c r="C38" s="1676"/>
      <c r="D38" s="1867"/>
      <c r="E38" s="1562">
        <f t="shared" si="2"/>
        <v>0</v>
      </c>
      <c r="F38" s="1815">
        <f t="shared" si="3"/>
        <v>0</v>
      </c>
      <c r="G38" s="1816">
        <f t="shared" si="4"/>
        <v>0</v>
      </c>
    </row>
    <row r="39" spans="1:7" hidden="1" x14ac:dyDescent="0.25">
      <c r="A39" s="1675"/>
      <c r="B39" s="1689"/>
      <c r="C39" s="1676"/>
      <c r="D39" s="1867"/>
      <c r="E39" s="1562">
        <f t="shared" si="2"/>
        <v>0</v>
      </c>
      <c r="F39" s="1815">
        <f t="shared" si="3"/>
        <v>0</v>
      </c>
      <c r="G39" s="1816">
        <f t="shared" si="4"/>
        <v>0</v>
      </c>
    </row>
    <row r="40" spans="1:7" hidden="1" x14ac:dyDescent="0.25">
      <c r="A40" s="1675"/>
      <c r="B40" s="1689"/>
      <c r="C40" s="1676"/>
      <c r="D40" s="1867"/>
      <c r="E40" s="1562">
        <f t="shared" si="2"/>
        <v>0</v>
      </c>
      <c r="F40" s="1815">
        <f t="shared" si="3"/>
        <v>0</v>
      </c>
      <c r="G40" s="1816">
        <f t="shared" si="4"/>
        <v>0</v>
      </c>
    </row>
    <row r="41" spans="1:7" hidden="1" x14ac:dyDescent="0.25">
      <c r="A41" s="1675"/>
      <c r="B41" s="1689"/>
      <c r="C41" s="1676"/>
      <c r="D41" s="1867"/>
      <c r="E41" s="1562">
        <f t="shared" si="2"/>
        <v>0</v>
      </c>
      <c r="F41" s="1815">
        <f t="shared" si="3"/>
        <v>0</v>
      </c>
      <c r="G41" s="1816">
        <f t="shared" si="4"/>
        <v>0</v>
      </c>
    </row>
    <row r="42" spans="1:7" hidden="1" x14ac:dyDescent="0.25">
      <c r="A42" s="1675"/>
      <c r="B42" s="1689"/>
      <c r="C42" s="1676"/>
      <c r="D42" s="1867"/>
      <c r="E42" s="1562">
        <f t="shared" si="2"/>
        <v>0</v>
      </c>
      <c r="F42" s="1815">
        <f t="shared" si="3"/>
        <v>0</v>
      </c>
      <c r="G42" s="1816">
        <f t="shared" si="4"/>
        <v>0</v>
      </c>
    </row>
    <row r="43" spans="1:7" hidden="1" x14ac:dyDescent="0.25">
      <c r="A43" s="1675"/>
      <c r="B43" s="1689"/>
      <c r="C43" s="1676"/>
      <c r="D43" s="1867"/>
      <c r="E43" s="1562">
        <f t="shared" si="2"/>
        <v>0</v>
      </c>
      <c r="F43" s="1815">
        <f t="shared" si="3"/>
        <v>0</v>
      </c>
      <c r="G43" s="1816">
        <f t="shared" si="4"/>
        <v>0</v>
      </c>
    </row>
    <row r="44" spans="1:7" hidden="1" x14ac:dyDescent="0.25">
      <c r="A44" s="1675"/>
      <c r="B44" s="1689"/>
      <c r="C44" s="1676"/>
      <c r="D44" s="1867"/>
      <c r="E44" s="1562">
        <f t="shared" si="2"/>
        <v>0</v>
      </c>
      <c r="F44" s="1815">
        <f t="shared" si="3"/>
        <v>0</v>
      </c>
      <c r="G44" s="1816">
        <f t="shared" si="4"/>
        <v>0</v>
      </c>
    </row>
    <row r="45" spans="1:7" hidden="1" x14ac:dyDescent="0.25">
      <c r="A45" s="1675"/>
      <c r="B45" s="1689"/>
      <c r="C45" s="1676"/>
      <c r="D45" s="1867"/>
      <c r="E45" s="1562">
        <f t="shared" si="2"/>
        <v>0</v>
      </c>
      <c r="F45" s="1815">
        <f t="shared" si="3"/>
        <v>0</v>
      </c>
      <c r="G45" s="1816">
        <f t="shared" si="4"/>
        <v>0</v>
      </c>
    </row>
    <row r="46" spans="1:7" hidden="1" x14ac:dyDescent="0.25">
      <c r="A46" s="1675"/>
      <c r="B46" s="1689"/>
      <c r="C46" s="1676"/>
      <c r="D46" s="1867"/>
      <c r="E46" s="1562">
        <f t="shared" si="2"/>
        <v>0</v>
      </c>
      <c r="F46" s="1815">
        <f t="shared" si="3"/>
        <v>0</v>
      </c>
      <c r="G46" s="1816">
        <f t="shared" si="4"/>
        <v>0</v>
      </c>
    </row>
    <row r="47" spans="1:7" hidden="1" x14ac:dyDescent="0.25">
      <c r="A47" s="1675"/>
      <c r="B47" s="1689"/>
      <c r="C47" s="1676"/>
      <c r="D47" s="1867"/>
      <c r="E47" s="1562">
        <f t="shared" si="2"/>
        <v>0</v>
      </c>
      <c r="F47" s="1815">
        <f t="shared" si="3"/>
        <v>0</v>
      </c>
      <c r="G47" s="1816">
        <f t="shared" si="4"/>
        <v>0</v>
      </c>
    </row>
    <row r="48" spans="1:7" hidden="1" x14ac:dyDescent="0.25">
      <c r="A48" s="1675"/>
      <c r="B48" s="1689"/>
      <c r="C48" s="1676"/>
      <c r="D48" s="1867"/>
      <c r="E48" s="1562">
        <f t="shared" si="2"/>
        <v>0</v>
      </c>
      <c r="F48" s="1815">
        <f t="shared" si="3"/>
        <v>0</v>
      </c>
      <c r="G48" s="1816">
        <f t="shared" si="4"/>
        <v>0</v>
      </c>
    </row>
    <row r="49" spans="1:7" hidden="1" x14ac:dyDescent="0.25">
      <c r="A49" s="1675"/>
      <c r="B49" s="1689"/>
      <c r="C49" s="1676"/>
      <c r="D49" s="1867"/>
      <c r="E49" s="1562">
        <f t="shared" si="2"/>
        <v>0</v>
      </c>
      <c r="F49" s="1815">
        <f t="shared" si="3"/>
        <v>0</v>
      </c>
      <c r="G49" s="1816">
        <f t="shared" si="4"/>
        <v>0</v>
      </c>
    </row>
    <row r="50" spans="1:7" hidden="1" x14ac:dyDescent="0.25">
      <c r="A50" s="1675"/>
      <c r="B50" s="1689"/>
      <c r="C50" s="1676"/>
      <c r="D50" s="1867"/>
      <c r="E50" s="1562">
        <f t="shared" si="2"/>
        <v>0</v>
      </c>
      <c r="F50" s="1815">
        <f t="shared" si="3"/>
        <v>0</v>
      </c>
      <c r="G50" s="1816">
        <f t="shared" si="4"/>
        <v>0</v>
      </c>
    </row>
    <row r="51" spans="1:7" hidden="1" x14ac:dyDescent="0.25">
      <c r="A51" s="1675"/>
      <c r="B51" s="1689"/>
      <c r="C51" s="1676"/>
      <c r="D51" s="1867"/>
      <c r="E51" s="1562">
        <f t="shared" si="2"/>
        <v>0</v>
      </c>
      <c r="F51" s="1815">
        <f t="shared" si="3"/>
        <v>0</v>
      </c>
      <c r="G51" s="1816">
        <f t="shared" si="4"/>
        <v>0</v>
      </c>
    </row>
    <row r="52" spans="1:7" hidden="1" x14ac:dyDescent="0.25">
      <c r="A52" s="1675"/>
      <c r="B52" s="1689"/>
      <c r="C52" s="1676"/>
      <c r="D52" s="1867"/>
      <c r="E52" s="1562">
        <f t="shared" si="2"/>
        <v>0</v>
      </c>
      <c r="F52" s="1815">
        <f t="shared" si="3"/>
        <v>0</v>
      </c>
      <c r="G52" s="1816">
        <f t="shared" si="4"/>
        <v>0</v>
      </c>
    </row>
    <row r="53" spans="1:7" hidden="1" x14ac:dyDescent="0.25">
      <c r="A53" s="1675"/>
      <c r="B53" s="1689"/>
      <c r="C53" s="1676"/>
      <c r="D53" s="1867"/>
      <c r="E53" s="1562">
        <f t="shared" si="2"/>
        <v>0</v>
      </c>
      <c r="F53" s="1815">
        <f t="shared" si="3"/>
        <v>0</v>
      </c>
      <c r="G53" s="1816">
        <f t="shared" si="4"/>
        <v>0</v>
      </c>
    </row>
    <row r="54" spans="1:7" hidden="1" x14ac:dyDescent="0.25">
      <c r="A54" s="1675"/>
      <c r="B54" s="1689"/>
      <c r="C54" s="1676"/>
      <c r="D54" s="1867"/>
      <c r="E54" s="1562">
        <f t="shared" si="2"/>
        <v>0</v>
      </c>
      <c r="F54" s="1815">
        <f t="shared" si="3"/>
        <v>0</v>
      </c>
      <c r="G54" s="1816">
        <f t="shared" si="4"/>
        <v>0</v>
      </c>
    </row>
    <row r="55" spans="1:7" hidden="1" x14ac:dyDescent="0.25">
      <c r="A55" s="1675"/>
      <c r="B55" s="1689"/>
      <c r="C55" s="1676"/>
      <c r="D55" s="1867"/>
      <c r="E55" s="1562">
        <f t="shared" si="2"/>
        <v>0</v>
      </c>
      <c r="F55" s="1815">
        <f t="shared" si="3"/>
        <v>0</v>
      </c>
      <c r="G55" s="1816">
        <f t="shared" si="4"/>
        <v>0</v>
      </c>
    </row>
    <row r="56" spans="1:7" hidden="1" x14ac:dyDescent="0.25">
      <c r="A56" s="1675"/>
      <c r="B56" s="1689"/>
      <c r="C56" s="1676"/>
      <c r="D56" s="1867"/>
      <c r="E56" s="1562">
        <f t="shared" si="2"/>
        <v>0</v>
      </c>
      <c r="F56" s="1815">
        <f t="shared" si="3"/>
        <v>0</v>
      </c>
      <c r="G56" s="1816">
        <f t="shared" si="4"/>
        <v>0</v>
      </c>
    </row>
    <row r="57" spans="1:7" hidden="1" x14ac:dyDescent="0.25">
      <c r="A57" s="1675"/>
      <c r="B57" s="1689"/>
      <c r="C57" s="1676"/>
      <c r="D57" s="1867"/>
      <c r="E57" s="1562">
        <f t="shared" si="2"/>
        <v>0</v>
      </c>
      <c r="F57" s="1815">
        <f t="shared" si="3"/>
        <v>0</v>
      </c>
      <c r="G57" s="1816">
        <f t="shared" si="4"/>
        <v>0</v>
      </c>
    </row>
    <row r="58" spans="1:7" hidden="1" x14ac:dyDescent="0.25">
      <c r="A58" s="1675"/>
      <c r="B58" s="1689"/>
      <c r="C58" s="1676"/>
      <c r="D58" s="1867"/>
      <c r="E58" s="1562">
        <f t="shared" si="2"/>
        <v>0</v>
      </c>
      <c r="F58" s="1815">
        <f t="shared" si="3"/>
        <v>0</v>
      </c>
      <c r="G58" s="1816">
        <f t="shared" si="4"/>
        <v>0</v>
      </c>
    </row>
    <row r="59" spans="1:7" hidden="1" x14ac:dyDescent="0.25">
      <c r="A59" s="1675"/>
      <c r="B59" s="1689"/>
      <c r="C59" s="1676"/>
      <c r="D59" s="1867"/>
      <c r="E59" s="1562">
        <f t="shared" si="2"/>
        <v>0</v>
      </c>
      <c r="F59" s="1815">
        <f t="shared" si="3"/>
        <v>0</v>
      </c>
      <c r="G59" s="1816">
        <f t="shared" si="4"/>
        <v>0</v>
      </c>
    </row>
    <row r="60" spans="1:7" hidden="1" x14ac:dyDescent="0.25">
      <c r="A60" s="1675"/>
      <c r="B60" s="1689"/>
      <c r="C60" s="1676"/>
      <c r="D60" s="1867"/>
      <c r="E60" s="1562">
        <f t="shared" si="2"/>
        <v>0</v>
      </c>
      <c r="F60" s="1815">
        <f t="shared" si="3"/>
        <v>0</v>
      </c>
      <c r="G60" s="1816">
        <f t="shared" si="4"/>
        <v>0</v>
      </c>
    </row>
    <row r="61" spans="1:7" hidden="1" x14ac:dyDescent="0.25">
      <c r="A61" s="1675"/>
      <c r="B61" s="1689"/>
      <c r="C61" s="1676"/>
      <c r="D61" s="1867"/>
      <c r="E61" s="1562">
        <f t="shared" si="2"/>
        <v>0</v>
      </c>
      <c r="F61" s="1815">
        <f t="shared" si="3"/>
        <v>0</v>
      </c>
      <c r="G61" s="1816">
        <f t="shared" si="4"/>
        <v>0</v>
      </c>
    </row>
    <row r="62" spans="1:7" hidden="1" x14ac:dyDescent="0.25">
      <c r="A62" s="1675"/>
      <c r="B62" s="1689"/>
      <c r="C62" s="1676"/>
      <c r="D62" s="1867"/>
      <c r="E62" s="1562">
        <f t="shared" si="2"/>
        <v>0</v>
      </c>
      <c r="F62" s="1815">
        <f t="shared" si="3"/>
        <v>0</v>
      </c>
      <c r="G62" s="1816">
        <f t="shared" si="4"/>
        <v>0</v>
      </c>
    </row>
    <row r="63" spans="1:7" hidden="1" x14ac:dyDescent="0.25">
      <c r="A63" s="1675"/>
      <c r="B63" s="1689"/>
      <c r="C63" s="1676"/>
      <c r="D63" s="1867"/>
      <c r="E63" s="1562">
        <f t="shared" si="2"/>
        <v>0</v>
      </c>
      <c r="F63" s="1815">
        <f t="shared" si="3"/>
        <v>0</v>
      </c>
      <c r="G63" s="1816">
        <f t="shared" si="4"/>
        <v>0</v>
      </c>
    </row>
    <row r="64" spans="1:7" hidden="1" x14ac:dyDescent="0.25">
      <c r="A64" s="1677"/>
      <c r="B64" s="1689"/>
      <c r="C64" s="1678"/>
      <c r="D64" s="1867"/>
      <c r="E64" s="1562">
        <f t="shared" si="2"/>
        <v>0</v>
      </c>
      <c r="F64" s="1815">
        <f t="shared" si="3"/>
        <v>0</v>
      </c>
      <c r="G64" s="1816">
        <f t="shared" si="4"/>
        <v>0</v>
      </c>
    </row>
    <row r="65" spans="1:7" hidden="1" x14ac:dyDescent="0.25">
      <c r="A65" s="1675"/>
      <c r="B65" s="1689"/>
      <c r="C65" s="1676"/>
      <c r="D65" s="1867"/>
      <c r="E65" s="1562">
        <f t="shared" si="2"/>
        <v>0</v>
      </c>
      <c r="F65" s="1815">
        <f t="shared" si="3"/>
        <v>0</v>
      </c>
      <c r="G65" s="1816">
        <f t="shared" si="4"/>
        <v>0</v>
      </c>
    </row>
    <row r="66" spans="1:7" hidden="1" x14ac:dyDescent="0.25">
      <c r="A66" s="1675"/>
      <c r="B66" s="1689"/>
      <c r="C66" s="1676"/>
      <c r="D66" s="1867"/>
      <c r="E66" s="1562">
        <f t="shared" si="2"/>
        <v>0</v>
      </c>
      <c r="F66" s="1815">
        <f t="shared" si="3"/>
        <v>0</v>
      </c>
      <c r="G66" s="1816">
        <f t="shared" si="4"/>
        <v>0</v>
      </c>
    </row>
    <row r="67" spans="1:7" hidden="1" x14ac:dyDescent="0.25">
      <c r="A67" s="1675"/>
      <c r="B67" s="1689"/>
      <c r="C67" s="1676"/>
      <c r="D67" s="1867"/>
      <c r="E67" s="1562">
        <f t="shared" si="2"/>
        <v>0</v>
      </c>
      <c r="F67" s="1815">
        <f t="shared" si="3"/>
        <v>0</v>
      </c>
      <c r="G67" s="1816">
        <f t="shared" si="4"/>
        <v>0</v>
      </c>
    </row>
    <row r="68" spans="1:7" hidden="1" x14ac:dyDescent="0.25">
      <c r="A68" s="1675"/>
      <c r="B68" s="1689"/>
      <c r="C68" s="1676"/>
      <c r="D68" s="1867"/>
      <c r="E68" s="1562">
        <f t="shared" si="2"/>
        <v>0</v>
      </c>
      <c r="F68" s="1815">
        <f t="shared" si="3"/>
        <v>0</v>
      </c>
      <c r="G68" s="1816">
        <f t="shared" si="4"/>
        <v>0</v>
      </c>
    </row>
    <row r="69" spans="1:7" hidden="1" x14ac:dyDescent="0.25">
      <c r="A69" s="1675"/>
      <c r="B69" s="1689"/>
      <c r="C69" s="1676"/>
      <c r="D69" s="1867"/>
      <c r="E69" s="1562">
        <f t="shared" si="2"/>
        <v>0</v>
      </c>
      <c r="F69" s="1815">
        <f t="shared" si="3"/>
        <v>0</v>
      </c>
      <c r="G69" s="1816">
        <f t="shared" si="4"/>
        <v>0</v>
      </c>
    </row>
    <row r="70" spans="1:7" hidden="1" x14ac:dyDescent="0.25">
      <c r="A70" s="1675"/>
      <c r="B70" s="1689"/>
      <c r="C70" s="1676"/>
      <c r="D70" s="1867"/>
      <c r="E70" s="1562">
        <f t="shared" si="2"/>
        <v>0</v>
      </c>
      <c r="F70" s="1815">
        <f t="shared" si="3"/>
        <v>0</v>
      </c>
      <c r="G70" s="1816">
        <f t="shared" si="4"/>
        <v>0</v>
      </c>
    </row>
    <row r="71" spans="1:7" hidden="1" x14ac:dyDescent="0.25">
      <c r="A71" s="1675"/>
      <c r="B71" s="1689"/>
      <c r="C71" s="1676"/>
      <c r="D71" s="1867"/>
      <c r="E71" s="1562">
        <f t="shared" si="2"/>
        <v>0</v>
      </c>
      <c r="F71" s="1815">
        <f t="shared" si="3"/>
        <v>0</v>
      </c>
      <c r="G71" s="1816">
        <f t="shared" si="4"/>
        <v>0</v>
      </c>
    </row>
    <row r="72" spans="1:7" hidden="1" x14ac:dyDescent="0.25">
      <c r="A72" s="1675"/>
      <c r="B72" s="1689"/>
      <c r="C72" s="1676"/>
      <c r="D72" s="1867"/>
      <c r="E72" s="1562">
        <f t="shared" si="2"/>
        <v>0</v>
      </c>
      <c r="F72" s="1815">
        <f t="shared" si="3"/>
        <v>0</v>
      </c>
      <c r="G72" s="1816">
        <f t="shared" si="4"/>
        <v>0</v>
      </c>
    </row>
    <row r="73" spans="1:7" hidden="1"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hidden="1" x14ac:dyDescent="0.25">
      <c r="A74" s="1675"/>
      <c r="B74" s="1689"/>
      <c r="C74" s="1676"/>
      <c r="D74" s="1867"/>
      <c r="E74" s="1562">
        <f t="shared" si="5"/>
        <v>0</v>
      </c>
      <c r="F74" s="1815">
        <f t="shared" si="6"/>
        <v>0</v>
      </c>
      <c r="G74" s="1816">
        <f t="shared" si="7"/>
        <v>0</v>
      </c>
    </row>
    <row r="75" spans="1:7" hidden="1" x14ac:dyDescent="0.25">
      <c r="A75" s="1675"/>
      <c r="B75" s="1689"/>
      <c r="C75" s="1676"/>
      <c r="D75" s="1867"/>
      <c r="E75" s="1562">
        <f t="shared" si="5"/>
        <v>0</v>
      </c>
      <c r="F75" s="1815">
        <f t="shared" si="6"/>
        <v>0</v>
      </c>
      <c r="G75" s="1816">
        <f t="shared" si="7"/>
        <v>0</v>
      </c>
    </row>
    <row r="76" spans="1:7" hidden="1" x14ac:dyDescent="0.25">
      <c r="A76" s="1675"/>
      <c r="B76" s="1689"/>
      <c r="C76" s="1676"/>
      <c r="D76" s="1867"/>
      <c r="E76" s="1562">
        <f t="shared" si="5"/>
        <v>0</v>
      </c>
      <c r="F76" s="1815">
        <f t="shared" si="6"/>
        <v>0</v>
      </c>
      <c r="G76" s="1816">
        <f t="shared" si="7"/>
        <v>0</v>
      </c>
    </row>
    <row r="77" spans="1:7" hidden="1" x14ac:dyDescent="0.25">
      <c r="A77" s="1675"/>
      <c r="B77" s="1689"/>
      <c r="C77" s="1676"/>
      <c r="D77" s="1867"/>
      <c r="E77" s="1562">
        <f t="shared" si="5"/>
        <v>0</v>
      </c>
      <c r="F77" s="1815">
        <f t="shared" si="6"/>
        <v>0</v>
      </c>
      <c r="G77" s="1816">
        <f t="shared" si="7"/>
        <v>0</v>
      </c>
    </row>
    <row r="78" spans="1:7" hidden="1" x14ac:dyDescent="0.25">
      <c r="A78" s="1675"/>
      <c r="B78" s="1689"/>
      <c r="C78" s="1676"/>
      <c r="D78" s="1867"/>
      <c r="E78" s="1562">
        <f t="shared" si="5"/>
        <v>0</v>
      </c>
      <c r="F78" s="1815">
        <f t="shared" si="6"/>
        <v>0</v>
      </c>
      <c r="G78" s="1816">
        <f t="shared" si="7"/>
        <v>0</v>
      </c>
    </row>
    <row r="79" spans="1:7" hidden="1" x14ac:dyDescent="0.25">
      <c r="A79" s="1675"/>
      <c r="B79" s="1689"/>
      <c r="C79" s="1676"/>
      <c r="D79" s="1867"/>
      <c r="E79" s="1562">
        <f t="shared" si="5"/>
        <v>0</v>
      </c>
      <c r="F79" s="1815">
        <f t="shared" si="6"/>
        <v>0</v>
      </c>
      <c r="G79" s="1816">
        <f t="shared" si="7"/>
        <v>0</v>
      </c>
    </row>
    <row r="80" spans="1:7" hidden="1" x14ac:dyDescent="0.25">
      <c r="A80" s="1675"/>
      <c r="B80" s="1689"/>
      <c r="C80" s="1676"/>
      <c r="D80" s="1867"/>
      <c r="E80" s="1562">
        <f t="shared" si="5"/>
        <v>0</v>
      </c>
      <c r="F80" s="1815">
        <f t="shared" si="6"/>
        <v>0</v>
      </c>
      <c r="G80" s="1816">
        <f t="shared" si="7"/>
        <v>0</v>
      </c>
    </row>
    <row r="81" spans="1:7" hidden="1" x14ac:dyDescent="0.25">
      <c r="A81" s="1675"/>
      <c r="B81" s="1689"/>
      <c r="C81" s="1676"/>
      <c r="D81" s="1867"/>
      <c r="E81" s="1562">
        <f t="shared" si="5"/>
        <v>0</v>
      </c>
      <c r="F81" s="1815">
        <f t="shared" si="6"/>
        <v>0</v>
      </c>
      <c r="G81" s="1816">
        <f t="shared" si="7"/>
        <v>0</v>
      </c>
    </row>
    <row r="82" spans="1:7" hidden="1" x14ac:dyDescent="0.25">
      <c r="A82" s="1675"/>
      <c r="B82" s="1689"/>
      <c r="C82" s="1676"/>
      <c r="D82" s="1867"/>
      <c r="E82" s="1562">
        <f t="shared" si="5"/>
        <v>0</v>
      </c>
      <c r="F82" s="1815">
        <f t="shared" si="6"/>
        <v>0</v>
      </c>
      <c r="G82" s="1816">
        <f t="shared" si="7"/>
        <v>0</v>
      </c>
    </row>
    <row r="83" spans="1:7" hidden="1" x14ac:dyDescent="0.25">
      <c r="A83" s="1675"/>
      <c r="B83" s="1689"/>
      <c r="C83" s="1676"/>
      <c r="D83" s="1867"/>
      <c r="E83" s="1562">
        <f t="shared" si="5"/>
        <v>0</v>
      </c>
      <c r="F83" s="1815">
        <f t="shared" si="6"/>
        <v>0</v>
      </c>
      <c r="G83" s="1816">
        <f t="shared" si="7"/>
        <v>0</v>
      </c>
    </row>
    <row r="84" spans="1:7" hidden="1" x14ac:dyDescent="0.25">
      <c r="A84" s="1675"/>
      <c r="B84" s="1689"/>
      <c r="C84" s="1676"/>
      <c r="D84" s="1867"/>
      <c r="E84" s="1562">
        <f t="shared" si="5"/>
        <v>0</v>
      </c>
      <c r="F84" s="1815">
        <f t="shared" si="6"/>
        <v>0</v>
      </c>
      <c r="G84" s="1816">
        <f t="shared" si="7"/>
        <v>0</v>
      </c>
    </row>
    <row r="85" spans="1:7" hidden="1" x14ac:dyDescent="0.25">
      <c r="A85" s="1675"/>
      <c r="B85" s="1689"/>
      <c r="C85" s="1676"/>
      <c r="D85" s="1867"/>
      <c r="E85" s="1562">
        <f t="shared" si="2"/>
        <v>0</v>
      </c>
      <c r="F85" s="1815">
        <f t="shared" si="3"/>
        <v>0</v>
      </c>
      <c r="G85" s="1816">
        <f t="shared" si="4"/>
        <v>0</v>
      </c>
    </row>
    <row r="86" spans="1:7" hidden="1" x14ac:dyDescent="0.25">
      <c r="A86" s="1675"/>
      <c r="B86" s="1689"/>
      <c r="C86" s="1676"/>
      <c r="D86" s="1867"/>
      <c r="E86" s="1562">
        <f t="shared" si="2"/>
        <v>0</v>
      </c>
      <c r="F86" s="1815">
        <f t="shared" si="3"/>
        <v>0</v>
      </c>
      <c r="G86" s="1816">
        <f t="shared" si="4"/>
        <v>0</v>
      </c>
    </row>
    <row r="87" spans="1:7" hidden="1" x14ac:dyDescent="0.25">
      <c r="A87" s="1675"/>
      <c r="B87" s="1689"/>
      <c r="C87" s="1676"/>
      <c r="D87" s="1867"/>
      <c r="E87" s="1562">
        <f t="shared" si="2"/>
        <v>0</v>
      </c>
      <c r="F87" s="1815">
        <f t="shared" si="3"/>
        <v>0</v>
      </c>
      <c r="G87" s="1816">
        <f t="shared" si="4"/>
        <v>0</v>
      </c>
    </row>
    <row r="88" spans="1:7" hidden="1" x14ac:dyDescent="0.25">
      <c r="A88" s="1675"/>
      <c r="B88" s="1689"/>
      <c r="C88" s="1676"/>
      <c r="D88" s="1867"/>
      <c r="E88" s="1562">
        <f t="shared" si="2"/>
        <v>0</v>
      </c>
      <c r="F88" s="1815">
        <f t="shared" si="3"/>
        <v>0</v>
      </c>
      <c r="G88" s="1816">
        <f t="shared" si="4"/>
        <v>0</v>
      </c>
    </row>
    <row r="89" spans="1:7" hidden="1" x14ac:dyDescent="0.25">
      <c r="A89" s="1675"/>
      <c r="B89" s="1689"/>
      <c r="C89" s="1676"/>
      <c r="D89" s="1867"/>
      <c r="E89" s="1562">
        <f t="shared" si="2"/>
        <v>0</v>
      </c>
      <c r="F89" s="1815">
        <f t="shared" si="3"/>
        <v>0</v>
      </c>
      <c r="G89" s="1816">
        <f t="shared" si="4"/>
        <v>0</v>
      </c>
    </row>
    <row r="90" spans="1:7" hidden="1" x14ac:dyDescent="0.25">
      <c r="A90" s="1675"/>
      <c r="B90" s="1689"/>
      <c r="C90" s="1676"/>
      <c r="D90" s="1867"/>
      <c r="E90" s="1562">
        <f t="shared" si="2"/>
        <v>0</v>
      </c>
      <c r="F90" s="1815">
        <f t="shared" si="3"/>
        <v>0</v>
      </c>
      <c r="G90" s="1816">
        <f t="shared" si="4"/>
        <v>0</v>
      </c>
    </row>
    <row r="91" spans="1:7" hidden="1" x14ac:dyDescent="0.25">
      <c r="A91" s="1675"/>
      <c r="B91" s="1689"/>
      <c r="C91" s="1676"/>
      <c r="D91" s="1867"/>
      <c r="E91" s="1562">
        <f t="shared" si="2"/>
        <v>0</v>
      </c>
      <c r="F91" s="1815">
        <f t="shared" si="3"/>
        <v>0</v>
      </c>
      <c r="G91" s="1816">
        <f t="shared" si="4"/>
        <v>0</v>
      </c>
    </row>
    <row r="92" spans="1:7" hidden="1" x14ac:dyDescent="0.25">
      <c r="A92" s="1675"/>
      <c r="B92" s="1689"/>
      <c r="C92" s="1676"/>
      <c r="D92" s="1867"/>
      <c r="E92" s="1562">
        <f t="shared" si="2"/>
        <v>0</v>
      </c>
      <c r="F92" s="1815">
        <f t="shared" si="3"/>
        <v>0</v>
      </c>
      <c r="G92" s="1816">
        <f t="shared" si="4"/>
        <v>0</v>
      </c>
    </row>
    <row r="93" spans="1:7" hidden="1"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hidden="1" x14ac:dyDescent="0.25">
      <c r="A94" s="1675"/>
      <c r="B94" s="1689"/>
      <c r="C94" s="1676"/>
      <c r="D94" s="1867"/>
      <c r="E94" s="1562">
        <f t="shared" si="2"/>
        <v>0</v>
      </c>
      <c r="F94" s="1815">
        <f t="shared" si="3"/>
        <v>0</v>
      </c>
      <c r="G94" s="1816">
        <f t="shared" si="4"/>
        <v>0</v>
      </c>
    </row>
    <row r="95" spans="1:7" hidden="1"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hidden="1" x14ac:dyDescent="0.25">
      <c r="A96" s="1675"/>
      <c r="B96" s="1689"/>
      <c r="C96" s="1676"/>
      <c r="D96" s="1867"/>
      <c r="E96" s="1562">
        <f t="shared" si="11"/>
        <v>0</v>
      </c>
      <c r="F96" s="1815">
        <f t="shared" si="12"/>
        <v>0</v>
      </c>
      <c r="G96" s="1816">
        <f t="shared" si="13"/>
        <v>0</v>
      </c>
    </row>
    <row r="97" spans="1:7" hidden="1" x14ac:dyDescent="0.25">
      <c r="A97" s="1675"/>
      <c r="B97" s="1689"/>
      <c r="C97" s="1676"/>
      <c r="D97" s="1867"/>
      <c r="E97" s="1562">
        <f t="shared" si="11"/>
        <v>0</v>
      </c>
      <c r="F97" s="1815">
        <f t="shared" si="12"/>
        <v>0</v>
      </c>
      <c r="G97" s="1816">
        <f t="shared" si="13"/>
        <v>0</v>
      </c>
    </row>
    <row r="98" spans="1:7" hidden="1" x14ac:dyDescent="0.25">
      <c r="A98" s="1675"/>
      <c r="B98" s="1689"/>
      <c r="C98" s="1676"/>
      <c r="D98" s="1867"/>
      <c r="E98" s="1562">
        <f t="shared" si="11"/>
        <v>0</v>
      </c>
      <c r="F98" s="1815">
        <f t="shared" si="12"/>
        <v>0</v>
      </c>
      <c r="G98" s="1816">
        <f t="shared" si="13"/>
        <v>0</v>
      </c>
    </row>
    <row r="99" spans="1:7" hidden="1"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hidden="1"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hidden="1" x14ac:dyDescent="0.25">
      <c r="A101" s="1675"/>
      <c r="B101" s="1689"/>
      <c r="C101" s="1676"/>
      <c r="D101" s="1867"/>
      <c r="E101" s="1562">
        <f t="shared" si="17"/>
        <v>0</v>
      </c>
      <c r="F101" s="1815">
        <f t="shared" si="18"/>
        <v>0</v>
      </c>
      <c r="G101" s="1816">
        <f t="shared" si="19"/>
        <v>0</v>
      </c>
    </row>
    <row r="102" spans="1:7" hidden="1" x14ac:dyDescent="0.25">
      <c r="A102" s="1675"/>
      <c r="B102" s="1689"/>
      <c r="C102" s="1676"/>
      <c r="D102" s="1867"/>
      <c r="E102" s="1562">
        <f t="shared" si="17"/>
        <v>0</v>
      </c>
      <c r="F102" s="1815">
        <f t="shared" si="18"/>
        <v>0</v>
      </c>
      <c r="G102" s="1816">
        <f t="shared" si="19"/>
        <v>0</v>
      </c>
    </row>
    <row r="103" spans="1:7" hidden="1" x14ac:dyDescent="0.25">
      <c r="A103" s="1675"/>
      <c r="B103" s="1689"/>
      <c r="C103" s="1676"/>
      <c r="D103" s="1867"/>
      <c r="E103" s="1562">
        <f t="shared" si="17"/>
        <v>0</v>
      </c>
      <c r="F103" s="1815">
        <f t="shared" si="18"/>
        <v>0</v>
      </c>
      <c r="G103" s="1816">
        <f t="shared" si="19"/>
        <v>0</v>
      </c>
    </row>
    <row r="104" spans="1:7" hidden="1" x14ac:dyDescent="0.25">
      <c r="A104" s="1675"/>
      <c r="B104" s="1689"/>
      <c r="C104" s="1676"/>
      <c r="D104" s="1867"/>
      <c r="E104" s="1562">
        <f t="shared" si="17"/>
        <v>0</v>
      </c>
      <c r="F104" s="1815">
        <f t="shared" si="18"/>
        <v>0</v>
      </c>
      <c r="G104" s="1816">
        <f t="shared" si="19"/>
        <v>0</v>
      </c>
    </row>
    <row r="105" spans="1:7" hidden="1" x14ac:dyDescent="0.25">
      <c r="A105" s="1675"/>
      <c r="B105" s="1689"/>
      <c r="C105" s="1676"/>
      <c r="D105" s="1867"/>
      <c r="E105" s="1562">
        <f t="shared" si="17"/>
        <v>0</v>
      </c>
      <c r="F105" s="1815">
        <f t="shared" si="18"/>
        <v>0</v>
      </c>
      <c r="G105" s="1816">
        <f t="shared" si="19"/>
        <v>0</v>
      </c>
    </row>
    <row r="106" spans="1:7" hidden="1" x14ac:dyDescent="0.25">
      <c r="A106" s="1675"/>
      <c r="B106" s="1689"/>
      <c r="C106" s="1676"/>
      <c r="D106" s="1867"/>
      <c r="E106" s="1562">
        <f t="shared" si="17"/>
        <v>0</v>
      </c>
      <c r="F106" s="1815">
        <f t="shared" si="18"/>
        <v>0</v>
      </c>
      <c r="G106" s="1816">
        <f t="shared" si="19"/>
        <v>0</v>
      </c>
    </row>
    <row r="107" spans="1:7" hidden="1" x14ac:dyDescent="0.25">
      <c r="A107" s="1675"/>
      <c r="B107" s="1689"/>
      <c r="C107" s="1676"/>
      <c r="D107" s="1867"/>
      <c r="E107" s="1562">
        <f t="shared" si="17"/>
        <v>0</v>
      </c>
      <c r="F107" s="1815">
        <f t="shared" si="18"/>
        <v>0</v>
      </c>
      <c r="G107" s="1816">
        <f t="shared" si="19"/>
        <v>0</v>
      </c>
    </row>
    <row r="108" spans="1:7" hidden="1" x14ac:dyDescent="0.25">
      <c r="A108" s="1675"/>
      <c r="B108" s="1689"/>
      <c r="C108" s="1676"/>
      <c r="D108" s="1867"/>
      <c r="E108" s="1562">
        <f t="shared" si="17"/>
        <v>0</v>
      </c>
      <c r="F108" s="1815">
        <f t="shared" si="18"/>
        <v>0</v>
      </c>
      <c r="G108" s="1816">
        <f t="shared" si="19"/>
        <v>0</v>
      </c>
    </row>
    <row r="109" spans="1:7" hidden="1" x14ac:dyDescent="0.25">
      <c r="A109" s="1675"/>
      <c r="B109" s="1689"/>
      <c r="C109" s="1676"/>
      <c r="D109" s="1867"/>
      <c r="E109" s="1562">
        <f t="shared" si="17"/>
        <v>0</v>
      </c>
      <c r="F109" s="1815">
        <f t="shared" si="18"/>
        <v>0</v>
      </c>
      <c r="G109" s="1816">
        <f t="shared" si="19"/>
        <v>0</v>
      </c>
    </row>
    <row r="110" spans="1:7" hidden="1" x14ac:dyDescent="0.25">
      <c r="A110" s="1675"/>
      <c r="B110" s="1689"/>
      <c r="C110" s="1676"/>
      <c r="D110" s="1867"/>
      <c r="E110" s="1562">
        <f t="shared" si="17"/>
        <v>0</v>
      </c>
      <c r="F110" s="1815">
        <f t="shared" si="18"/>
        <v>0</v>
      </c>
      <c r="G110" s="1816">
        <f t="shared" si="19"/>
        <v>0</v>
      </c>
    </row>
    <row r="111" spans="1:7" hidden="1" x14ac:dyDescent="0.25">
      <c r="A111" s="1675"/>
      <c r="B111" s="1689"/>
      <c r="C111" s="1676"/>
      <c r="D111" s="1867"/>
      <c r="E111" s="1562">
        <f t="shared" si="17"/>
        <v>0</v>
      </c>
      <c r="F111" s="1815">
        <f t="shared" si="18"/>
        <v>0</v>
      </c>
      <c r="G111" s="1816">
        <f t="shared" si="19"/>
        <v>0</v>
      </c>
    </row>
    <row r="112" spans="1:7" hidden="1" x14ac:dyDescent="0.25">
      <c r="A112" s="1675"/>
      <c r="B112" s="1689"/>
      <c r="C112" s="1676"/>
      <c r="D112" s="1867"/>
      <c r="E112" s="1562">
        <f t="shared" si="17"/>
        <v>0</v>
      </c>
      <c r="F112" s="1815">
        <f t="shared" si="18"/>
        <v>0</v>
      </c>
      <c r="G112" s="1816">
        <f t="shared" si="19"/>
        <v>0</v>
      </c>
    </row>
    <row r="113" spans="1:7" hidden="1"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hidden="1" x14ac:dyDescent="0.25">
      <c r="A114" s="1675"/>
      <c r="B114" s="1689"/>
      <c r="C114" s="1676"/>
      <c r="D114" s="1867"/>
      <c r="E114" s="1562">
        <f t="shared" si="20"/>
        <v>0</v>
      </c>
      <c r="F114" s="1815">
        <f t="shared" si="21"/>
        <v>0</v>
      </c>
      <c r="G114" s="1816">
        <f t="shared" si="22"/>
        <v>0</v>
      </c>
    </row>
    <row r="115" spans="1:7" hidden="1" x14ac:dyDescent="0.25">
      <c r="A115" s="1675"/>
      <c r="B115" s="1689"/>
      <c r="C115" s="1676"/>
      <c r="D115" s="1867"/>
      <c r="E115" s="1562">
        <f t="shared" si="20"/>
        <v>0</v>
      </c>
      <c r="F115" s="1815">
        <f t="shared" si="21"/>
        <v>0</v>
      </c>
      <c r="G115" s="1816">
        <f t="shared" si="22"/>
        <v>0</v>
      </c>
    </row>
    <row r="116" spans="1:7" hidden="1" x14ac:dyDescent="0.25">
      <c r="A116" s="1675"/>
      <c r="B116" s="1689"/>
      <c r="C116" s="1676"/>
      <c r="D116" s="1867"/>
      <c r="E116" s="1562">
        <f t="shared" si="20"/>
        <v>0</v>
      </c>
      <c r="F116" s="1815">
        <f t="shared" si="21"/>
        <v>0</v>
      </c>
      <c r="G116" s="1816">
        <f t="shared" si="22"/>
        <v>0</v>
      </c>
    </row>
    <row r="117" spans="1:7" hidden="1" x14ac:dyDescent="0.25">
      <c r="A117" s="1675"/>
      <c r="B117" s="1689"/>
      <c r="C117" s="1676"/>
      <c r="D117" s="1867"/>
      <c r="E117" s="1562">
        <f t="shared" si="20"/>
        <v>0</v>
      </c>
      <c r="F117" s="1815">
        <f t="shared" si="21"/>
        <v>0</v>
      </c>
      <c r="G117" s="1816">
        <f t="shared" si="22"/>
        <v>0</v>
      </c>
    </row>
    <row r="118" spans="1:7" hidden="1" x14ac:dyDescent="0.25">
      <c r="A118" s="1675"/>
      <c r="B118" s="1689"/>
      <c r="C118" s="1676"/>
      <c r="D118" s="1867"/>
      <c r="E118" s="1562">
        <f t="shared" si="20"/>
        <v>0</v>
      </c>
      <c r="F118" s="1815">
        <f t="shared" si="21"/>
        <v>0</v>
      </c>
      <c r="G118" s="1816">
        <f t="shared" si="22"/>
        <v>0</v>
      </c>
    </row>
    <row r="119" spans="1:7" hidden="1" x14ac:dyDescent="0.25">
      <c r="A119" s="1675"/>
      <c r="B119" s="1689"/>
      <c r="C119" s="1676"/>
      <c r="D119" s="1867"/>
      <c r="E119" s="1562">
        <f t="shared" si="20"/>
        <v>0</v>
      </c>
      <c r="F119" s="1815">
        <f t="shared" si="21"/>
        <v>0</v>
      </c>
      <c r="G119" s="1816">
        <f t="shared" si="22"/>
        <v>0</v>
      </c>
    </row>
    <row r="120" spans="1:7" hidden="1" x14ac:dyDescent="0.25">
      <c r="A120" s="1675"/>
      <c r="B120" s="1689"/>
      <c r="C120" s="1676"/>
      <c r="D120" s="1867"/>
      <c r="E120" s="1562">
        <f t="shared" si="20"/>
        <v>0</v>
      </c>
      <c r="F120" s="1815">
        <f t="shared" si="21"/>
        <v>0</v>
      </c>
      <c r="G120" s="1816">
        <f t="shared" si="22"/>
        <v>0</v>
      </c>
    </row>
    <row r="121" spans="1:7" hidden="1" x14ac:dyDescent="0.25">
      <c r="A121" s="1675"/>
      <c r="B121" s="1689"/>
      <c r="C121" s="1676"/>
      <c r="D121" s="1867"/>
      <c r="E121" s="1562">
        <f t="shared" si="20"/>
        <v>0</v>
      </c>
      <c r="F121" s="1815">
        <f t="shared" si="21"/>
        <v>0</v>
      </c>
      <c r="G121" s="1816">
        <f t="shared" si="22"/>
        <v>0</v>
      </c>
    </row>
    <row r="122" spans="1:7" hidden="1" x14ac:dyDescent="0.25">
      <c r="A122" s="1675"/>
      <c r="B122" s="1689"/>
      <c r="C122" s="1676"/>
      <c r="D122" s="1867"/>
      <c r="E122" s="1562">
        <f t="shared" si="20"/>
        <v>0</v>
      </c>
      <c r="F122" s="1815">
        <f t="shared" si="21"/>
        <v>0</v>
      </c>
      <c r="G122" s="1816">
        <f t="shared" si="22"/>
        <v>0</v>
      </c>
    </row>
    <row r="123" spans="1:7" hidden="1" x14ac:dyDescent="0.25">
      <c r="A123" s="1675"/>
      <c r="B123" s="1689"/>
      <c r="C123" s="1676"/>
      <c r="D123" s="1867"/>
      <c r="E123" s="1562">
        <f t="shared" si="20"/>
        <v>0</v>
      </c>
      <c r="F123" s="1815">
        <f t="shared" si="21"/>
        <v>0</v>
      </c>
      <c r="G123" s="1816">
        <f t="shared" si="22"/>
        <v>0</v>
      </c>
    </row>
    <row r="124" spans="1:7" hidden="1" x14ac:dyDescent="0.25">
      <c r="A124" s="1675"/>
      <c r="B124" s="1689"/>
      <c r="C124" s="1676"/>
      <c r="D124" s="1867"/>
      <c r="E124" s="1562">
        <f t="shared" si="20"/>
        <v>0</v>
      </c>
      <c r="F124" s="1815">
        <f t="shared" si="21"/>
        <v>0</v>
      </c>
      <c r="G124" s="1816">
        <f t="shared" si="22"/>
        <v>0</v>
      </c>
    </row>
    <row r="125" spans="1:7" hidden="1" x14ac:dyDescent="0.25">
      <c r="A125" s="1675"/>
      <c r="B125" s="1689"/>
      <c r="C125" s="1676"/>
      <c r="D125" s="1867"/>
      <c r="E125" s="1562">
        <f t="shared" si="20"/>
        <v>0</v>
      </c>
      <c r="F125" s="1815">
        <f t="shared" si="21"/>
        <v>0</v>
      </c>
      <c r="G125" s="1816">
        <f t="shared" si="22"/>
        <v>0</v>
      </c>
    </row>
    <row r="126" spans="1:7" hidden="1"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hidden="1" x14ac:dyDescent="0.25">
      <c r="A127" s="1675"/>
      <c r="B127" s="1689"/>
      <c r="C127" s="1676"/>
      <c r="D127" s="1867"/>
      <c r="E127" s="1562">
        <f t="shared" si="23"/>
        <v>0</v>
      </c>
      <c r="F127" s="1815">
        <f t="shared" si="24"/>
        <v>0</v>
      </c>
      <c r="G127" s="1816">
        <f t="shared" si="25"/>
        <v>0</v>
      </c>
    </row>
    <row r="128" spans="1:7" hidden="1" x14ac:dyDescent="0.25">
      <c r="A128" s="1675"/>
      <c r="B128" s="1689"/>
      <c r="C128" s="1676"/>
      <c r="D128" s="1867"/>
      <c r="E128" s="1562">
        <f t="shared" si="23"/>
        <v>0</v>
      </c>
      <c r="F128" s="1815">
        <f t="shared" si="24"/>
        <v>0</v>
      </c>
      <c r="G128" s="1816">
        <f t="shared" si="25"/>
        <v>0</v>
      </c>
    </row>
    <row r="129" spans="1:7" hidden="1" x14ac:dyDescent="0.25">
      <c r="A129" s="1675"/>
      <c r="B129" s="1689"/>
      <c r="C129" s="1676"/>
      <c r="D129" s="1867"/>
      <c r="E129" s="1562">
        <f t="shared" si="23"/>
        <v>0</v>
      </c>
      <c r="F129" s="1815">
        <f t="shared" si="24"/>
        <v>0</v>
      </c>
      <c r="G129" s="1816">
        <f t="shared" si="25"/>
        <v>0</v>
      </c>
    </row>
    <row r="130" spans="1:7" hidden="1" x14ac:dyDescent="0.25">
      <c r="A130" s="1675"/>
      <c r="B130" s="1689"/>
      <c r="C130" s="1676"/>
      <c r="D130" s="1867"/>
      <c r="E130" s="1562">
        <f t="shared" si="23"/>
        <v>0</v>
      </c>
      <c r="F130" s="1815">
        <f t="shared" si="24"/>
        <v>0</v>
      </c>
      <c r="G130" s="1816">
        <f t="shared" si="25"/>
        <v>0</v>
      </c>
    </row>
    <row r="131" spans="1:7" hidden="1" x14ac:dyDescent="0.25">
      <c r="A131" s="1675"/>
      <c r="B131" s="1860"/>
      <c r="C131" s="1676"/>
      <c r="D131" s="1867"/>
      <c r="E131" s="1562">
        <f t="shared" si="23"/>
        <v>0</v>
      </c>
      <c r="F131" s="1815">
        <f t="shared" si="24"/>
        <v>0</v>
      </c>
      <c r="G131" s="1816">
        <f t="shared" si="25"/>
        <v>0</v>
      </c>
    </row>
    <row r="132" spans="1:7" hidden="1" x14ac:dyDescent="0.25">
      <c r="A132" s="1675"/>
      <c r="B132" s="1860"/>
      <c r="C132" s="1676"/>
      <c r="D132" s="1867"/>
      <c r="E132" s="1562">
        <f t="shared" si="23"/>
        <v>0</v>
      </c>
      <c r="F132" s="1815">
        <f t="shared" si="24"/>
        <v>0</v>
      </c>
      <c r="G132" s="1816">
        <f t="shared" si="25"/>
        <v>0</v>
      </c>
    </row>
    <row r="133" spans="1:7" hidden="1" x14ac:dyDescent="0.25">
      <c r="A133" s="1675"/>
      <c r="B133" s="1689"/>
      <c r="C133" s="1676"/>
      <c r="D133" s="1867"/>
      <c r="E133" s="1562">
        <f t="shared" si="23"/>
        <v>0</v>
      </c>
      <c r="F133" s="1815">
        <f t="shared" si="24"/>
        <v>0</v>
      </c>
      <c r="G133" s="1816">
        <f t="shared" si="25"/>
        <v>0</v>
      </c>
    </row>
    <row r="134" spans="1:7" hidden="1" x14ac:dyDescent="0.25">
      <c r="A134" s="1675"/>
      <c r="B134" s="1689"/>
      <c r="C134" s="1676"/>
      <c r="D134" s="1867"/>
      <c r="E134" s="1562">
        <f t="shared" si="23"/>
        <v>0</v>
      </c>
      <c r="F134" s="1815">
        <f t="shared" si="24"/>
        <v>0</v>
      </c>
      <c r="G134" s="1816">
        <f t="shared" si="25"/>
        <v>0</v>
      </c>
    </row>
    <row r="135" spans="1:7" hidden="1"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hidden="1" x14ac:dyDescent="0.25">
      <c r="A136" s="1675"/>
      <c r="B136" s="1689"/>
      <c r="C136" s="1676"/>
      <c r="D136" s="1867"/>
      <c r="E136" s="1562">
        <f t="shared" si="26"/>
        <v>0</v>
      </c>
      <c r="F136" s="1815">
        <f t="shared" si="27"/>
        <v>0</v>
      </c>
      <c r="G136" s="1816">
        <f t="shared" si="28"/>
        <v>0</v>
      </c>
    </row>
    <row r="137" spans="1:7" hidden="1" x14ac:dyDescent="0.25">
      <c r="A137" s="1675"/>
      <c r="B137" s="1689"/>
      <c r="C137" s="1676"/>
      <c r="D137" s="1867"/>
      <c r="E137" s="1562">
        <f t="shared" si="26"/>
        <v>0</v>
      </c>
      <c r="F137" s="1815">
        <f t="shared" si="27"/>
        <v>0</v>
      </c>
      <c r="G137" s="1816">
        <f t="shared" si="28"/>
        <v>0</v>
      </c>
    </row>
    <row r="138" spans="1:7" hidden="1" x14ac:dyDescent="0.25">
      <c r="A138" s="1675"/>
      <c r="B138" s="1689"/>
      <c r="C138" s="1676"/>
      <c r="D138" s="1867"/>
      <c r="E138" s="1562">
        <f t="shared" si="26"/>
        <v>0</v>
      </c>
      <c r="F138" s="1815">
        <f t="shared" si="27"/>
        <v>0</v>
      </c>
      <c r="G138" s="1816">
        <f t="shared" si="28"/>
        <v>0</v>
      </c>
    </row>
    <row r="139" spans="1:7" hidden="1"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33806</v>
      </c>
      <c r="E141" s="1563">
        <f t="shared" si="1"/>
        <v>25000</v>
      </c>
      <c r="F141" s="1817">
        <f>SUM(F17:F140)</f>
        <v>33806</v>
      </c>
      <c r="G141" s="1818">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1176</v>
      </c>
      <c r="B1" s="1657"/>
      <c r="C1" s="1658"/>
    </row>
    <row r="2" spans="1:9" x14ac:dyDescent="0.2">
      <c r="A2" s="953" t="s">
        <v>1177</v>
      </c>
      <c r="B2" s="954"/>
      <c r="C2" s="954"/>
      <c r="D2" s="954"/>
      <c r="E2" s="955"/>
      <c r="F2" s="955"/>
      <c r="G2" s="956"/>
    </row>
    <row r="3" spans="1:9" ht="12" customHeight="1" x14ac:dyDescent="0.2">
      <c r="A3" s="957" t="s">
        <v>1422</v>
      </c>
      <c r="B3" s="958"/>
      <c r="C3" s="958"/>
      <c r="D3" s="958"/>
      <c r="E3" s="959"/>
      <c r="F3" s="959"/>
      <c r="G3" s="960"/>
    </row>
    <row r="4" spans="1:9" x14ac:dyDescent="0.2">
      <c r="A4" s="961" t="s">
        <v>778</v>
      </c>
      <c r="B4" s="962"/>
      <c r="C4" s="962"/>
      <c r="D4" s="962"/>
      <c r="E4" s="963"/>
      <c r="F4" s="964"/>
      <c r="G4" s="965"/>
      <c r="H4" s="252"/>
      <c r="I4" s="252"/>
    </row>
    <row r="5" spans="1:9" s="343" customFormat="1" ht="57" customHeight="1" x14ac:dyDescent="0.2">
      <c r="A5" s="2299" t="s">
        <v>1777</v>
      </c>
      <c r="B5" s="2300"/>
      <c r="C5" s="2300"/>
      <c r="D5" s="2300"/>
      <c r="E5" s="2300"/>
      <c r="F5" s="2300"/>
      <c r="G5" s="2301"/>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963</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2075</v>
      </c>
      <c r="B10" s="972"/>
      <c r="C10" s="977"/>
      <c r="D10" s="973"/>
      <c r="E10" s="974"/>
      <c r="F10" s="975"/>
      <c r="G10" s="976"/>
      <c r="H10" s="162"/>
      <c r="I10" s="162"/>
    </row>
    <row r="11" spans="1:9" s="669" customFormat="1" ht="22.5" customHeight="1" x14ac:dyDescent="0.2">
      <c r="A11" s="2304" t="s">
        <v>1944</v>
      </c>
      <c r="B11" s="2305"/>
      <c r="C11" s="2305"/>
      <c r="D11" s="2306"/>
      <c r="E11" s="978">
        <v>11423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388</v>
      </c>
      <c r="B15" s="968"/>
      <c r="C15" s="968"/>
      <c r="D15" s="968"/>
      <c r="E15" s="968"/>
      <c r="F15" s="968"/>
      <c r="G15" s="982"/>
      <c r="H15" s="162"/>
      <c r="I15" s="162"/>
    </row>
    <row r="16" spans="1:9" s="669" customFormat="1" x14ac:dyDescent="0.2">
      <c r="A16" s="983" t="s">
        <v>1442</v>
      </c>
      <c r="B16" s="984"/>
      <c r="C16" s="985"/>
      <c r="D16" s="964"/>
      <c r="E16" s="959"/>
      <c r="F16" s="959"/>
      <c r="G16" s="960"/>
      <c r="H16" s="162"/>
      <c r="I16" s="162"/>
    </row>
    <row r="17" spans="1:9" s="669" customFormat="1" ht="12" customHeight="1" x14ac:dyDescent="0.2">
      <c r="A17" s="986"/>
      <c r="B17" s="987"/>
      <c r="C17" s="329"/>
      <c r="D17" s="1660" t="s">
        <v>552</v>
      </c>
      <c r="E17" s="1661"/>
      <c r="F17" s="1660" t="s">
        <v>452</v>
      </c>
      <c r="G17" s="1662"/>
      <c r="H17" s="162"/>
      <c r="I17" s="162"/>
    </row>
    <row r="18" spans="1:9" s="259" customFormat="1" ht="11.25" x14ac:dyDescent="0.2">
      <c r="A18" s="989"/>
      <c r="C18" s="990" t="s">
        <v>453</v>
      </c>
      <c r="D18" s="1663" t="s">
        <v>454</v>
      </c>
      <c r="E18" s="1663" t="s">
        <v>55</v>
      </c>
      <c r="F18" s="1663" t="s">
        <v>454</v>
      </c>
      <c r="G18" s="1663" t="s">
        <v>55</v>
      </c>
      <c r="H18" s="178"/>
      <c r="I18" s="178"/>
    </row>
    <row r="19" spans="1:9" s="669" customFormat="1" ht="12" customHeight="1" x14ac:dyDescent="0.2">
      <c r="A19" s="991" t="s">
        <v>475</v>
      </c>
      <c r="B19" s="992"/>
      <c r="C19" s="993" t="s">
        <v>590</v>
      </c>
      <c r="D19" s="1822"/>
      <c r="E19" s="1823">
        <f>'Expenditures 15-22'!K33-SUM('Expenditures 15-22'!G33,'Expenditures 15-22'!I33)+'Expenditures 15-22'!D229</f>
        <v>2143362</v>
      </c>
      <c r="F19" s="1822"/>
      <c r="G19" s="1824">
        <f>'Expenditures 15-22'!K33-SUM('Expenditures 15-22'!G33,'Expenditures 15-22'!I33)+'Expenditures 15-22'!D229</f>
        <v>2143362</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420</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200586</v>
      </c>
      <c r="F21" s="1825"/>
      <c r="G21" s="1828">
        <f>'Expenditures 15-22'!K42-SUM('Expenditures 15-22'!G42,'Expenditures 15-22'!I42)+'Expenditures 15-22'!K120-SUM('Expenditures 15-22'!G120,'Expenditures 15-22'!I120)+'Expenditures 15-22'!K180-SUM('Expenditures 15-22'!G180,'Expenditures 15-22'!I180)+'Expenditures 15-22'!D238</f>
        <v>200586</v>
      </c>
      <c r="H21" s="988"/>
      <c r="I21" s="162"/>
    </row>
    <row r="22" spans="1:9" s="669" customFormat="1" ht="12" customHeight="1" x14ac:dyDescent="0.2">
      <c r="A22" s="995" t="s">
        <v>584</v>
      </c>
      <c r="B22" s="996"/>
      <c r="C22" s="994">
        <v>2200</v>
      </c>
      <c r="D22" s="1825"/>
      <c r="E22" s="1827">
        <f>'Expenditures 15-22'!K47-SUM('Expenditures 15-22'!G47,'Expenditures 15-22'!I47)+'Expenditures 15-22'!D243</f>
        <v>9319</v>
      </c>
      <c r="F22" s="1825"/>
      <c r="G22" s="1828">
        <f>'Expenditures 15-22'!K47-SUM('Expenditures 15-22'!G47,'Expenditures 15-22'!I47)+'Expenditures 15-22'!D243</f>
        <v>9319</v>
      </c>
      <c r="H22" s="988"/>
      <c r="I22" s="162"/>
    </row>
    <row r="23" spans="1:9" s="669" customFormat="1" ht="12" customHeight="1" x14ac:dyDescent="0.2">
      <c r="A23" s="995" t="s">
        <v>585</v>
      </c>
      <c r="B23" s="996"/>
      <c r="C23" s="994">
        <v>2300</v>
      </c>
      <c r="D23" s="1825"/>
      <c r="E23" s="1827">
        <f>'Expenditures 15-22'!K53-SUM('Expenditures 15-22'!G53,'Expenditures 15-22'!I53)+'Expenditures 15-22'!D257+'Expenditures 15-22'!K330-SUM('Expenditures 15-22'!G330,'Expenditures 15-22'!I330)</f>
        <v>341668</v>
      </c>
      <c r="F23" s="1825"/>
      <c r="G23" s="1827">
        <f>'Expenditures 15-22'!K53-SUM('Expenditures 15-22'!G53,'Expenditures 15-22'!I53)+'Expenditures 15-22'!D257+'Expenditures 15-22'!K330-SUM('Expenditures 15-22'!G330,'Expenditures 15-22'!I330)</f>
        <v>341668</v>
      </c>
      <c r="H23" s="988"/>
      <c r="I23" s="162"/>
    </row>
    <row r="24" spans="1:9" s="669" customFormat="1" ht="12" customHeight="1" x14ac:dyDescent="0.2">
      <c r="A24" s="995" t="s">
        <v>586</v>
      </c>
      <c r="B24" s="996"/>
      <c r="C24" s="994">
        <v>2400</v>
      </c>
      <c r="D24" s="1825"/>
      <c r="E24" s="1827">
        <f>'Expenditures 15-22'!K57-SUM('Expenditures 15-22'!G57,'Expenditures 15-22'!I57)+'Expenditures 15-22'!D261</f>
        <v>205639</v>
      </c>
      <c r="F24" s="1825"/>
      <c r="G24" s="1828">
        <f>'Expenditures 15-22'!K57-SUM('Expenditures 15-22'!G57,'Expenditures 15-22'!I57)+'Expenditures 15-22'!D261</f>
        <v>205639</v>
      </c>
      <c r="H24" s="988"/>
      <c r="I24" s="162"/>
    </row>
    <row r="25" spans="1:9" s="669" customFormat="1" ht="12" customHeight="1" x14ac:dyDescent="0.2">
      <c r="A25" s="991" t="s">
        <v>587</v>
      </c>
      <c r="B25" s="997"/>
      <c r="C25" s="994"/>
      <c r="D25" s="1825"/>
      <c r="E25" s="1827"/>
      <c r="F25" s="1825"/>
      <c r="G25" s="1828"/>
      <c r="H25" s="988"/>
      <c r="I25" s="162"/>
    </row>
    <row r="26" spans="1:9" s="669" customFormat="1" ht="12" customHeight="1" x14ac:dyDescent="0.2">
      <c r="A26" s="995" t="s">
        <v>535</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482</v>
      </c>
      <c r="B27" s="998"/>
      <c r="C27" s="994">
        <v>2520</v>
      </c>
      <c r="D27" s="1827">
        <f>'Expenditures 15-22'!K60-SUM('Expenditures 15-22'!G60,'Expenditures 15-22'!I60)+'Expenditures 15-22'!D264-E8</f>
        <v>48859</v>
      </c>
      <c r="E27" s="1827">
        <f>E8</f>
        <v>0</v>
      </c>
      <c r="F27" s="1827">
        <f>'Expenditures 15-22'!K60-SUM('Expenditures 15-22'!G60,'Expenditures 15-22'!I60)+'Expenditures 15-22'!D264-E8</f>
        <v>48859</v>
      </c>
      <c r="G27" s="1828">
        <f>E8</f>
        <v>0</v>
      </c>
      <c r="H27" s="988"/>
      <c r="I27" s="162"/>
    </row>
    <row r="28" spans="1:9" s="669" customFormat="1" ht="12" customHeight="1" x14ac:dyDescent="0.2">
      <c r="A28" s="995" t="s">
        <v>536</v>
      </c>
      <c r="B28" s="998"/>
      <c r="C28" s="994">
        <v>2540</v>
      </c>
      <c r="D28" s="1829"/>
      <c r="E28" s="1827">
        <f>'Expenditures 15-22'!K61-SUM('Expenditures 15-22'!G61,'Expenditures 15-22'!I61)+'Expenditures 15-22'!K124-SUM('Expenditures 15-22'!G124,'Expenditures 15-22'!I124)+'Expenditures 15-22'!D266</f>
        <v>332667</v>
      </c>
      <c r="F28" s="1829">
        <f>'Expenditures 15-22'!K61-SUM('Expenditures 15-22'!G61,'Expenditures 15-22'!I61)+'Expenditures 15-22'!K124-SUM('Expenditures 15-22'!G124,'Expenditures 15-22'!I124)+'Expenditures 15-22'!D266-E9</f>
        <v>332667</v>
      </c>
      <c r="G28" s="1828">
        <f>E9</f>
        <v>0</v>
      </c>
      <c r="H28" s="988"/>
      <c r="I28" s="162"/>
    </row>
    <row r="29" spans="1:9" ht="12" customHeight="1" x14ac:dyDescent="0.2">
      <c r="A29" s="995" t="s">
        <v>537</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200119</v>
      </c>
      <c r="F29" s="1825"/>
      <c r="G29" s="1828">
        <f>'Expenditures 15-22'!K62-SUM('Expenditures 15-22'!G62,'Expenditures 15-22'!I62)+'Expenditures 15-22'!K125-SUM('Expenditures 15-22'!G125,'Expenditures 15-22'!I125)+'Expenditures 15-22'!K182-SUM('Expenditures 15-22'!G182,'Expenditures 15-22'!I182)+'Expenditures 15-22'!D267</f>
        <v>200119</v>
      </c>
      <c r="H29" s="986"/>
    </row>
    <row r="30" spans="1:9" ht="12" customHeight="1" x14ac:dyDescent="0.2">
      <c r="A30" s="995" t="s">
        <v>102</v>
      </c>
      <c r="B30" s="998"/>
      <c r="C30" s="994">
        <v>2560</v>
      </c>
      <c r="D30" s="1825"/>
      <c r="E30" s="1827">
        <f>'Expenditures 15-22'!K63-SUM('Expenditures 15-22'!G63,'Expenditures 15-22'!I63)+'Expenditures 15-22'!D268-E10</f>
        <v>116617</v>
      </c>
      <c r="F30" s="1825"/>
      <c r="G30" s="1827">
        <f>'Expenditures 15-22'!K63-SUM('Expenditures 15-22'!G63,'Expenditures 15-22'!I63)+'Expenditures 15-22'!D268-E10</f>
        <v>116617</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538</v>
      </c>
      <c r="B32" s="997"/>
      <c r="C32" s="994"/>
      <c r="D32" s="1825"/>
      <c r="E32" s="1825"/>
      <c r="F32" s="1825"/>
      <c r="G32" s="1825"/>
    </row>
    <row r="33" spans="1:7" ht="12" customHeight="1" x14ac:dyDescent="0.2">
      <c r="A33" s="995" t="s">
        <v>539</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540</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1120</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422</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423</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541</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63702</v>
      </c>
      <c r="F38" s="1825"/>
      <c r="G38" s="1827">
        <f>'Expenditures 15-22'!K73-SUM('Expenditures 15-22'!G73,'Expenditures 15-22'!I73)+'Expenditures 15-22'!K128-SUM('Expenditures 15-22'!G128,'Expenditures 15-22'!I128)+'Expenditures 15-22'!K183-SUM('Expenditures 15-22'!G183,'Expenditures 15-22'!I183)+'Expenditures 15-22'!D278</f>
        <v>63702</v>
      </c>
    </row>
    <row r="39" spans="1:7" ht="12" customHeight="1" x14ac:dyDescent="0.2">
      <c r="A39" s="991" t="s">
        <v>468</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1929</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48859</v>
      </c>
      <c r="E41" s="1829">
        <f>SUM(E19:E40)</f>
        <v>3613679</v>
      </c>
      <c r="F41" s="1829">
        <f>SUM(F19:F39)</f>
        <v>381526</v>
      </c>
      <c r="G41" s="1829">
        <f>SUM(G19:G40)</f>
        <v>3281012</v>
      </c>
    </row>
    <row r="42" spans="1:7" x14ac:dyDescent="0.2">
      <c r="A42" s="988"/>
      <c r="B42" s="162"/>
      <c r="C42" s="1002"/>
      <c r="D42" s="2302" t="s">
        <v>542</v>
      </c>
      <c r="E42" s="2303"/>
      <c r="F42" s="1003" t="s">
        <v>543</v>
      </c>
      <c r="G42" s="1004"/>
    </row>
    <row r="43" spans="1:7" ht="12" customHeight="1" x14ac:dyDescent="0.2">
      <c r="A43" s="988"/>
      <c r="B43" s="162"/>
      <c r="C43" s="1002"/>
      <c r="D43" s="1830" t="s">
        <v>492</v>
      </c>
      <c r="E43" s="1831">
        <f>D41</f>
        <v>48859</v>
      </c>
      <c r="F43" s="1830" t="s">
        <v>494</v>
      </c>
      <c r="G43" s="1831">
        <f>F41</f>
        <v>381526</v>
      </c>
    </row>
    <row r="44" spans="1:7" ht="12" customHeight="1" x14ac:dyDescent="0.2">
      <c r="A44" s="988"/>
      <c r="B44" s="162"/>
      <c r="C44" s="1002"/>
      <c r="D44" s="1830" t="s">
        <v>493</v>
      </c>
      <c r="E44" s="1831">
        <f>E41</f>
        <v>3613679</v>
      </c>
      <c r="F44" s="1830" t="s">
        <v>493</v>
      </c>
      <c r="G44" s="1831">
        <f>G41</f>
        <v>3281012</v>
      </c>
    </row>
    <row r="45" spans="1:7" ht="12" customHeight="1" x14ac:dyDescent="0.2">
      <c r="A45" s="988"/>
      <c r="B45" s="162"/>
      <c r="C45" s="162"/>
      <c r="D45" s="1832" t="s">
        <v>1062</v>
      </c>
      <c r="E45" s="1833">
        <f>(E43/E44)</f>
        <v>1.3520570034029032E-2</v>
      </c>
      <c r="F45" s="1832" t="s">
        <v>1062</v>
      </c>
      <c r="G45" s="1833">
        <f>(G43/G44)</f>
        <v>0.11628302487159449</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Normal="100" workbookViewId="0">
      <pane ySplit="4" topLeftCell="A5" activePane="bottomLeft" state="frozen"/>
      <selection activeCell="A47" sqref="A47"/>
      <selection pane="bottomLeft" activeCell="F45" sqref="F45"/>
    </sheetView>
  </sheetViews>
  <sheetFormatPr defaultColWidth="9.140625" defaultRowHeight="12.75" x14ac:dyDescent="0.2"/>
  <cols>
    <col min="1" max="1" width="54.5703125" style="1897" customWidth="1"/>
    <col min="2" max="2" width="4.140625" style="1897" customWidth="1"/>
    <col min="3" max="4" width="9.85546875" style="1871" customWidth="1"/>
    <col min="5" max="5" width="12.5703125" style="1898" customWidth="1"/>
    <col min="6" max="6" width="67.5703125" style="1871" customWidth="1"/>
    <col min="7" max="7" width="9.140625" style="1871" customWidth="1"/>
    <col min="8" max="8" width="5.7109375" style="1899" bestFit="1" customWidth="1"/>
    <col min="9" max="10" width="3.42578125" style="1899" bestFit="1" customWidth="1"/>
    <col min="11" max="11" width="9" style="1899" customWidth="1"/>
    <col min="12" max="16384" width="9.140625" style="1871"/>
  </cols>
  <sheetData>
    <row r="1" spans="1:10" x14ac:dyDescent="0.2">
      <c r="A1" s="2321" t="s">
        <v>1445</v>
      </c>
      <c r="B1" s="2321"/>
      <c r="C1" s="2321"/>
      <c r="D1" s="2321"/>
      <c r="E1" s="2321"/>
      <c r="F1" s="2321"/>
    </row>
    <row r="2" spans="1:10" x14ac:dyDescent="0.2">
      <c r="A2" s="1908" t="s">
        <v>2047</v>
      </c>
      <c r="B2" s="1872"/>
      <c r="C2" s="1908"/>
      <c r="D2" s="1872"/>
      <c r="E2" s="1872"/>
      <c r="F2" s="1873"/>
    </row>
    <row r="3" spans="1:10" x14ac:dyDescent="0.2">
      <c r="A3" s="1908" t="s">
        <v>1699</v>
      </c>
      <c r="B3" s="1872"/>
      <c r="C3" s="1908"/>
      <c r="D3" s="1872"/>
      <c r="E3" s="1872"/>
      <c r="F3" s="1873"/>
    </row>
    <row r="4" spans="1:10" ht="3.75" customHeight="1" x14ac:dyDescent="0.2">
      <c r="A4" s="1872"/>
      <c r="B4" s="1872"/>
      <c r="C4" s="1872"/>
      <c r="D4" s="1872"/>
      <c r="E4" s="1872"/>
      <c r="F4" s="1873"/>
    </row>
    <row r="5" spans="1:10" ht="15" x14ac:dyDescent="0.25">
      <c r="A5" s="2322" t="s">
        <v>1626</v>
      </c>
      <c r="B5" s="2323"/>
      <c r="C5" s="2324"/>
      <c r="D5" s="2324"/>
      <c r="E5" s="2324"/>
      <c r="F5" s="2324"/>
    </row>
    <row r="6" spans="1:10" ht="12" customHeight="1" x14ac:dyDescent="0.25">
      <c r="A6" s="1874"/>
      <c r="B6" s="1875"/>
      <c r="C6" s="2325" t="str">
        <f>COVER!A17</f>
        <v>La Moille CUSD 303</v>
      </c>
      <c r="D6" s="2325"/>
      <c r="E6" s="2325"/>
      <c r="F6" s="1876"/>
    </row>
    <row r="7" spans="1:10" ht="11.25" customHeight="1" thickBot="1" x14ac:dyDescent="0.3">
      <c r="A7" s="1874"/>
      <c r="B7" s="1875"/>
      <c r="C7" s="2326">
        <f>COVER!A13</f>
        <v>28006303026</v>
      </c>
      <c r="D7" s="2326"/>
      <c r="E7" s="2326"/>
      <c r="F7" s="1876"/>
    </row>
    <row r="8" spans="1:10" ht="25.5" customHeight="1" thickBot="1" x14ac:dyDescent="0.25">
      <c r="A8" s="1914" t="s">
        <v>2024</v>
      </c>
      <c r="B8" s="1877"/>
      <c r="C8" s="1910" t="s">
        <v>1779</v>
      </c>
      <c r="D8" s="1909" t="s">
        <v>1780</v>
      </c>
      <c r="E8" s="1911" t="s">
        <v>1446</v>
      </c>
      <c r="F8" s="1909" t="s">
        <v>1781</v>
      </c>
      <c r="H8" s="1878" t="b">
        <v>0</v>
      </c>
    </row>
    <row r="9" spans="1:10" ht="15.75" customHeight="1" x14ac:dyDescent="0.2">
      <c r="A9" s="1879" t="s">
        <v>1622</v>
      </c>
      <c r="B9" s="1880"/>
      <c r="C9" s="1881"/>
      <c r="D9" s="1881"/>
      <c r="E9" s="1882"/>
      <c r="F9" s="1883"/>
    </row>
    <row r="10" spans="1:10" ht="27.75" customHeight="1" x14ac:dyDescent="0.2">
      <c r="A10" s="1884" t="s">
        <v>1778</v>
      </c>
      <c r="B10" s="1885"/>
      <c r="C10" s="1886"/>
      <c r="D10" s="1886"/>
      <c r="E10" s="1912" t="s">
        <v>1447</v>
      </c>
      <c r="F10" s="1913" t="s">
        <v>1448</v>
      </c>
    </row>
    <row r="11" spans="1:10" ht="12" customHeight="1" x14ac:dyDescent="0.2">
      <c r="A11" s="1887" t="s">
        <v>1449</v>
      </c>
      <c r="B11" s="1888"/>
      <c r="C11" s="1950" t="s">
        <v>2076</v>
      </c>
      <c r="D11" s="1950" t="s">
        <v>2076</v>
      </c>
      <c r="E11" s="1951" t="s">
        <v>2076</v>
      </c>
      <c r="F11" s="1889" t="s">
        <v>2104</v>
      </c>
      <c r="H11" s="1899">
        <f>IF(C11="X",5,0)</f>
        <v>5</v>
      </c>
      <c r="I11" s="1899">
        <f>IF(D11="X",5,0)</f>
        <v>5</v>
      </c>
      <c r="J11" s="1899">
        <f>IF(E11="X",5,0)</f>
        <v>5</v>
      </c>
    </row>
    <row r="12" spans="1:10" ht="12" customHeight="1" x14ac:dyDescent="0.2">
      <c r="A12" s="1887" t="s">
        <v>1450</v>
      </c>
      <c r="B12" s="1888"/>
      <c r="C12" s="1950"/>
      <c r="D12" s="1950"/>
      <c r="E12" s="1952" t="s">
        <v>2105</v>
      </c>
      <c r="F12" s="1889"/>
      <c r="H12" s="1899">
        <f t="shared" ref="H12:H33" si="0">IF(C12="X",5,0)</f>
        <v>0</v>
      </c>
      <c r="I12" s="1899">
        <f t="shared" ref="I12:I33" si="1">IF(D12="X",5,0)</f>
        <v>0</v>
      </c>
      <c r="J12" s="1899">
        <f t="shared" ref="J12:J33" si="2">IF(E12="X",5,0)</f>
        <v>0</v>
      </c>
    </row>
    <row r="13" spans="1:10" ht="12" customHeight="1" x14ac:dyDescent="0.2">
      <c r="A13" s="1887" t="s">
        <v>1451</v>
      </c>
      <c r="B13" s="1888"/>
      <c r="C13" s="1950"/>
      <c r="D13" s="1950"/>
      <c r="E13" s="1952" t="s">
        <v>2106</v>
      </c>
      <c r="F13" s="1889"/>
      <c r="H13" s="1899">
        <f t="shared" si="0"/>
        <v>0</v>
      </c>
      <c r="I13" s="1899">
        <f t="shared" si="1"/>
        <v>0</v>
      </c>
      <c r="J13" s="1899">
        <f t="shared" si="2"/>
        <v>0</v>
      </c>
    </row>
    <row r="14" spans="1:10" ht="12" customHeight="1" x14ac:dyDescent="0.2">
      <c r="A14" s="1887" t="s">
        <v>1452</v>
      </c>
      <c r="B14" s="1888"/>
      <c r="C14" s="1950"/>
      <c r="D14" s="1950"/>
      <c r="E14" s="1952" t="s">
        <v>2105</v>
      </c>
      <c r="F14" s="1889"/>
      <c r="H14" s="1899">
        <f t="shared" si="0"/>
        <v>0</v>
      </c>
      <c r="I14" s="1899">
        <f t="shared" si="1"/>
        <v>0</v>
      </c>
      <c r="J14" s="1899">
        <f t="shared" si="2"/>
        <v>0</v>
      </c>
    </row>
    <row r="15" spans="1:10" ht="12" customHeight="1" x14ac:dyDescent="0.2">
      <c r="A15" s="1887" t="s">
        <v>1453</v>
      </c>
      <c r="B15" s="1888"/>
      <c r="C15" s="1950" t="s">
        <v>2076</v>
      </c>
      <c r="D15" s="1950" t="s">
        <v>2076</v>
      </c>
      <c r="E15" s="1952" t="s">
        <v>2076</v>
      </c>
      <c r="F15" s="1889" t="s">
        <v>2107</v>
      </c>
      <c r="H15" s="1899">
        <f t="shared" si="0"/>
        <v>5</v>
      </c>
      <c r="I15" s="1899">
        <f t="shared" si="1"/>
        <v>5</v>
      </c>
      <c r="J15" s="1899">
        <f t="shared" si="2"/>
        <v>5</v>
      </c>
    </row>
    <row r="16" spans="1:10" ht="12" customHeight="1" x14ac:dyDescent="0.2">
      <c r="A16" s="1887" t="s">
        <v>1454</v>
      </c>
      <c r="B16" s="1888"/>
      <c r="C16" s="1950"/>
      <c r="D16" s="1950"/>
      <c r="E16" s="1952" t="s">
        <v>2105</v>
      </c>
      <c r="F16" s="1889"/>
      <c r="H16" s="1899">
        <f t="shared" si="0"/>
        <v>0</v>
      </c>
      <c r="I16" s="1899">
        <f t="shared" si="1"/>
        <v>0</v>
      </c>
      <c r="J16" s="1899">
        <f t="shared" si="2"/>
        <v>0</v>
      </c>
    </row>
    <row r="17" spans="1:12" ht="12" customHeight="1" x14ac:dyDescent="0.2">
      <c r="A17" s="1887" t="s">
        <v>1455</v>
      </c>
      <c r="B17" s="1888"/>
      <c r="C17" s="1950" t="s">
        <v>2076</v>
      </c>
      <c r="D17" s="1950" t="s">
        <v>2076</v>
      </c>
      <c r="E17" s="1952" t="s">
        <v>2076</v>
      </c>
      <c r="F17" s="1889" t="s">
        <v>2108</v>
      </c>
      <c r="H17" s="1899">
        <f t="shared" si="0"/>
        <v>5</v>
      </c>
      <c r="I17" s="1899">
        <f t="shared" si="1"/>
        <v>5</v>
      </c>
      <c r="J17" s="1899">
        <f t="shared" si="2"/>
        <v>5</v>
      </c>
    </row>
    <row r="18" spans="1:12" ht="12" customHeight="1" x14ac:dyDescent="0.2">
      <c r="A18" s="1887" t="s">
        <v>1456</v>
      </c>
      <c r="B18" s="1888"/>
      <c r="C18" s="1950"/>
      <c r="D18" s="1950"/>
      <c r="E18" s="1952" t="s">
        <v>2105</v>
      </c>
      <c r="F18" s="1889"/>
      <c r="H18" s="1899">
        <f t="shared" si="0"/>
        <v>0</v>
      </c>
      <c r="I18" s="1899">
        <f t="shared" si="1"/>
        <v>0</v>
      </c>
      <c r="J18" s="1899">
        <f t="shared" si="2"/>
        <v>0</v>
      </c>
    </row>
    <row r="19" spans="1:12" ht="12" customHeight="1" x14ac:dyDescent="0.2">
      <c r="A19" s="1887" t="s">
        <v>1607</v>
      </c>
      <c r="B19" s="1888"/>
      <c r="C19" s="1950" t="s">
        <v>2076</v>
      </c>
      <c r="D19" s="1950" t="s">
        <v>2076</v>
      </c>
      <c r="E19" s="1952" t="s">
        <v>2076</v>
      </c>
      <c r="F19" s="1889" t="s">
        <v>2109</v>
      </c>
      <c r="H19" s="1899">
        <f t="shared" si="0"/>
        <v>5</v>
      </c>
      <c r="I19" s="1899">
        <f t="shared" si="1"/>
        <v>5</v>
      </c>
      <c r="J19" s="1899">
        <f t="shared" si="2"/>
        <v>5</v>
      </c>
    </row>
    <row r="20" spans="1:12" ht="12" customHeight="1" x14ac:dyDescent="0.2">
      <c r="A20" s="1887" t="s">
        <v>1608</v>
      </c>
      <c r="B20" s="1888"/>
      <c r="C20" s="1950"/>
      <c r="D20" s="1950"/>
      <c r="E20" s="1952" t="s">
        <v>2110</v>
      </c>
      <c r="F20" s="1889"/>
      <c r="H20" s="1899">
        <f t="shared" si="0"/>
        <v>0</v>
      </c>
      <c r="I20" s="1899">
        <f t="shared" si="1"/>
        <v>0</v>
      </c>
      <c r="J20" s="1899">
        <f t="shared" si="2"/>
        <v>0</v>
      </c>
    </row>
    <row r="21" spans="1:12" ht="12" customHeight="1" x14ac:dyDescent="0.2">
      <c r="A21" s="1887" t="s">
        <v>1609</v>
      </c>
      <c r="B21" s="1888"/>
      <c r="C21" s="1950"/>
      <c r="D21" s="1950"/>
      <c r="E21" s="1952" t="s">
        <v>2105</v>
      </c>
      <c r="F21" s="1889"/>
      <c r="H21" s="1899">
        <f t="shared" si="0"/>
        <v>0</v>
      </c>
      <c r="I21" s="1899">
        <f t="shared" si="1"/>
        <v>0</v>
      </c>
      <c r="J21" s="1899">
        <f t="shared" si="2"/>
        <v>0</v>
      </c>
    </row>
    <row r="22" spans="1:12" ht="12" customHeight="1" x14ac:dyDescent="0.2">
      <c r="A22" s="1887" t="s">
        <v>1610</v>
      </c>
      <c r="B22" s="1888"/>
      <c r="C22" s="1950"/>
      <c r="D22" s="1950"/>
      <c r="E22" s="1952" t="s">
        <v>2105</v>
      </c>
      <c r="F22" s="1889"/>
      <c r="H22" s="1899">
        <f t="shared" si="0"/>
        <v>0</v>
      </c>
      <c r="I22" s="1899">
        <f t="shared" si="1"/>
        <v>0</v>
      </c>
      <c r="J22" s="1899">
        <f t="shared" si="2"/>
        <v>0</v>
      </c>
    </row>
    <row r="23" spans="1:12" ht="12" customHeight="1" x14ac:dyDescent="0.2">
      <c r="A23" s="1887" t="s">
        <v>1611</v>
      </c>
      <c r="B23" s="1888"/>
      <c r="C23" s="1950"/>
      <c r="D23" s="1950"/>
      <c r="E23" s="1952" t="s">
        <v>2111</v>
      </c>
      <c r="F23" s="1889"/>
      <c r="H23" s="1899">
        <f t="shared" si="0"/>
        <v>0</v>
      </c>
      <c r="I23" s="1899">
        <f t="shared" si="1"/>
        <v>0</v>
      </c>
      <c r="J23" s="1899">
        <f t="shared" si="2"/>
        <v>0</v>
      </c>
    </row>
    <row r="24" spans="1:12" ht="12" customHeight="1" x14ac:dyDescent="0.2">
      <c r="A24" s="1887" t="s">
        <v>1612</v>
      </c>
      <c r="B24" s="1888"/>
      <c r="C24" s="1950" t="s">
        <v>2076</v>
      </c>
      <c r="D24" s="1950" t="s">
        <v>2076</v>
      </c>
      <c r="E24" s="1952" t="s">
        <v>2076</v>
      </c>
      <c r="F24" s="1889" t="s">
        <v>2112</v>
      </c>
      <c r="H24" s="1899">
        <f t="shared" si="0"/>
        <v>5</v>
      </c>
      <c r="I24" s="1899">
        <f t="shared" si="1"/>
        <v>5</v>
      </c>
      <c r="J24" s="1899">
        <f t="shared" si="2"/>
        <v>5</v>
      </c>
    </row>
    <row r="25" spans="1:12" ht="12" customHeight="1" x14ac:dyDescent="0.2">
      <c r="A25" s="1887" t="s">
        <v>1613</v>
      </c>
      <c r="B25" s="1888"/>
      <c r="C25" s="1950"/>
      <c r="D25" s="1950"/>
      <c r="E25" s="1952" t="s">
        <v>2113</v>
      </c>
      <c r="F25" s="1889"/>
      <c r="H25" s="1899">
        <f t="shared" si="0"/>
        <v>0</v>
      </c>
      <c r="I25" s="1899">
        <f t="shared" si="1"/>
        <v>0</v>
      </c>
      <c r="J25" s="1899">
        <f t="shared" si="2"/>
        <v>0</v>
      </c>
    </row>
    <row r="26" spans="1:12" ht="12" customHeight="1" x14ac:dyDescent="0.2">
      <c r="A26" s="1887" t="s">
        <v>1614</v>
      </c>
      <c r="B26" s="1888"/>
      <c r="C26" s="1950" t="s">
        <v>2076</v>
      </c>
      <c r="D26" s="1950" t="s">
        <v>2076</v>
      </c>
      <c r="E26" s="1952" t="s">
        <v>2076</v>
      </c>
      <c r="F26" s="1889" t="s">
        <v>2114</v>
      </c>
      <c r="H26" s="1899">
        <f t="shared" si="0"/>
        <v>5</v>
      </c>
      <c r="I26" s="1899">
        <f t="shared" si="1"/>
        <v>5</v>
      </c>
      <c r="J26" s="1899">
        <f t="shared" si="2"/>
        <v>5</v>
      </c>
    </row>
    <row r="27" spans="1:12" x14ac:dyDescent="0.2">
      <c r="A27" s="1887" t="s">
        <v>1615</v>
      </c>
      <c r="B27" s="1888"/>
      <c r="C27" s="1950"/>
      <c r="D27" s="1950"/>
      <c r="E27" s="1952" t="s">
        <v>2115</v>
      </c>
      <c r="F27" s="1889"/>
      <c r="H27" s="1899">
        <f t="shared" si="0"/>
        <v>0</v>
      </c>
      <c r="I27" s="1899">
        <f t="shared" si="1"/>
        <v>0</v>
      </c>
      <c r="J27" s="1899">
        <f t="shared" si="2"/>
        <v>0</v>
      </c>
    </row>
    <row r="28" spans="1:12" ht="12" customHeight="1" x14ac:dyDescent="0.2">
      <c r="A28" s="1887" t="s">
        <v>1616</v>
      </c>
      <c r="B28" s="1888"/>
      <c r="C28" s="1950" t="s">
        <v>2076</v>
      </c>
      <c r="D28" s="1950" t="s">
        <v>2076</v>
      </c>
      <c r="E28" s="1952" t="s">
        <v>2076</v>
      </c>
      <c r="F28" s="1889" t="s">
        <v>2116</v>
      </c>
      <c r="H28" s="1899">
        <f t="shared" si="0"/>
        <v>5</v>
      </c>
      <c r="I28" s="1899">
        <f t="shared" si="1"/>
        <v>5</v>
      </c>
      <c r="J28" s="1899">
        <f t="shared" si="2"/>
        <v>5</v>
      </c>
    </row>
    <row r="29" spans="1:12" ht="12" customHeight="1" x14ac:dyDescent="0.2">
      <c r="A29" s="1887" t="s">
        <v>1617</v>
      </c>
      <c r="B29" s="1888"/>
      <c r="C29" s="1950"/>
      <c r="D29" s="1950"/>
      <c r="E29" s="1952" t="s">
        <v>2105</v>
      </c>
      <c r="F29" s="1889"/>
      <c r="H29" s="1899">
        <f t="shared" si="0"/>
        <v>0</v>
      </c>
      <c r="I29" s="1899">
        <f t="shared" si="1"/>
        <v>0</v>
      </c>
      <c r="J29" s="1899">
        <f t="shared" si="2"/>
        <v>0</v>
      </c>
    </row>
    <row r="30" spans="1:12" ht="12" customHeight="1" x14ac:dyDescent="0.2">
      <c r="A30" s="1887" t="s">
        <v>1618</v>
      </c>
      <c r="B30" s="1888"/>
      <c r="C30" s="1950"/>
      <c r="D30" s="1950"/>
      <c r="E30" s="1952" t="s">
        <v>2106</v>
      </c>
      <c r="F30" s="1889"/>
      <c r="H30" s="1899">
        <f t="shared" si="0"/>
        <v>0</v>
      </c>
      <c r="I30" s="1899">
        <f t="shared" si="1"/>
        <v>0</v>
      </c>
      <c r="J30" s="1899">
        <f t="shared" si="2"/>
        <v>0</v>
      </c>
    </row>
    <row r="31" spans="1:12" ht="12" customHeight="1" x14ac:dyDescent="0.2">
      <c r="A31" s="1887" t="s">
        <v>1619</v>
      </c>
      <c r="B31" s="1888"/>
      <c r="C31" s="1950" t="s">
        <v>2076</v>
      </c>
      <c r="D31" s="1950" t="s">
        <v>2076</v>
      </c>
      <c r="E31" s="1952" t="s">
        <v>2076</v>
      </c>
      <c r="F31" s="1889" t="s">
        <v>2117</v>
      </c>
      <c r="H31" s="1899">
        <f t="shared" si="0"/>
        <v>5</v>
      </c>
      <c r="I31" s="1899">
        <f t="shared" si="1"/>
        <v>5</v>
      </c>
      <c r="J31" s="1899">
        <f t="shared" si="2"/>
        <v>5</v>
      </c>
      <c r="L31" s="1890"/>
    </row>
    <row r="32" spans="1:12" ht="12" customHeight="1" x14ac:dyDescent="0.2">
      <c r="A32" s="1887" t="s">
        <v>1620</v>
      </c>
      <c r="B32" s="1888"/>
      <c r="C32" s="1950" t="s">
        <v>2076</v>
      </c>
      <c r="D32" s="1950" t="s">
        <v>2076</v>
      </c>
      <c r="E32" s="1952" t="s">
        <v>2076</v>
      </c>
      <c r="F32" s="1889" t="s">
        <v>2118</v>
      </c>
      <c r="H32" s="1899">
        <f t="shared" si="0"/>
        <v>5</v>
      </c>
      <c r="I32" s="1899">
        <f t="shared" si="1"/>
        <v>5</v>
      </c>
      <c r="J32" s="1899">
        <f t="shared" si="2"/>
        <v>5</v>
      </c>
    </row>
    <row r="33" spans="1:11" ht="12" customHeight="1" x14ac:dyDescent="0.2">
      <c r="A33" s="1887" t="s">
        <v>1621</v>
      </c>
      <c r="B33" s="1888"/>
      <c r="C33" s="1950" t="s">
        <v>2076</v>
      </c>
      <c r="D33" s="1950" t="s">
        <v>2076</v>
      </c>
      <c r="E33" s="1952" t="s">
        <v>2076</v>
      </c>
      <c r="F33" s="1889" t="s">
        <v>2119</v>
      </c>
      <c r="H33" s="1899">
        <f t="shared" si="0"/>
        <v>5</v>
      </c>
      <c r="I33" s="1899">
        <f t="shared" si="1"/>
        <v>5</v>
      </c>
      <c r="J33" s="1899">
        <f t="shared" si="2"/>
        <v>5</v>
      </c>
    </row>
    <row r="34" spans="1:11" ht="12" customHeight="1" x14ac:dyDescent="0.25">
      <c r="A34" s="1891"/>
      <c r="B34" s="1891"/>
      <c r="C34" s="1891"/>
      <c r="D34" s="1891"/>
      <c r="E34" s="1891"/>
      <c r="F34" s="1891"/>
      <c r="H34" s="1899">
        <f>SUM(H11:H32)</f>
        <v>45</v>
      </c>
      <c r="I34" s="1899">
        <f>SUM(I11:I32)</f>
        <v>45</v>
      </c>
      <c r="J34" s="1899">
        <f>SUM(J11:J32)</f>
        <v>45</v>
      </c>
      <c r="K34" s="1899">
        <f>SUM(H34:J34)</f>
        <v>135</v>
      </c>
    </row>
    <row r="35" spans="1:11" ht="12" customHeight="1" x14ac:dyDescent="0.2">
      <c r="A35" s="1892" t="s">
        <v>1458</v>
      </c>
      <c r="B35" s="1893"/>
      <c r="C35" s="2327"/>
      <c r="D35" s="2327"/>
      <c r="E35" s="2327"/>
      <c r="F35" s="2328"/>
    </row>
    <row r="36" spans="1:11" ht="12" customHeight="1" x14ac:dyDescent="0.2">
      <c r="A36" s="2310"/>
      <c r="B36" s="2311"/>
      <c r="C36" s="2311"/>
      <c r="D36" s="2311"/>
      <c r="E36" s="2311"/>
      <c r="F36" s="2312"/>
    </row>
    <row r="37" spans="1:11" ht="12" customHeight="1" x14ac:dyDescent="0.2">
      <c r="A37" s="2310"/>
      <c r="B37" s="2311"/>
      <c r="C37" s="2311"/>
      <c r="D37" s="2311"/>
      <c r="E37" s="2311"/>
      <c r="F37" s="2312"/>
    </row>
    <row r="38" spans="1:11" ht="12" customHeight="1" x14ac:dyDescent="0.2">
      <c r="A38" s="2313"/>
      <c r="B38" s="2314"/>
      <c r="C38" s="2314"/>
      <c r="D38" s="2314"/>
      <c r="E38" s="2314"/>
      <c r="F38" s="2315"/>
    </row>
    <row r="39" spans="1:11" ht="4.5" hidden="1" customHeight="1" x14ac:dyDescent="0.2">
      <c r="A39" s="1894"/>
      <c r="B39" s="1894"/>
      <c r="C39" s="1894"/>
      <c r="D39" s="1894"/>
      <c r="E39" s="1894"/>
      <c r="F39" s="1894"/>
    </row>
    <row r="40" spans="1:11" s="1891" customFormat="1" ht="12" customHeight="1" x14ac:dyDescent="0.25">
      <c r="A40" s="1895" t="s">
        <v>1457</v>
      </c>
      <c r="B40" s="1896"/>
      <c r="C40" s="2316"/>
      <c r="D40" s="2316"/>
      <c r="E40" s="2316"/>
      <c r="F40" s="2317"/>
      <c r="H40" s="1900"/>
      <c r="I40" s="1900"/>
      <c r="J40" s="1900"/>
      <c r="K40" s="1900"/>
    </row>
    <row r="41" spans="1:11" s="1891" customFormat="1" ht="12" customHeight="1" x14ac:dyDescent="0.25">
      <c r="A41" s="2318" t="s">
        <v>2120</v>
      </c>
      <c r="B41" s="2319"/>
      <c r="C41" s="2319"/>
      <c r="D41" s="2319"/>
      <c r="E41" s="2319"/>
      <c r="F41" s="2320"/>
      <c r="H41" s="1900"/>
      <c r="I41" s="1900"/>
      <c r="J41" s="1900"/>
      <c r="K41" s="1900"/>
    </row>
    <row r="42" spans="1:11" s="1891" customFormat="1" ht="12" customHeight="1" x14ac:dyDescent="0.25">
      <c r="A42" s="2318" t="s">
        <v>2121</v>
      </c>
      <c r="B42" s="2319"/>
      <c r="C42" s="2319"/>
      <c r="D42" s="2319"/>
      <c r="E42" s="2319"/>
      <c r="F42" s="2320"/>
      <c r="H42" s="1900"/>
      <c r="I42" s="1900"/>
      <c r="J42" s="1900"/>
      <c r="K42" s="1900"/>
    </row>
    <row r="43" spans="1:11" s="1891" customFormat="1" ht="15" x14ac:dyDescent="0.25">
      <c r="A43" s="2307" t="s">
        <v>2122</v>
      </c>
      <c r="B43" s="2308"/>
      <c r="C43" s="2308"/>
      <c r="D43" s="2308"/>
      <c r="E43" s="2308"/>
      <c r="F43" s="2309"/>
      <c r="H43" s="1900"/>
      <c r="I43" s="1900"/>
      <c r="J43" s="1900"/>
      <c r="K43" s="1900"/>
    </row>
    <row r="44" spans="1:11" s="1891" customFormat="1" ht="12" hidden="1" customHeight="1" x14ac:dyDescent="0.25">
      <c r="A44" s="2307"/>
      <c r="B44" s="2308"/>
      <c r="C44" s="2308"/>
      <c r="D44" s="2308"/>
      <c r="E44" s="2308"/>
      <c r="F44" s="2309"/>
      <c r="H44" s="1900"/>
      <c r="I44" s="1900"/>
      <c r="J44" s="1900"/>
      <c r="K44" s="1900"/>
    </row>
    <row r="45" spans="1:11" s="1891" customFormat="1" ht="12" customHeight="1" x14ac:dyDescent="0.25">
      <c r="H45" s="1900"/>
      <c r="I45" s="1900"/>
      <c r="J45" s="1900"/>
      <c r="K45" s="1900"/>
    </row>
    <row r="46" spans="1:11" s="1891" customFormat="1" ht="9.75" customHeight="1" x14ac:dyDescent="0.25">
      <c r="H46" s="1900"/>
      <c r="I46" s="1900"/>
      <c r="J46" s="1900"/>
      <c r="K46" s="1900"/>
    </row>
    <row r="47" spans="1:11" s="1891" customFormat="1" ht="13.5" customHeight="1" x14ac:dyDescent="0.25">
      <c r="H47" s="1900"/>
      <c r="I47" s="1900"/>
      <c r="J47" s="1900"/>
      <c r="K47" s="1900"/>
    </row>
    <row r="48" spans="1:11" s="1891" customFormat="1" ht="15" x14ac:dyDescent="0.25">
      <c r="H48" s="1900"/>
      <c r="I48" s="1900"/>
      <c r="J48" s="1900"/>
      <c r="K48" s="1900"/>
    </row>
    <row r="49" spans="1:11" s="1891" customFormat="1" ht="15" hidden="1" x14ac:dyDescent="0.25">
      <c r="A49" s="1891" t="b">
        <v>0</v>
      </c>
      <c r="H49" s="1900"/>
      <c r="I49" s="1900"/>
      <c r="J49" s="1900"/>
      <c r="K49" s="1900"/>
    </row>
    <row r="50" spans="1:11" s="1891" customFormat="1" ht="15" x14ac:dyDescent="0.25">
      <c r="H50" s="1900"/>
      <c r="I50" s="1900"/>
      <c r="J50" s="1900"/>
      <c r="K50" s="1900"/>
    </row>
    <row r="51" spans="1:11" s="1891" customFormat="1" ht="15" x14ac:dyDescent="0.25">
      <c r="H51" s="1900"/>
      <c r="I51" s="1900"/>
      <c r="J51" s="1900"/>
      <c r="K51" s="1900"/>
    </row>
    <row r="52" spans="1:11" s="1891" customFormat="1" ht="15" x14ac:dyDescent="0.25">
      <c r="H52" s="1900"/>
      <c r="I52" s="1900"/>
      <c r="J52" s="1900"/>
      <c r="K52" s="1900"/>
    </row>
    <row r="53" spans="1:11" s="1891" customFormat="1" ht="15" x14ac:dyDescent="0.25">
      <c r="H53" s="1900"/>
      <c r="I53" s="1900"/>
      <c r="J53" s="1900"/>
      <c r="K53" s="1900"/>
    </row>
    <row r="54" spans="1:11" s="1891" customFormat="1" ht="15" x14ac:dyDescent="0.25">
      <c r="H54" s="1900"/>
      <c r="I54" s="1900"/>
      <c r="J54" s="1900"/>
      <c r="K54" s="1900"/>
    </row>
    <row r="55" spans="1:11" s="1891" customFormat="1" ht="15" x14ac:dyDescent="0.25">
      <c r="H55" s="1900"/>
      <c r="I55" s="1900"/>
      <c r="J55" s="1900"/>
      <c r="K55" s="1900"/>
    </row>
    <row r="56" spans="1:11" s="1891" customFormat="1" ht="15" x14ac:dyDescent="0.25">
      <c r="H56" s="1900"/>
      <c r="I56" s="1900"/>
      <c r="J56" s="1900"/>
      <c r="K56" s="1900"/>
    </row>
    <row r="57" spans="1:11" s="1891" customFormat="1" ht="15" x14ac:dyDescent="0.25">
      <c r="H57" s="1900"/>
      <c r="I57" s="1900"/>
      <c r="J57" s="1900"/>
      <c r="K57" s="1900"/>
    </row>
    <row r="58" spans="1:11" s="1891" customFormat="1" ht="15" x14ac:dyDescent="0.25">
      <c r="H58" s="1900"/>
      <c r="I58" s="1900"/>
      <c r="J58" s="1900"/>
      <c r="K58" s="1900"/>
    </row>
    <row r="59" spans="1:11" s="1891" customFormat="1" ht="15" x14ac:dyDescent="0.25">
      <c r="H59" s="1900"/>
      <c r="I59" s="1900"/>
      <c r="J59" s="1900"/>
      <c r="K59" s="1900"/>
    </row>
    <row r="60" spans="1:11" s="1891" customFormat="1" ht="15" x14ac:dyDescent="0.25">
      <c r="H60" s="1900"/>
      <c r="I60" s="1900"/>
      <c r="J60" s="1900"/>
      <c r="K60" s="1900"/>
    </row>
    <row r="61" spans="1:11" s="1891" customFormat="1" ht="15" x14ac:dyDescent="0.25">
      <c r="H61" s="1900"/>
      <c r="I61" s="1900"/>
      <c r="J61" s="1900"/>
      <c r="K61" s="1900"/>
    </row>
    <row r="62" spans="1:11" s="1891" customFormat="1" ht="15" x14ac:dyDescent="0.25">
      <c r="H62" s="1900"/>
      <c r="I62" s="1900"/>
      <c r="J62" s="1900"/>
      <c r="K62" s="1900"/>
    </row>
    <row r="63" spans="1:11" s="1891" customFormat="1" ht="15" x14ac:dyDescent="0.25">
      <c r="H63" s="1900"/>
      <c r="I63" s="1900"/>
      <c r="J63" s="1900"/>
      <c r="K63" s="1900"/>
    </row>
    <row r="64" spans="1:11" s="1891" customFormat="1" ht="15" x14ac:dyDescent="0.25">
      <c r="H64" s="1900"/>
      <c r="I64" s="1900"/>
      <c r="J64" s="1900"/>
      <c r="K64" s="1900"/>
    </row>
    <row r="65" spans="8:11" s="1891" customFormat="1" ht="15" x14ac:dyDescent="0.25">
      <c r="H65" s="1900"/>
      <c r="I65" s="1900"/>
      <c r="J65" s="1900"/>
      <c r="K65" s="1900"/>
    </row>
    <row r="66" spans="8:11" s="1891" customFormat="1" ht="15" x14ac:dyDescent="0.25">
      <c r="H66" s="1900"/>
      <c r="I66" s="1900"/>
      <c r="J66" s="1900"/>
      <c r="K66" s="1900"/>
    </row>
    <row r="67" spans="8:11" s="1891" customFormat="1" ht="15" x14ac:dyDescent="0.25">
      <c r="H67" s="1900"/>
      <c r="I67" s="1900"/>
      <c r="J67" s="1900"/>
      <c r="K67" s="1900"/>
    </row>
    <row r="68" spans="8:11" s="1891" customFormat="1" ht="15" x14ac:dyDescent="0.25">
      <c r="H68" s="1900"/>
      <c r="I68" s="1900"/>
      <c r="J68" s="1900"/>
      <c r="K68" s="1900"/>
    </row>
    <row r="69" spans="8:11" s="1891" customFormat="1" ht="15" x14ac:dyDescent="0.25">
      <c r="H69" s="1900"/>
      <c r="I69" s="1900"/>
      <c r="J69" s="1900"/>
      <c r="K69" s="1900"/>
    </row>
    <row r="70" spans="8:11" s="1891" customFormat="1" ht="15" x14ac:dyDescent="0.25">
      <c r="H70" s="1900"/>
      <c r="I70" s="1900"/>
      <c r="J70" s="1900"/>
      <c r="K70" s="1900"/>
    </row>
    <row r="71" spans="8:11" s="1891" customFormat="1" ht="15" x14ac:dyDescent="0.25">
      <c r="H71" s="1900"/>
      <c r="I71" s="1900"/>
      <c r="J71" s="1900"/>
      <c r="K71" s="1900"/>
    </row>
    <row r="72" spans="8:11" s="1891" customFormat="1" ht="15" x14ac:dyDescent="0.25">
      <c r="H72" s="1900"/>
      <c r="I72" s="1900"/>
      <c r="J72" s="1900"/>
      <c r="K72" s="1900"/>
    </row>
    <row r="73" spans="8:11" s="1891" customFormat="1" ht="15" x14ac:dyDescent="0.25">
      <c r="H73" s="1900"/>
      <c r="I73" s="1900"/>
      <c r="J73" s="1900"/>
      <c r="K73" s="1900"/>
    </row>
    <row r="74" spans="8:11" s="1891" customFormat="1" ht="15" x14ac:dyDescent="0.25">
      <c r="H74" s="1900"/>
      <c r="I74" s="1900"/>
      <c r="J74" s="1900"/>
      <c r="K74" s="1900"/>
    </row>
    <row r="75" spans="8:11" s="1891" customFormat="1" ht="15" x14ac:dyDescent="0.25">
      <c r="H75" s="1900"/>
      <c r="I75" s="1900"/>
      <c r="J75" s="1900"/>
      <c r="K75" s="1900"/>
    </row>
    <row r="76" spans="8:11" s="1891" customFormat="1" ht="15" x14ac:dyDescent="0.25">
      <c r="H76" s="1900"/>
      <c r="I76" s="1900"/>
      <c r="J76" s="1900"/>
      <c r="K76" s="1900"/>
    </row>
    <row r="77" spans="8:11" s="1891" customFormat="1" ht="15" x14ac:dyDescent="0.25">
      <c r="H77" s="1900"/>
      <c r="I77" s="1900"/>
      <c r="J77" s="1900"/>
      <c r="K77" s="1900"/>
    </row>
    <row r="78" spans="8:11" s="1891" customFormat="1" ht="15" x14ac:dyDescent="0.25">
      <c r="H78" s="1900"/>
      <c r="I78" s="1900"/>
      <c r="J78" s="1900"/>
      <c r="K78" s="1900"/>
    </row>
    <row r="79" spans="8:11" s="1891" customFormat="1" ht="15" x14ac:dyDescent="0.25">
      <c r="H79" s="1900"/>
      <c r="I79" s="1900"/>
      <c r="J79" s="1900"/>
      <c r="K79" s="1900"/>
    </row>
    <row r="80" spans="8:11" s="1891" customFormat="1" ht="15" x14ac:dyDescent="0.25">
      <c r="H80" s="1900"/>
      <c r="I80" s="1900"/>
      <c r="J80" s="1900"/>
      <c r="K80" s="1900"/>
    </row>
    <row r="81" spans="8:11" s="1891" customFormat="1" ht="15" x14ac:dyDescent="0.25">
      <c r="H81" s="1900"/>
      <c r="I81" s="1900"/>
      <c r="J81" s="1900"/>
      <c r="K81" s="1900"/>
    </row>
    <row r="82" spans="8:11" s="1891" customFormat="1" ht="15" x14ac:dyDescent="0.25">
      <c r="H82" s="1900"/>
      <c r="I82" s="1900"/>
      <c r="J82" s="1900"/>
      <c r="K82" s="1900"/>
    </row>
    <row r="83" spans="8:11" s="1891" customFormat="1" ht="15" x14ac:dyDescent="0.25">
      <c r="H83" s="1900"/>
      <c r="I83" s="1900"/>
      <c r="J83" s="1900"/>
      <c r="K83" s="1900"/>
    </row>
    <row r="84" spans="8:11" s="1891" customFormat="1" ht="15" x14ac:dyDescent="0.25">
      <c r="H84" s="1900"/>
      <c r="I84" s="1900"/>
      <c r="J84" s="1900"/>
      <c r="K84" s="1900"/>
    </row>
    <row r="85" spans="8:11" s="1891" customFormat="1" ht="15" x14ac:dyDescent="0.25">
      <c r="H85" s="1900"/>
      <c r="I85" s="1900"/>
      <c r="J85" s="1900"/>
      <c r="K85" s="1900"/>
    </row>
    <row r="86" spans="8:11" s="1891" customFormat="1" ht="15" x14ac:dyDescent="0.25">
      <c r="H86" s="1900"/>
      <c r="I86" s="1900"/>
      <c r="J86" s="1900"/>
      <c r="K86" s="1900"/>
    </row>
    <row r="87" spans="8:11" s="1891" customFormat="1" ht="15" x14ac:dyDescent="0.25">
      <c r="H87" s="1900"/>
      <c r="I87" s="1900"/>
      <c r="J87" s="1900"/>
      <c r="K87" s="1900"/>
    </row>
    <row r="88" spans="8:11" s="1891" customFormat="1" ht="15" x14ac:dyDescent="0.25">
      <c r="H88" s="1900"/>
      <c r="I88" s="1900"/>
      <c r="J88" s="1900"/>
      <c r="K88" s="1900"/>
    </row>
    <row r="89" spans="8:11" s="1891" customFormat="1" ht="15" x14ac:dyDescent="0.25">
      <c r="H89" s="1900"/>
      <c r="I89" s="1900"/>
      <c r="J89" s="1900"/>
      <c r="K89" s="1900"/>
    </row>
    <row r="90" spans="8:11" s="1891" customFormat="1" ht="15" x14ac:dyDescent="0.25">
      <c r="H90" s="1900"/>
      <c r="I90" s="1900"/>
      <c r="J90" s="1900"/>
      <c r="K90" s="1900"/>
    </row>
    <row r="91" spans="8:11" s="1891" customFormat="1" ht="15" x14ac:dyDescent="0.25">
      <c r="H91" s="1900"/>
      <c r="I91" s="1900"/>
      <c r="J91" s="1900"/>
      <c r="K91" s="1900"/>
    </row>
    <row r="92" spans="8:11" s="1891" customFormat="1" ht="15" x14ac:dyDescent="0.25">
      <c r="H92" s="1900"/>
      <c r="I92" s="1900"/>
      <c r="J92" s="1900"/>
      <c r="K92" s="1900"/>
    </row>
    <row r="93" spans="8:11" s="1891" customFormat="1" ht="15" x14ac:dyDescent="0.25">
      <c r="H93" s="1900"/>
      <c r="I93" s="1900"/>
      <c r="J93" s="1900"/>
      <c r="K93" s="1900"/>
    </row>
    <row r="94" spans="8:11" s="1891" customFormat="1" ht="15" x14ac:dyDescent="0.25">
      <c r="H94" s="1900"/>
      <c r="I94" s="1900"/>
      <c r="J94" s="1900"/>
      <c r="K94" s="1900"/>
    </row>
    <row r="95" spans="8:11" s="1891" customFormat="1" ht="15" x14ac:dyDescent="0.25">
      <c r="H95" s="1900"/>
      <c r="I95" s="1900"/>
      <c r="J95" s="1900"/>
      <c r="K95" s="1900"/>
    </row>
    <row r="96" spans="8:11" s="1891" customFormat="1" ht="15" x14ac:dyDescent="0.25">
      <c r="H96" s="1900"/>
      <c r="I96" s="1900"/>
      <c r="J96" s="1900"/>
      <c r="K96" s="1900"/>
    </row>
    <row r="97" spans="8:11" s="1891" customFormat="1" ht="15" x14ac:dyDescent="0.25">
      <c r="H97" s="1900"/>
      <c r="I97" s="1900"/>
      <c r="J97" s="1900"/>
      <c r="K97" s="1900"/>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oddFooter>
  </headerFooter>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3" sqref="H1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424</v>
      </c>
      <c r="G1" s="1014"/>
    </row>
    <row r="2" spans="1:17" ht="11.85" customHeight="1" x14ac:dyDescent="0.2">
      <c r="A2" s="1009"/>
      <c r="B2" s="1010"/>
      <c r="E2" s="1012"/>
      <c r="F2" s="1015" t="s">
        <v>307</v>
      </c>
      <c r="G2" s="1014"/>
    </row>
    <row r="3" spans="1:17" ht="11.85" customHeight="1" x14ac:dyDescent="0.2">
      <c r="E3" s="1012"/>
      <c r="F3" s="1015" t="s">
        <v>425</v>
      </c>
      <c r="G3" s="1012"/>
    </row>
    <row r="4" spans="1:17" ht="11.85" customHeight="1" x14ac:dyDescent="0.2">
      <c r="E4" s="1012"/>
      <c r="F4" s="1015" t="s">
        <v>922</v>
      </c>
      <c r="G4" s="1012"/>
    </row>
    <row r="5" spans="1:17" ht="12.2" customHeight="1" x14ac:dyDescent="0.2">
      <c r="F5" s="1015"/>
    </row>
    <row r="6" spans="1:17" x14ac:dyDescent="0.2">
      <c r="A6" s="1915" t="s">
        <v>692</v>
      </c>
      <c r="B6" s="1664"/>
      <c r="C6" s="1664"/>
      <c r="D6" s="1664"/>
      <c r="E6" s="1665"/>
      <c r="F6" s="1016"/>
      <c r="G6" s="1010"/>
      <c r="H6" s="1017" t="s">
        <v>1085</v>
      </c>
      <c r="I6" s="2334" t="str">
        <f>COVER!A17</f>
        <v>La Moille CUSD 303</v>
      </c>
      <c r="J6" s="2335"/>
      <c r="Q6" s="1686"/>
    </row>
    <row r="7" spans="1:17" x14ac:dyDescent="0.2">
      <c r="A7" s="2336" t="s">
        <v>923</v>
      </c>
      <c r="B7" s="2337"/>
      <c r="C7" s="2337"/>
      <c r="D7" s="2337"/>
      <c r="E7" s="2338"/>
      <c r="F7" s="1018"/>
      <c r="G7" s="1010"/>
      <c r="H7" s="1017" t="s">
        <v>389</v>
      </c>
      <c r="I7" s="2339">
        <f>COVER!A13</f>
        <v>28006303026</v>
      </c>
      <c r="J7" s="2339"/>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6" t="s">
        <v>1700</v>
      </c>
      <c r="F9" s="1024"/>
      <c r="G9" s="1024"/>
      <c r="H9" s="1917" t="s">
        <v>1701</v>
      </c>
      <c r="I9" s="1024"/>
      <c r="J9" s="1025"/>
    </row>
    <row r="10" spans="1:17" s="1033" customFormat="1" ht="13.5" customHeight="1" x14ac:dyDescent="0.2">
      <c r="A10" s="1026"/>
      <c r="B10" s="1027"/>
      <c r="C10" s="1028"/>
      <c r="D10" s="1029"/>
      <c r="E10" s="1030" t="s">
        <v>444</v>
      </c>
      <c r="F10" s="1031" t="s">
        <v>445</v>
      </c>
      <c r="G10" s="1032"/>
      <c r="H10" s="1031" t="s">
        <v>444</v>
      </c>
      <c r="I10" s="1031" t="s">
        <v>445</v>
      </c>
      <c r="J10" s="1031"/>
    </row>
    <row r="11" spans="1:17" s="1033" customFormat="1" ht="22.5" x14ac:dyDescent="0.2">
      <c r="A11" s="2340" t="s">
        <v>501</v>
      </c>
      <c r="B11" s="2341"/>
      <c r="C11" s="2342"/>
      <c r="D11" s="1034" t="s">
        <v>925</v>
      </c>
      <c r="E11" s="1034" t="s">
        <v>66</v>
      </c>
      <c r="F11" s="1034" t="s">
        <v>6</v>
      </c>
      <c r="G11" s="1035" t="s">
        <v>158</v>
      </c>
      <c r="H11" s="1035" t="s">
        <v>66</v>
      </c>
      <c r="I11" s="1034" t="s">
        <v>6</v>
      </c>
      <c r="J11" s="1035" t="s">
        <v>158</v>
      </c>
    </row>
    <row r="12" spans="1:17" ht="15" customHeight="1" x14ac:dyDescent="0.2">
      <c r="A12" s="1036">
        <v>1</v>
      </c>
      <c r="B12" s="1037" t="s">
        <v>871</v>
      </c>
      <c r="C12" s="1038"/>
      <c r="D12" s="1039">
        <v>2320</v>
      </c>
      <c r="E12" s="1834">
        <f>'Expenditures 15-22'!K50</f>
        <v>103737</v>
      </c>
      <c r="F12" s="1040"/>
      <c r="G12" s="1834">
        <f t="shared" ref="G12:G18" si="0">SUM(E12:F12)</f>
        <v>103737</v>
      </c>
      <c r="H12" s="1041">
        <v>53000</v>
      </c>
      <c r="I12" s="1040"/>
      <c r="J12" s="1834">
        <f t="shared" ref="J12:J18" si="1">SUM(H12:I12)</f>
        <v>53000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1127</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1119</v>
      </c>
      <c r="C17" s="1038"/>
      <c r="D17" s="1039">
        <v>2610</v>
      </c>
      <c r="E17" s="1834">
        <f>'Expenditures 15-22'!K67</f>
        <v>0</v>
      </c>
      <c r="F17" s="1040"/>
      <c r="G17" s="1834">
        <f t="shared" si="0"/>
        <v>0</v>
      </c>
      <c r="H17" s="1041"/>
      <c r="I17" s="1040"/>
      <c r="J17" s="1834">
        <f t="shared" si="1"/>
        <v>0</v>
      </c>
    </row>
    <row r="18" spans="1:10" ht="22.5" customHeight="1" x14ac:dyDescent="0.2">
      <c r="A18" s="1043">
        <v>7</v>
      </c>
      <c r="B18" s="2343" t="s">
        <v>7</v>
      </c>
      <c r="C18" s="2344"/>
      <c r="D18" s="2345"/>
      <c r="E18" s="1044"/>
      <c r="F18" s="1044"/>
      <c r="G18" s="1835">
        <f t="shared" si="0"/>
        <v>0</v>
      </c>
      <c r="H18" s="1041"/>
      <c r="I18" s="1041"/>
      <c r="J18" s="1834">
        <f t="shared" si="1"/>
        <v>0</v>
      </c>
    </row>
    <row r="19" spans="1:10" ht="12.75" customHeight="1" thickBot="1" x14ac:dyDescent="0.25">
      <c r="A19" s="1036">
        <v>8</v>
      </c>
      <c r="B19" s="1045" t="s">
        <v>1222</v>
      </c>
      <c r="D19" s="1046"/>
      <c r="E19" s="1836">
        <f t="shared" ref="E19:J19" si="2">SUM(E12:E17)-E18</f>
        <v>103737</v>
      </c>
      <c r="F19" s="1836">
        <f t="shared" si="2"/>
        <v>0</v>
      </c>
      <c r="G19" s="1836">
        <f t="shared" si="2"/>
        <v>103737</v>
      </c>
      <c r="H19" s="1836">
        <f t="shared" si="2"/>
        <v>53000</v>
      </c>
      <c r="I19" s="1836">
        <f t="shared" si="2"/>
        <v>0</v>
      </c>
      <c r="J19" s="1836">
        <f t="shared" si="2"/>
        <v>53000</v>
      </c>
    </row>
    <row r="20" spans="1:10" ht="13.5" thickTop="1" x14ac:dyDescent="0.2">
      <c r="A20" s="1036">
        <v>9</v>
      </c>
      <c r="B20" s="2346" t="s">
        <v>1702</v>
      </c>
      <c r="C20" s="2346"/>
      <c r="D20" s="2347"/>
      <c r="E20" s="1047"/>
      <c r="F20" s="1047"/>
      <c r="G20" s="1047"/>
      <c r="H20" s="1047"/>
      <c r="I20" s="1047"/>
      <c r="J20" s="1837">
        <f>IF(AND(G19&gt;0,J19&gt;0),(((J19-G19)/G19)),"Enter Budget Data")</f>
        <v>-0.48909260919440506</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52"/>
      <c r="D26" s="2352"/>
      <c r="E26" s="1051"/>
      <c r="F26" s="2351"/>
      <c r="G26" s="2351"/>
    </row>
    <row r="27" spans="1:10" x14ac:dyDescent="0.2">
      <c r="B27" s="1048"/>
      <c r="C27" s="1052" t="s">
        <v>1092</v>
      </c>
      <c r="D27" s="1053"/>
      <c r="E27" s="1054"/>
      <c r="F27" s="2348" t="s">
        <v>1588</v>
      </c>
      <c r="G27" s="2348"/>
    </row>
    <row r="28" spans="1:10" ht="28.5" customHeight="1" x14ac:dyDescent="0.2">
      <c r="B28" s="1048"/>
      <c r="C28" s="2350"/>
      <c r="D28" s="2350"/>
      <c r="E28" s="1055"/>
      <c r="F28" s="2350"/>
      <c r="G28" s="2350"/>
    </row>
    <row r="29" spans="1:10" x14ac:dyDescent="0.2">
      <c r="B29" s="1048"/>
      <c r="C29" s="1056" t="s">
        <v>1641</v>
      </c>
      <c r="E29" s="1057"/>
      <c r="F29" s="2349" t="s">
        <v>1589</v>
      </c>
      <c r="G29" s="2349"/>
    </row>
    <row r="30" spans="1:10" ht="9" customHeight="1" x14ac:dyDescent="0.2">
      <c r="B30" s="1048"/>
      <c r="C30" s="1058"/>
      <c r="E30" s="1059"/>
      <c r="F30" s="1060"/>
      <c r="G30" s="1060"/>
    </row>
    <row r="31" spans="1:10" ht="15" customHeight="1" x14ac:dyDescent="0.2">
      <c r="A31" s="1012"/>
      <c r="B31" s="1061" t="s">
        <v>1093</v>
      </c>
    </row>
    <row r="32" spans="1:10" ht="9" customHeight="1" x14ac:dyDescent="0.2">
      <c r="A32" s="1012"/>
      <c r="B32" s="1049"/>
    </row>
    <row r="33" spans="1:10" ht="12.75" customHeight="1" x14ac:dyDescent="0.2">
      <c r="A33" s="1012"/>
      <c r="B33" s="1062"/>
      <c r="C33" s="2331" t="s">
        <v>134</v>
      </c>
      <c r="D33" s="2332"/>
      <c r="E33" s="2332"/>
      <c r="F33" s="2332"/>
      <c r="G33" s="2332"/>
      <c r="H33" s="2332"/>
      <c r="I33" s="2332"/>
    </row>
    <row r="34" spans="1:10" ht="10.35" customHeight="1" x14ac:dyDescent="0.2">
      <c r="C34" s="2332"/>
      <c r="D34" s="2332"/>
      <c r="E34" s="2332"/>
      <c r="F34" s="2332"/>
      <c r="G34" s="2332"/>
      <c r="H34" s="2332"/>
      <c r="I34" s="2332"/>
    </row>
    <row r="35" spans="1:10" ht="7.5" customHeight="1" x14ac:dyDescent="0.2">
      <c r="C35" s="1063"/>
    </row>
    <row r="36" spans="1:10" ht="13.5" customHeight="1" x14ac:dyDescent="0.2">
      <c r="B36" s="1062"/>
      <c r="C36" s="2333" t="s">
        <v>1943</v>
      </c>
      <c r="D36" s="2332"/>
      <c r="E36" s="2332"/>
      <c r="F36" s="2332"/>
      <c r="G36" s="2332"/>
      <c r="H36" s="2332"/>
      <c r="I36" s="2332"/>
      <c r="J36" s="1064"/>
    </row>
    <row r="37" spans="1:10" ht="22.5" customHeight="1" x14ac:dyDescent="0.2">
      <c r="C37" s="2332"/>
      <c r="D37" s="2332"/>
      <c r="E37" s="2332"/>
      <c r="F37" s="2332"/>
      <c r="G37" s="2332"/>
      <c r="H37" s="2332"/>
      <c r="I37" s="2332"/>
      <c r="J37" s="1064"/>
    </row>
    <row r="38" spans="1:10" ht="7.5" customHeight="1" x14ac:dyDescent="0.2">
      <c r="C38" s="1063"/>
      <c r="D38" s="1065"/>
      <c r="E38" s="1066"/>
      <c r="F38" s="1067"/>
      <c r="G38" s="1066"/>
    </row>
    <row r="39" spans="1:10" ht="13.5" customHeight="1" x14ac:dyDescent="0.2">
      <c r="B39" s="1062"/>
      <c r="C39" s="2329" t="s">
        <v>936</v>
      </c>
      <c r="D39" s="2330"/>
      <c r="E39" s="2330"/>
      <c r="F39" s="2330"/>
      <c r="G39" s="2330"/>
      <c r="H39" s="2330"/>
      <c r="I39" s="2330"/>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19" sqref="B19"/>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2124</v>
      </c>
    </row>
    <row r="6" spans="1:2" x14ac:dyDescent="0.2">
      <c r="A6" s="1069">
        <v>2</v>
      </c>
      <c r="B6" s="329" t="s">
        <v>2125</v>
      </c>
    </row>
    <row r="7" spans="1:2" x14ac:dyDescent="0.2">
      <c r="A7" s="1069">
        <v>3</v>
      </c>
      <c r="B7" s="329" t="s">
        <v>2126</v>
      </c>
    </row>
    <row r="8" spans="1:2" x14ac:dyDescent="0.2">
      <c r="A8" s="1069">
        <v>4</v>
      </c>
      <c r="B8" s="329" t="s">
        <v>2127</v>
      </c>
    </row>
    <row r="9" spans="1:2" x14ac:dyDescent="0.2">
      <c r="A9" s="1069">
        <v>5</v>
      </c>
      <c r="B9" s="329" t="s">
        <v>2128</v>
      </c>
    </row>
    <row r="10" spans="1:2" x14ac:dyDescent="0.2">
      <c r="A10" s="1069">
        <v>6</v>
      </c>
      <c r="B10" s="329" t="s">
        <v>2129</v>
      </c>
    </row>
    <row r="11" spans="1:2" x14ac:dyDescent="0.2">
      <c r="A11" s="1069">
        <v>7</v>
      </c>
      <c r="B11" s="329" t="s">
        <v>2130</v>
      </c>
    </row>
    <row r="12" spans="1:2" x14ac:dyDescent="0.2">
      <c r="A12" s="1069">
        <v>8</v>
      </c>
      <c r="B12" s="329" t="s">
        <v>2131</v>
      </c>
    </row>
    <row r="13" spans="1:2" x14ac:dyDescent="0.2">
      <c r="A13" s="1069">
        <v>9</v>
      </c>
      <c r="B13" s="329" t="s">
        <v>2144</v>
      </c>
    </row>
    <row r="14" spans="1:2" x14ac:dyDescent="0.2">
      <c r="A14" s="1070"/>
      <c r="B14" s="329" t="s">
        <v>2145</v>
      </c>
    </row>
    <row r="15" spans="1:2" x14ac:dyDescent="0.2">
      <c r="A15" s="1070"/>
      <c r="B15" s="329" t="s">
        <v>2146</v>
      </c>
    </row>
    <row r="16" spans="1:2" x14ac:dyDescent="0.2">
      <c r="A16" s="1070"/>
      <c r="B16" s="329" t="s">
        <v>2147</v>
      </c>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La Moille CUSD 303</v>
      </c>
    </row>
    <row r="65" spans="2:2" x14ac:dyDescent="0.2">
      <c r="B65" s="1071">
        <f>COVER!A13</f>
        <v>28006303026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1970</v>
      </c>
      <c r="C4" s="162" t="s">
        <v>1230</v>
      </c>
      <c r="D4" s="169" t="s">
        <v>10</v>
      </c>
      <c r="E4" s="170" t="s">
        <v>22</v>
      </c>
    </row>
    <row r="5" spans="1:5" x14ac:dyDescent="0.2">
      <c r="A5" s="168" t="s">
        <v>1972</v>
      </c>
      <c r="C5" s="162" t="s">
        <v>1230</v>
      </c>
      <c r="D5" s="169" t="s">
        <v>10</v>
      </c>
      <c r="E5" s="170" t="s">
        <v>22</v>
      </c>
    </row>
    <row r="6" spans="1:5" x14ac:dyDescent="0.2">
      <c r="A6" s="168" t="s">
        <v>1971</v>
      </c>
      <c r="C6" s="162" t="s">
        <v>1230</v>
      </c>
      <c r="D6" s="167" t="s">
        <v>11</v>
      </c>
      <c r="E6" s="170" t="s">
        <v>997</v>
      </c>
    </row>
    <row r="7" spans="1:5" x14ac:dyDescent="0.2">
      <c r="A7" s="168" t="s">
        <v>1973</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1974</v>
      </c>
      <c r="C11" s="162" t="s">
        <v>1230</v>
      </c>
      <c r="D11" s="169" t="s">
        <v>14</v>
      </c>
      <c r="E11" s="170" t="s">
        <v>1217</v>
      </c>
    </row>
    <row r="12" spans="1:5" x14ac:dyDescent="0.2">
      <c r="B12" s="169" t="s">
        <v>1975</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1976</v>
      </c>
      <c r="C15" s="162" t="s">
        <v>1230</v>
      </c>
      <c r="D15" s="169" t="s">
        <v>17</v>
      </c>
      <c r="E15" s="170" t="s">
        <v>656</v>
      </c>
    </row>
    <row r="16" spans="1:5" x14ac:dyDescent="0.2">
      <c r="A16" s="172"/>
      <c r="B16" s="162" t="s">
        <v>1977</v>
      </c>
      <c r="C16" s="162" t="s">
        <v>1230</v>
      </c>
      <c r="D16" s="169" t="s">
        <v>701</v>
      </c>
      <c r="E16" s="170" t="s">
        <v>1099</v>
      </c>
    </row>
    <row r="17" spans="1:5" x14ac:dyDescent="0.2">
      <c r="B17" s="167" t="s">
        <v>1044</v>
      </c>
      <c r="C17" s="162" t="s">
        <v>1230</v>
      </c>
    </row>
    <row r="18" spans="1:5" x14ac:dyDescent="0.2">
      <c r="B18" s="167" t="s">
        <v>1983</v>
      </c>
      <c r="D18" s="169" t="s">
        <v>18</v>
      </c>
      <c r="E18" s="170" t="s">
        <v>1100</v>
      </c>
    </row>
    <row r="19" spans="1:5" x14ac:dyDescent="0.2">
      <c r="A19" s="168" t="s">
        <v>1160</v>
      </c>
      <c r="C19" s="162" t="s">
        <v>1230</v>
      </c>
      <c r="D19" s="169"/>
      <c r="E19" s="171"/>
    </row>
    <row r="20" spans="1:5" x14ac:dyDescent="0.2">
      <c r="B20" s="167" t="s">
        <v>1978</v>
      </c>
      <c r="C20" s="162" t="s">
        <v>1230</v>
      </c>
      <c r="D20" s="169" t="s">
        <v>19</v>
      </c>
      <c r="E20" s="170" t="s">
        <v>53</v>
      </c>
    </row>
    <row r="21" spans="1:5" x14ac:dyDescent="0.2">
      <c r="B21" s="167" t="s">
        <v>1979</v>
      </c>
      <c r="C21" s="162" t="s">
        <v>1230</v>
      </c>
      <c r="D21" s="169" t="s">
        <v>20</v>
      </c>
      <c r="E21" s="170" t="s">
        <v>1707</v>
      </c>
    </row>
    <row r="22" spans="1:5" x14ac:dyDescent="0.2">
      <c r="A22" s="168"/>
      <c r="B22" s="162" t="s">
        <v>1967</v>
      </c>
      <c r="C22" s="162" t="s">
        <v>1230</v>
      </c>
      <c r="D22" s="167" t="s">
        <v>1969</v>
      </c>
      <c r="E22" s="1859" t="s">
        <v>1708</v>
      </c>
    </row>
    <row r="23" spans="1:5" x14ac:dyDescent="0.2">
      <c r="A23" s="168"/>
      <c r="B23" s="162" t="s">
        <v>1968</v>
      </c>
      <c r="D23" s="167" t="s">
        <v>657</v>
      </c>
      <c r="E23" s="1859" t="s">
        <v>1015</v>
      </c>
    </row>
    <row r="24" spans="1:5" x14ac:dyDescent="0.2">
      <c r="A24" s="168" t="s">
        <v>1706</v>
      </c>
      <c r="C24" s="162" t="s">
        <v>1230</v>
      </c>
      <c r="D24" s="167" t="s">
        <v>1459</v>
      </c>
      <c r="E24" s="170" t="s">
        <v>1016</v>
      </c>
    </row>
    <row r="25" spans="1:5" x14ac:dyDescent="0.2">
      <c r="A25" s="168" t="s">
        <v>1980</v>
      </c>
      <c r="C25" s="162" t="s">
        <v>1230</v>
      </c>
      <c r="D25" s="169" t="s">
        <v>21</v>
      </c>
      <c r="E25" s="170" t="s">
        <v>1101</v>
      </c>
    </row>
    <row r="26" spans="1:5" x14ac:dyDescent="0.2">
      <c r="A26" s="168" t="s">
        <v>1981</v>
      </c>
      <c r="C26" s="162" t="s">
        <v>1230</v>
      </c>
      <c r="D26" s="169" t="s">
        <v>583</v>
      </c>
      <c r="E26" s="170" t="s">
        <v>1102</v>
      </c>
    </row>
    <row r="27" spans="1:5" x14ac:dyDescent="0.2">
      <c r="A27" s="168" t="s">
        <v>1982</v>
      </c>
      <c r="C27" s="162" t="s">
        <v>1230</v>
      </c>
      <c r="D27" s="169" t="s">
        <v>577</v>
      </c>
      <c r="E27" s="170" t="s">
        <v>703</v>
      </c>
    </row>
    <row r="28" spans="1:5" x14ac:dyDescent="0.2">
      <c r="A28" s="168" t="s">
        <v>1984</v>
      </c>
      <c r="D28" s="169" t="s">
        <v>704</v>
      </c>
      <c r="E28" s="170" t="s">
        <v>1432</v>
      </c>
    </row>
    <row r="29" spans="1:5" x14ac:dyDescent="0.2">
      <c r="A29" s="168" t="s">
        <v>1985</v>
      </c>
      <c r="D29" s="169" t="s">
        <v>1460</v>
      </c>
      <c r="E29" s="170" t="s">
        <v>1441</v>
      </c>
    </row>
    <row r="30" spans="1:5" x14ac:dyDescent="0.2">
      <c r="A30" s="173" t="s">
        <v>1986</v>
      </c>
      <c r="C30" s="162" t="s">
        <v>1230</v>
      </c>
      <c r="D30" s="169" t="s">
        <v>42</v>
      </c>
      <c r="E30" s="170" t="s">
        <v>1038</v>
      </c>
    </row>
    <row r="31" spans="1:5" x14ac:dyDescent="0.2">
      <c r="A31" s="168" t="s">
        <v>1601</v>
      </c>
      <c r="C31" s="162" t="s">
        <v>1230</v>
      </c>
      <c r="D31" s="167"/>
      <c r="E31" s="171"/>
    </row>
    <row r="32" spans="1:5" x14ac:dyDescent="0.2">
      <c r="B32" s="167" t="s">
        <v>1987</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068" t="s">
        <v>1124</v>
      </c>
      <c r="B35" s="2068"/>
      <c r="C35" s="2068"/>
      <c r="D35" s="2068"/>
      <c r="E35" s="206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5" t="s">
        <v>714</v>
      </c>
      <c r="B40" s="2065"/>
      <c r="C40" s="2065"/>
      <c r="D40" s="2065"/>
      <c r="E40" s="2065"/>
    </row>
    <row r="41" spans="1:5" x14ac:dyDescent="0.2">
      <c r="A41" s="2066" t="s">
        <v>1705</v>
      </c>
      <c r="B41" s="2066"/>
      <c r="C41" s="2066"/>
      <c r="D41" s="2066"/>
      <c r="E41" s="2066"/>
    </row>
    <row r="42" spans="1:5" ht="12.75" customHeight="1" x14ac:dyDescent="0.2">
      <c r="A42" s="2067" t="s">
        <v>1079</v>
      </c>
      <c r="B42" s="2067"/>
      <c r="C42" s="2067"/>
      <c r="D42" s="2067"/>
      <c r="E42" s="2067"/>
    </row>
    <row r="43" spans="1:5" ht="6.75" customHeight="1" x14ac:dyDescent="0.2">
      <c r="A43" s="167"/>
      <c r="B43" s="176"/>
    </row>
    <row r="44" spans="1:5" x14ac:dyDescent="0.2">
      <c r="A44" s="185" t="s">
        <v>1039</v>
      </c>
      <c r="B44" s="186" t="s">
        <v>2017</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1873</v>
      </c>
    </row>
    <row r="52" spans="1:3" x14ac:dyDescent="0.2">
      <c r="A52" s="190"/>
      <c r="B52" s="188" t="s">
        <v>1893</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1874</v>
      </c>
    </row>
    <row r="57" spans="1:3" x14ac:dyDescent="0.2">
      <c r="A57" s="193"/>
      <c r="B57" s="190" t="s">
        <v>1876</v>
      </c>
    </row>
    <row r="58" spans="1:3" x14ac:dyDescent="0.2">
      <c r="A58" s="194"/>
      <c r="B58" s="190" t="s">
        <v>1877</v>
      </c>
    </row>
    <row r="59" spans="1:3" x14ac:dyDescent="0.2">
      <c r="A59" s="195"/>
      <c r="B59" s="1507" t="s">
        <v>1878</v>
      </c>
    </row>
    <row r="60" spans="1:3" x14ac:dyDescent="0.2">
      <c r="A60" s="196"/>
      <c r="B60" s="1507" t="s">
        <v>1879</v>
      </c>
    </row>
    <row r="61" spans="1:3" ht="6" customHeight="1" x14ac:dyDescent="0.2">
      <c r="A61" s="197"/>
      <c r="B61" s="189"/>
    </row>
    <row r="62" spans="1:3" x14ac:dyDescent="0.2">
      <c r="A62" s="169" t="s">
        <v>1713</v>
      </c>
      <c r="B62" s="198" t="s">
        <v>1875</v>
      </c>
    </row>
    <row r="63" spans="1:3" x14ac:dyDescent="0.2">
      <c r="A63" s="188"/>
      <c r="B63" s="169" t="s">
        <v>1890</v>
      </c>
    </row>
    <row r="64" spans="1:3" x14ac:dyDescent="0.2">
      <c r="A64" s="195"/>
      <c r="B64" s="1509" t="s">
        <v>1880</v>
      </c>
    </row>
    <row r="65" spans="1:9" x14ac:dyDescent="0.2">
      <c r="A65" s="188"/>
      <c r="B65" s="169" t="s">
        <v>1891</v>
      </c>
    </row>
    <row r="66" spans="1:9" x14ac:dyDescent="0.2">
      <c r="A66" s="190"/>
      <c r="B66" s="190" t="s">
        <v>1881</v>
      </c>
    </row>
    <row r="67" spans="1:9" ht="12" customHeight="1" x14ac:dyDescent="0.2">
      <c r="A67" s="188"/>
      <c r="B67" s="169" t="s">
        <v>1892</v>
      </c>
    </row>
    <row r="68" spans="1:9" x14ac:dyDescent="0.2">
      <c r="A68" s="189"/>
      <c r="B68" s="190" t="s">
        <v>1882</v>
      </c>
    </row>
    <row r="69" spans="1:9" x14ac:dyDescent="0.2">
      <c r="A69" s="190"/>
      <c r="B69" s="188" t="s">
        <v>1883</v>
      </c>
    </row>
    <row r="70" spans="1:9" ht="13.5" customHeight="1" x14ac:dyDescent="0.2">
      <c r="A70" s="190"/>
      <c r="B70" s="188" t="s">
        <v>1884</v>
      </c>
    </row>
    <row r="71" spans="1:9" ht="12" customHeight="1" x14ac:dyDescent="0.2">
      <c r="A71" s="192"/>
      <c r="B71" s="1508" t="s">
        <v>1716</v>
      </c>
    </row>
    <row r="72" spans="1:9" ht="9" customHeight="1" x14ac:dyDescent="0.2">
      <c r="A72" s="192"/>
      <c r="B72" s="199"/>
    </row>
    <row r="73" spans="1:9" x14ac:dyDescent="0.2">
      <c r="A73" s="189" t="s">
        <v>1717</v>
      </c>
      <c r="B73" s="169" t="s">
        <v>1886</v>
      </c>
    </row>
    <row r="74" spans="1:9" x14ac:dyDescent="0.2">
      <c r="A74" s="189"/>
      <c r="B74" s="169" t="s">
        <v>1885</v>
      </c>
    </row>
    <row r="75" spans="1:9" ht="8.25" customHeight="1" x14ac:dyDescent="0.2">
      <c r="A75" s="189"/>
      <c r="B75" s="189"/>
    </row>
    <row r="76" spans="1:9" ht="12.2" customHeight="1" x14ac:dyDescent="0.2">
      <c r="A76" s="189" t="s">
        <v>1718</v>
      </c>
      <c r="B76" s="198" t="s">
        <v>1887</v>
      </c>
    </row>
    <row r="77" spans="1:9" ht="12.2" customHeight="1" x14ac:dyDescent="0.2">
      <c r="A77" s="190"/>
      <c r="B77" s="169" t="s">
        <v>1719</v>
      </c>
      <c r="C77" s="179"/>
      <c r="D77" s="180"/>
      <c r="E77" s="181"/>
      <c r="F77" s="181"/>
      <c r="G77" s="181"/>
      <c r="H77" s="181"/>
      <c r="I77" s="181"/>
    </row>
    <row r="78" spans="1:9" ht="11.25" customHeight="1" x14ac:dyDescent="0.2">
      <c r="A78" s="190"/>
      <c r="B78" s="190" t="s">
        <v>1889</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1888</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2" sqref="B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1572</v>
      </c>
    </row>
    <row r="15" spans="1:6" x14ac:dyDescent="0.2">
      <c r="A15" s="389" t="s">
        <v>911</v>
      </c>
    </row>
    <row r="16" spans="1:6" s="1072" customFormat="1" ht="45" customHeight="1" x14ac:dyDescent="0.2">
      <c r="A16" s="1074"/>
      <c r="B16" s="1074" t="s">
        <v>1782</v>
      </c>
    </row>
    <row r="17" spans="1:2" ht="6" customHeight="1" x14ac:dyDescent="0.2"/>
    <row r="18" spans="1:2" ht="24.75" customHeight="1" x14ac:dyDescent="0.2">
      <c r="A18" s="2353" t="s">
        <v>1783</v>
      </c>
      <c r="B18" s="2353"/>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1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4" t="s">
        <v>1789</v>
      </c>
      <c r="B1" s="2355"/>
      <c r="C1" s="2355"/>
      <c r="D1" s="2355"/>
      <c r="E1" s="2355"/>
      <c r="F1" s="2356"/>
    </row>
    <row r="2" spans="1:8" ht="45" customHeight="1" x14ac:dyDescent="0.2">
      <c r="A2" s="2364" t="s">
        <v>1790</v>
      </c>
      <c r="B2" s="2365"/>
      <c r="C2" s="2365"/>
      <c r="D2" s="2365"/>
      <c r="E2" s="2365"/>
      <c r="F2" s="2366"/>
      <c r="G2" s="1075"/>
      <c r="H2" s="1075"/>
    </row>
    <row r="3" spans="1:8" ht="57" customHeight="1" x14ac:dyDescent="0.2">
      <c r="A3" s="2367" t="s">
        <v>1785</v>
      </c>
      <c r="B3" s="2368"/>
      <c r="C3" s="2368"/>
      <c r="D3" s="2368"/>
      <c r="E3" s="2368"/>
      <c r="F3" s="2369"/>
      <c r="G3" s="1075"/>
      <c r="H3" s="1075"/>
    </row>
    <row r="4" spans="1:8" ht="14.25" customHeight="1" x14ac:dyDescent="0.2">
      <c r="A4" s="2373" t="s">
        <v>2055</v>
      </c>
      <c r="B4" s="2374"/>
      <c r="C4" s="2374"/>
      <c r="D4" s="2374"/>
      <c r="E4" s="2374"/>
      <c r="F4" s="2375"/>
      <c r="G4" s="1075"/>
      <c r="H4" s="1075"/>
    </row>
    <row r="5" spans="1:8" ht="14.25" customHeight="1" x14ac:dyDescent="0.2">
      <c r="A5" s="2376" t="s">
        <v>2056</v>
      </c>
      <c r="B5" s="2377"/>
      <c r="C5" s="2377"/>
      <c r="D5" s="2377"/>
      <c r="E5" s="2377"/>
      <c r="F5" s="2378"/>
      <c r="G5" s="1075"/>
      <c r="H5" s="1075"/>
    </row>
    <row r="6" spans="1:8" s="1076" customFormat="1" ht="41.25" customHeight="1" x14ac:dyDescent="0.2">
      <c r="A6" s="2370" t="s">
        <v>1791</v>
      </c>
      <c r="B6" s="2371"/>
      <c r="C6" s="2371"/>
      <c r="D6" s="2371"/>
      <c r="E6" s="2371"/>
      <c r="F6" s="2372"/>
    </row>
    <row r="7" spans="1:8" ht="42" customHeight="1" x14ac:dyDescent="0.2">
      <c r="A7" s="1077" t="s">
        <v>501</v>
      </c>
      <c r="B7" s="1078" t="s">
        <v>1575</v>
      </c>
      <c r="C7" s="1078" t="s">
        <v>1576</v>
      </c>
      <c r="D7" s="1078" t="s">
        <v>1574</v>
      </c>
      <c r="E7" s="1078" t="s">
        <v>1577</v>
      </c>
      <c r="F7" s="1078" t="s">
        <v>1433</v>
      </c>
    </row>
    <row r="8" spans="1:8" s="1080" customFormat="1" ht="14.25" customHeight="1" x14ac:dyDescent="0.2">
      <c r="A8" s="1079" t="s">
        <v>1434</v>
      </c>
      <c r="B8" s="1838">
        <f>'Acct Summary 7-8'!C8</f>
        <v>2403583</v>
      </c>
      <c r="C8" s="1838">
        <f>'Acct Summary 7-8'!D8</f>
        <v>306283</v>
      </c>
      <c r="D8" s="1838">
        <f>'Acct Summary 7-8'!F8</f>
        <v>286926</v>
      </c>
      <c r="E8" s="1838">
        <f>'Acct Summary 7-8'!I8</f>
        <v>21024</v>
      </c>
      <c r="F8" s="1838">
        <f>SUM(B8:E8)</f>
        <v>3017816</v>
      </c>
    </row>
    <row r="9" spans="1:8" s="1080" customFormat="1" ht="14.25" customHeight="1" thickBot="1" x14ac:dyDescent="0.25">
      <c r="A9" s="1079" t="s">
        <v>1435</v>
      </c>
      <c r="B9" s="1839">
        <f>'Acct Summary 7-8'!C17</f>
        <v>2884619</v>
      </c>
      <c r="C9" s="1839">
        <f>'Acct Summary 7-8'!D17</f>
        <v>306225</v>
      </c>
      <c r="D9" s="1839">
        <f>'Acct Summary 7-8'!F17</f>
        <v>284210</v>
      </c>
      <c r="E9" s="1838"/>
      <c r="F9" s="1838">
        <f>SUM(B9:E9)</f>
        <v>3475054</v>
      </c>
    </row>
    <row r="10" spans="1:8" s="1080" customFormat="1" ht="14.25" thickTop="1" thickBot="1" x14ac:dyDescent="0.25">
      <c r="A10" s="1081" t="s">
        <v>1436</v>
      </c>
      <c r="B10" s="1840">
        <f>(B8-B9)</f>
        <v>-481036</v>
      </c>
      <c r="C10" s="1840">
        <f>(C8-C9)</f>
        <v>58</v>
      </c>
      <c r="D10" s="1840">
        <f>(D8-D9)</f>
        <v>2716</v>
      </c>
      <c r="E10" s="1839">
        <f>(E8-E9)</f>
        <v>21024</v>
      </c>
      <c r="F10" s="1841">
        <f>SUM(F8-F9)</f>
        <v>-457238</v>
      </c>
    </row>
    <row r="11" spans="1:8" s="1080" customFormat="1" ht="14.25" thickTop="1" thickBot="1" x14ac:dyDescent="0.25">
      <c r="A11" s="1082" t="s">
        <v>1784</v>
      </c>
      <c r="B11" s="1842">
        <f>'Acct Summary 7-8'!C81</f>
        <v>878323</v>
      </c>
      <c r="C11" s="1842">
        <f>'Acct Summary 7-8'!D81</f>
        <v>622039</v>
      </c>
      <c r="D11" s="1842">
        <f>'Acct Summary 7-8'!F81</f>
        <v>67022</v>
      </c>
      <c r="E11" s="1842">
        <f>'Acct Summary 7-8'!I81</f>
        <v>25125</v>
      </c>
      <c r="F11" s="1843">
        <f>SUM(B11:E11)</f>
        <v>1592509</v>
      </c>
    </row>
    <row r="12" spans="1:8" ht="16.5" customHeight="1" thickTop="1" x14ac:dyDescent="0.2">
      <c r="A12" s="1083"/>
      <c r="B12" s="1084"/>
      <c r="C12" s="2358" t="str">
        <f>IF(AND(F10&lt;0,F11&gt;=0,ABS(F10*3)&gt;ABS(F11)),A16,IF(AND(F10&lt;0,F11&gt;0,ABS(F10*3)&lt;=ABS(F11)),A17,IF(AND(F10&lt;0,F11&lt;0),A16,IF(F11=0,A19,A18))))</f>
        <v>Unbalanced -  however, a deficit reduction plan is not required at this time.</v>
      </c>
      <c r="D12" s="2359"/>
      <c r="E12" s="2359"/>
      <c r="F12" s="2360"/>
    </row>
    <row r="13" spans="1:8" ht="19.5" customHeight="1" x14ac:dyDescent="0.2">
      <c r="A13" s="1085"/>
      <c r="B13" s="1086"/>
      <c r="C13" s="2358"/>
      <c r="D13" s="2359"/>
      <c r="E13" s="2359"/>
      <c r="F13" s="2360"/>
      <c r="H13" s="1075"/>
    </row>
    <row r="14" spans="1:8" ht="19.5" customHeight="1" x14ac:dyDescent="0.2">
      <c r="A14" s="1085"/>
      <c r="B14" s="1086"/>
      <c r="C14" s="2358"/>
      <c r="D14" s="2359"/>
      <c r="E14" s="2359"/>
      <c r="F14" s="2360"/>
      <c r="H14" s="1075"/>
    </row>
    <row r="15" spans="1:8" ht="17.25" customHeight="1" x14ac:dyDescent="0.2">
      <c r="A15" s="1085"/>
      <c r="B15" s="1086"/>
      <c r="C15" s="2361"/>
      <c r="D15" s="2362"/>
      <c r="E15" s="2362"/>
      <c r="F15" s="2363"/>
      <c r="H15" s="1075"/>
    </row>
    <row r="16" spans="1:8" s="310" customFormat="1" ht="51.75" hidden="1" customHeight="1" x14ac:dyDescent="0.2">
      <c r="A16" s="2357" t="s">
        <v>1786</v>
      </c>
      <c r="B16" s="2357"/>
      <c r="C16" s="2357"/>
      <c r="D16" s="2357"/>
      <c r="E16" s="2357"/>
      <c r="F16" s="310" t="s">
        <v>1437</v>
      </c>
    </row>
    <row r="17" spans="1:6" hidden="1" x14ac:dyDescent="0.2">
      <c r="A17" s="316" t="s">
        <v>1787</v>
      </c>
      <c r="F17" s="1087"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1"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18"/>
      <c r="B2" s="1919"/>
      <c r="C2" s="1920"/>
      <c r="D2" s="1921"/>
    </row>
    <row r="3" spans="1:4" ht="36" customHeight="1" x14ac:dyDescent="0.2">
      <c r="A3" s="2379" t="s">
        <v>685</v>
      </c>
      <c r="B3" s="2380"/>
      <c r="C3" s="2380"/>
      <c r="D3" s="2381"/>
    </row>
    <row r="4" spans="1:4" x14ac:dyDescent="0.2">
      <c r="A4" s="1153" t="s">
        <v>1792</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918</v>
      </c>
      <c r="D6" s="1096"/>
    </row>
    <row r="7" spans="1:4" s="669" customFormat="1" ht="12.75" x14ac:dyDescent="0.2">
      <c r="A7" s="1139"/>
      <c r="B7" s="1094">
        <f t="shared" si="0"/>
        <v>3</v>
      </c>
      <c r="C7" s="2390" t="s">
        <v>1583</v>
      </c>
      <c r="D7" s="2391"/>
    </row>
    <row r="8" spans="1:4" s="669" customFormat="1" ht="12.75" x14ac:dyDescent="0.2">
      <c r="A8" s="1139"/>
      <c r="B8" s="1094"/>
      <c r="C8" s="1097" t="s">
        <v>1582</v>
      </c>
      <c r="D8" s="1098"/>
    </row>
    <row r="9" spans="1:4" s="669" customFormat="1" ht="14.25" customHeight="1" x14ac:dyDescent="0.2">
      <c r="A9" s="1139"/>
      <c r="B9" s="1094">
        <f>B7+1</f>
        <v>4</v>
      </c>
      <c r="C9" s="1095" t="s">
        <v>2048</v>
      </c>
      <c r="D9" s="1096"/>
    </row>
    <row r="10" spans="1:4" s="669" customFormat="1" ht="14.25" customHeight="1" x14ac:dyDescent="0.2">
      <c r="A10" s="1139"/>
      <c r="B10" s="1094">
        <f t="shared" si="0"/>
        <v>5</v>
      </c>
      <c r="C10" s="1095" t="s">
        <v>659</v>
      </c>
      <c r="D10" s="1096"/>
    </row>
    <row r="11" spans="1:4" s="669" customFormat="1" ht="14.25" customHeight="1" x14ac:dyDescent="0.2">
      <c r="A11" s="1139"/>
      <c r="B11" s="1094">
        <f t="shared" si="0"/>
        <v>6</v>
      </c>
      <c r="C11" s="1095" t="s">
        <v>810</v>
      </c>
      <c r="D11" s="1096"/>
    </row>
    <row r="12" spans="1:4" s="669" customFormat="1" ht="14.25" customHeight="1" x14ac:dyDescent="0.2">
      <c r="A12" s="1139"/>
      <c r="B12" s="1094">
        <f t="shared" si="0"/>
        <v>7</v>
      </c>
      <c r="C12" s="1095" t="s">
        <v>1121</v>
      </c>
      <c r="D12" s="1096"/>
    </row>
    <row r="13" spans="1:4" s="669" customFormat="1" ht="14.25" customHeight="1" x14ac:dyDescent="0.2">
      <c r="A13" s="1139"/>
      <c r="B13" s="1094">
        <f t="shared" si="0"/>
        <v>8</v>
      </c>
      <c r="C13" s="1135" t="s">
        <v>811</v>
      </c>
      <c r="D13" s="1096"/>
    </row>
    <row r="14" spans="1:4" s="669" customFormat="1" ht="14.25" customHeight="1" x14ac:dyDescent="0.2">
      <c r="A14" s="1139"/>
      <c r="B14" s="1136">
        <v>9</v>
      </c>
      <c r="C14" s="1137" t="s">
        <v>1584</v>
      </c>
      <c r="D14" s="1138"/>
    </row>
    <row r="15" spans="1:4" s="669" customFormat="1" ht="21.75" customHeight="1" x14ac:dyDescent="0.2">
      <c r="A15" s="2382" t="s">
        <v>1064</v>
      </c>
      <c r="B15" s="2383"/>
      <c r="C15" s="2383"/>
      <c r="D15" s="2384"/>
    </row>
    <row r="16" spans="1:4" s="669" customFormat="1" ht="24" customHeight="1" x14ac:dyDescent="0.2">
      <c r="A16" s="2385" t="s">
        <v>683</v>
      </c>
      <c r="B16" s="2386"/>
      <c r="C16" s="2386"/>
      <c r="D16" s="2387"/>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733</v>
      </c>
    </row>
    <row r="21" spans="1:10" x14ac:dyDescent="0.2">
      <c r="A21" s="1099"/>
      <c r="B21" s="1100">
        <v>1</v>
      </c>
      <c r="C21" s="2394" t="s">
        <v>331</v>
      </c>
      <c r="D21" s="2395"/>
    </row>
    <row r="22" spans="1:10" ht="12.75" x14ac:dyDescent="0.2">
      <c r="A22" s="1140"/>
      <c r="B22" s="1141">
        <v>2</v>
      </c>
      <c r="C22" s="2392" t="s">
        <v>1604</v>
      </c>
      <c r="D22" s="2393"/>
    </row>
    <row r="23" spans="1:10" ht="12.2" customHeight="1" x14ac:dyDescent="0.2">
      <c r="A23" s="1140"/>
      <c r="B23" s="1141"/>
      <c r="C23" s="1142" t="s">
        <v>1010</v>
      </c>
      <c r="D23" s="1143" t="str">
        <f>IF(COVER!O11="X","CASH",IF(COVER!O12="X","ACCRUAL ","PLEASE CHECK AN ACCOUNTING BASIS."))</f>
        <v>CASH</v>
      </c>
    </row>
    <row r="24" spans="1:10" ht="12.2" customHeight="1" x14ac:dyDescent="0.2">
      <c r="A24" s="1140"/>
      <c r="B24" s="1141"/>
      <c r="C24" s="1142" t="s">
        <v>1398</v>
      </c>
      <c r="D24" s="1143" t="str">
        <f>IF(COVER!O11="X","OK",IF(AND('Aud Quest 2'!J90=0,'Aud Quest 2'!I77&lt;DATE(2017,12,31)),"ENTER ACCOUNTING INFO",IF(AND('Aud Quest 2'!J90&gt;0,'Aud Quest 2'!I77&lt;DATE(2017,12,31)),"OK")))</f>
        <v>OK</v>
      </c>
    </row>
    <row r="25" spans="1:10" x14ac:dyDescent="0.2">
      <c r="A25" s="1101"/>
      <c r="B25" s="1102"/>
      <c r="C25" s="1103" t="s">
        <v>1606</v>
      </c>
      <c r="D25" s="1104" t="str">
        <f>IF(AND(COVER!J29="X",COVER!J30="X",COVER!L30&lt;&gt;"X"),"OK",IF(AND(COVER!J29="X",COVER!J30&lt;&gt;"X",COVER!L30="X"),"OK",IF(AND(COVER!L29="X",COVER!J30&lt;&gt;"X"),"OK","PLEASE CHECK YES or NO.")))</f>
        <v>OK</v>
      </c>
    </row>
    <row r="26" spans="1:10" x14ac:dyDescent="0.2">
      <c r="A26" s="1101"/>
      <c r="B26" s="1144"/>
      <c r="C26" s="1105" t="s">
        <v>1605</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1031</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896</v>
      </c>
      <c r="D28" s="1108" t="b">
        <f>IF('Aud Quest 2'!B53="X",IF('Aud Quest 2'!F53&gt;"00/00/00 ","Enter Effective Date","ok"))</f>
        <v>0</v>
      </c>
    </row>
    <row r="29" spans="1:10" x14ac:dyDescent="0.2">
      <c r="A29" s="1101"/>
      <c r="B29" s="1144"/>
      <c r="C29" s="1105" t="s">
        <v>1439</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9"/>
      <c r="B30" s="1141">
        <f>B22+1</f>
        <v>3</v>
      </c>
      <c r="C30" s="1109" t="s">
        <v>878</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1034</v>
      </c>
      <c r="D32" s="1104" t="str">
        <f>IF(OR(COVER!B6="x",'FP Info 3'!B31="X",'FP Info 3'!B32="X"),"OK","ENTRY IS REQUIRED!")</f>
        <v>OK</v>
      </c>
    </row>
    <row r="33" spans="1:12" s="1117" customFormat="1" ht="12.75" customHeight="1" x14ac:dyDescent="0.2">
      <c r="A33" s="1114"/>
      <c r="B33" s="1141">
        <f>B30+1</f>
        <v>4</v>
      </c>
      <c r="C33" s="1115" t="s">
        <v>812</v>
      </c>
      <c r="D33" s="1116"/>
    </row>
    <row r="34" spans="1:12" s="1117" customFormat="1" x14ac:dyDescent="0.2">
      <c r="A34" s="1118"/>
      <c r="B34" s="1141"/>
      <c r="C34" s="1119" t="s">
        <v>879</v>
      </c>
      <c r="D34" s="1104" t="str">
        <f>IF('Assets-Liab 5-6'!C4&lt;-0.49, "ERROR!","OK")</f>
        <v>OK</v>
      </c>
    </row>
    <row r="35" spans="1:12" x14ac:dyDescent="0.2">
      <c r="A35" s="1118"/>
      <c r="B35" s="1141"/>
      <c r="C35" s="1119" t="s">
        <v>323</v>
      </c>
      <c r="D35" s="1104" t="str">
        <f>IF('Assets-Liab 5-6'!D4&lt;-0.49, "ERROR!","OK")</f>
        <v>OK</v>
      </c>
      <c r="L35" s="1173"/>
    </row>
    <row r="36" spans="1:12" x14ac:dyDescent="0.2">
      <c r="A36" s="1118"/>
      <c r="B36" s="1141"/>
      <c r="C36" s="1119" t="s">
        <v>813</v>
      </c>
      <c r="D36" s="1104" t="str">
        <f>IF('Assets-Liab 5-6'!E4&lt;-0.49, "ERROR!","OK")</f>
        <v>OK</v>
      </c>
    </row>
    <row r="37" spans="1:12" x14ac:dyDescent="0.2">
      <c r="A37" s="1118"/>
      <c r="B37" s="1141"/>
      <c r="C37" s="1119" t="s">
        <v>324</v>
      </c>
      <c r="D37" s="1104" t="str">
        <f>IF('Assets-Liab 5-6'!F4&lt;-0.49, "ERROR!","OK")</f>
        <v>OK</v>
      </c>
    </row>
    <row r="38" spans="1:12" x14ac:dyDescent="0.2">
      <c r="A38" s="1118"/>
      <c r="B38" s="1141"/>
      <c r="C38" s="1119" t="s">
        <v>325</v>
      </c>
      <c r="D38" s="1104" t="str">
        <f>IF('Assets-Liab 5-6'!G4&lt;-0.49, "ERROR!","OK")</f>
        <v>OK</v>
      </c>
    </row>
    <row r="39" spans="1:12" x14ac:dyDescent="0.2">
      <c r="A39" s="1118"/>
      <c r="B39" s="1141"/>
      <c r="C39" s="1119" t="s">
        <v>814</v>
      </c>
      <c r="D39" s="1104" t="str">
        <f>IF('Assets-Liab 5-6'!H4&lt;-0.49, "ERROR!","OK")</f>
        <v>OK</v>
      </c>
    </row>
    <row r="40" spans="1:12" x14ac:dyDescent="0.2">
      <c r="A40" s="1118"/>
      <c r="B40" s="1141"/>
      <c r="C40" s="1119" t="s">
        <v>326</v>
      </c>
      <c r="D40" s="1104" t="str">
        <f>IF('Assets-Liab 5-6'!I4&lt;-0.49, "ERROR!","OK")</f>
        <v>OK</v>
      </c>
    </row>
    <row r="41" spans="1:12" x14ac:dyDescent="0.2">
      <c r="A41" s="1118"/>
      <c r="B41" s="1141"/>
      <c r="C41" s="1119" t="s">
        <v>815</v>
      </c>
      <c r="D41" s="1104" t="str">
        <f>IF('Assets-Liab 5-6'!J4&lt;-0.49, "ERROR!","OK")</f>
        <v>OK</v>
      </c>
    </row>
    <row r="42" spans="1:12" x14ac:dyDescent="0.2">
      <c r="A42" s="1118"/>
      <c r="B42" s="1141"/>
      <c r="C42" s="1119" t="s">
        <v>327</v>
      </c>
      <c r="D42" s="1104" t="str">
        <f>IF('Assets-Liab 5-6'!K4&lt;-0.49, "ERROR!","OK")</f>
        <v>OK</v>
      </c>
    </row>
    <row r="43" spans="1:12" x14ac:dyDescent="0.2">
      <c r="A43" s="1120"/>
      <c r="B43" s="1121">
        <f>B33+1</f>
        <v>5</v>
      </c>
      <c r="C43" s="2396" t="s">
        <v>556</v>
      </c>
      <c r="D43" s="2397"/>
    </row>
    <row r="44" spans="1:12" x14ac:dyDescent="0.2">
      <c r="A44" s="1120"/>
      <c r="B44" s="1122"/>
      <c r="C44" s="1123" t="s">
        <v>1401</v>
      </c>
      <c r="D44" s="1124" t="str">
        <f>IF(SUM('Assets-Liab 5-6'!C13)&lt;&gt;SUM('Assets-Liab 5-6'!C41),"ERROR!","OK")</f>
        <v>OK</v>
      </c>
    </row>
    <row r="45" spans="1:12" x14ac:dyDescent="0.2">
      <c r="A45" s="1120"/>
      <c r="B45" s="1122"/>
      <c r="C45" s="1123" t="s">
        <v>1402</v>
      </c>
      <c r="D45" s="1124" t="str">
        <f>IF(SUM('Assets-Liab 5-6'!D13)&lt;&gt;SUM('Assets-Liab 5-6'!D41),"ERROR!","OK")</f>
        <v>OK</v>
      </c>
    </row>
    <row r="46" spans="1:12" x14ac:dyDescent="0.2">
      <c r="A46" s="1120"/>
      <c r="B46" s="1122"/>
      <c r="C46" s="1123" t="s">
        <v>1403</v>
      </c>
      <c r="D46" s="1124" t="str">
        <f>IF(SUM('Assets-Liab 5-6'!E13)&lt;&gt;SUM('Assets-Liab 5-6'!E41),"ERROR!","OK")</f>
        <v>OK</v>
      </c>
    </row>
    <row r="47" spans="1:12" x14ac:dyDescent="0.2">
      <c r="A47" s="1120"/>
      <c r="B47" s="1122"/>
      <c r="C47" s="1123" t="s">
        <v>1404</v>
      </c>
      <c r="D47" s="1124" t="str">
        <f>IF(SUM('Assets-Liab 5-6'!F13)&lt;&gt;SUM('Assets-Liab 5-6'!F41),"ERROR!","OK")</f>
        <v>OK</v>
      </c>
    </row>
    <row r="48" spans="1:12" x14ac:dyDescent="0.2">
      <c r="A48" s="1120"/>
      <c r="B48" s="1122"/>
      <c r="C48" s="1123" t="s">
        <v>1405</v>
      </c>
      <c r="D48" s="1124" t="str">
        <f>IF(SUM('Assets-Liab 5-6'!G13)&lt;&gt;SUM('Assets-Liab 5-6'!G41),"ERROR!","OK")</f>
        <v>OK</v>
      </c>
    </row>
    <row r="49" spans="1:4" x14ac:dyDescent="0.2">
      <c r="A49" s="1120"/>
      <c r="B49" s="1122"/>
      <c r="C49" s="1123" t="s">
        <v>1406</v>
      </c>
      <c r="D49" s="1124" t="str">
        <f>IF(SUM('Assets-Liab 5-6'!H13)&lt;&gt;SUM('Assets-Liab 5-6'!H41),"ERROR!","OK")</f>
        <v>OK</v>
      </c>
    </row>
    <row r="50" spans="1:4" x14ac:dyDescent="0.2">
      <c r="A50" s="1120"/>
      <c r="B50" s="1122"/>
      <c r="C50" s="1123" t="s">
        <v>1407</v>
      </c>
      <c r="D50" s="1124" t="str">
        <f>IF(SUM('Assets-Liab 5-6'!I13)&lt;&gt;SUM('Assets-Liab 5-6'!I41),"ERROR!","OK")</f>
        <v>OK</v>
      </c>
    </row>
    <row r="51" spans="1:4" x14ac:dyDescent="0.2">
      <c r="A51" s="1120"/>
      <c r="B51" s="1122"/>
      <c r="C51" s="1123" t="s">
        <v>1408</v>
      </c>
      <c r="D51" s="1124" t="str">
        <f>IF(SUM('Assets-Liab 5-6'!J13)&lt;&gt;SUM('Assets-Liab 5-6'!J41),"ERROR!","OK")</f>
        <v>OK</v>
      </c>
    </row>
    <row r="52" spans="1:4" x14ac:dyDescent="0.2">
      <c r="A52" s="1120"/>
      <c r="B52" s="1122"/>
      <c r="C52" s="1123" t="s">
        <v>1409</v>
      </c>
      <c r="D52" s="1124" t="str">
        <f>IF(SUM('Assets-Liab 5-6'!K13)&lt;&gt;SUM('Assets-Liab 5-6'!K41),"ERROR!","OK")</f>
        <v>OK</v>
      </c>
    </row>
    <row r="53" spans="1:4" x14ac:dyDescent="0.2">
      <c r="A53" s="1120"/>
      <c r="B53" s="1122"/>
      <c r="C53" s="1123" t="s">
        <v>1410</v>
      </c>
      <c r="D53" s="1124" t="str">
        <f>IF(SUM('Assets-Liab 5-6'!L13)&lt;&gt;('Assets-Liab 5-6'!L41),"ERROR!","OK")</f>
        <v>OK</v>
      </c>
    </row>
    <row r="54" spans="1:4" x14ac:dyDescent="0.2">
      <c r="A54" s="1120"/>
      <c r="B54" s="1122"/>
      <c r="C54" s="1123" t="s">
        <v>1411</v>
      </c>
      <c r="D54" s="1124" t="str">
        <f>IF(SUM('Assets-Liab 5-6'!M23)&lt;&gt;('Assets-Liab 5-6'!M41),"ERROR!","OK")</f>
        <v>OK</v>
      </c>
    </row>
    <row r="55" spans="1:4" x14ac:dyDescent="0.2">
      <c r="A55" s="1120"/>
      <c r="B55" s="1122"/>
      <c r="C55" s="1123" t="s">
        <v>1412</v>
      </c>
      <c r="D55" s="1124" t="str">
        <f>IF(SUM('Assets-Liab 5-6'!N23)&lt;&gt;('Assets-Liab 5-6'!N41),"ERROR!","OK")</f>
        <v>OK</v>
      </c>
    </row>
    <row r="56" spans="1:4" x14ac:dyDescent="0.2">
      <c r="A56" s="1101"/>
      <c r="B56" s="1121">
        <f>B43+1</f>
        <v>6</v>
      </c>
      <c r="C56" s="2388" t="s">
        <v>816</v>
      </c>
      <c r="D56" s="2389"/>
    </row>
    <row r="57" spans="1:4" s="1117" customFormat="1" x14ac:dyDescent="0.2">
      <c r="A57" s="1101"/>
      <c r="B57" s="1111"/>
      <c r="C57" s="1119" t="s">
        <v>1413</v>
      </c>
      <c r="D57" s="1125" t="str">
        <f>IF('Assets-Liab 5-6'!C38+'Assets-Liab 5-6'!C39='Acct Summary 7-8'!C81,"OK","ERROR!")</f>
        <v>OK</v>
      </c>
    </row>
    <row r="58" spans="1:4" x14ac:dyDescent="0.2">
      <c r="A58" s="1101"/>
      <c r="B58" s="1111"/>
      <c r="C58" s="1119" t="s">
        <v>1414</v>
      </c>
      <c r="D58" s="1125" t="str">
        <f>IF((('Assets-Liab 5-6'!D38+'Assets-Liab 5-6'!D39) ='Acct Summary 7-8'!D81), "OK", "ERROR!" )</f>
        <v>OK</v>
      </c>
    </row>
    <row r="59" spans="1:4" s="1117" customFormat="1" x14ac:dyDescent="0.2">
      <c r="A59" s="1101"/>
      <c r="B59" s="1111"/>
      <c r="C59" s="1119" t="s">
        <v>1415</v>
      </c>
      <c r="D59" s="1125" t="str">
        <f>IF((('Assets-Liab 5-6'!E38 + 'Assets-Liab 5-6'!E39) ='Acct Summary 7-8'!E81), "OK", "ERROR!" )</f>
        <v>OK</v>
      </c>
    </row>
    <row r="60" spans="1:4" x14ac:dyDescent="0.2">
      <c r="A60" s="1101"/>
      <c r="B60" s="1111"/>
      <c r="C60" s="1119" t="s">
        <v>1416</v>
      </c>
      <c r="D60" s="1125" t="str">
        <f>IF((('Assets-Liab 5-6'!F38 + 'Assets-Liab 5-6'!F39) ='Acct Summary 7-8'!F81), "OK", "ERROR!" )</f>
        <v>OK</v>
      </c>
    </row>
    <row r="61" spans="1:4" ht="12.75" customHeight="1" x14ac:dyDescent="0.2">
      <c r="A61" s="1101"/>
      <c r="B61" s="1111"/>
      <c r="C61" s="1119" t="s">
        <v>1429</v>
      </c>
      <c r="D61" s="1125" t="str">
        <f>IF((('Assets-Liab 5-6'!G38 + 'Assets-Liab 5-6'!G39) ='Acct Summary 7-8'!G81), "OK", "ERROR!" )</f>
        <v>OK</v>
      </c>
    </row>
    <row r="62" spans="1:4" x14ac:dyDescent="0.2">
      <c r="A62" s="1101"/>
      <c r="B62" s="1111"/>
      <c r="C62" s="1119" t="s">
        <v>1417</v>
      </c>
      <c r="D62" s="1125" t="str">
        <f>IF((('Assets-Liab 5-6'!H38 + 'Assets-Liab 5-6'!H39) ='Acct Summary 7-8'!H81), "OK", "ERROR!" )</f>
        <v>OK</v>
      </c>
    </row>
    <row r="63" spans="1:4" ht="12.75" customHeight="1" x14ac:dyDescent="0.2">
      <c r="A63" s="1101"/>
      <c r="B63" s="1111"/>
      <c r="C63" s="1119" t="s">
        <v>1418</v>
      </c>
      <c r="D63" s="1125" t="str">
        <f>IF((('Assets-Liab 5-6'!I38 + 'Assets-Liab 5-6'!I39) ='Acct Summary 7-8'!I81), "OK", "ERROR!" )</f>
        <v>OK</v>
      </c>
    </row>
    <row r="64" spans="1:4" x14ac:dyDescent="0.2">
      <c r="A64" s="1101"/>
      <c r="B64" s="1111"/>
      <c r="C64" s="1119" t="s">
        <v>1419</v>
      </c>
      <c r="D64" s="1125" t="str">
        <f>IF((('Assets-Liab 5-6'!J38 + 'Assets-Liab 5-6'!J39) ='Acct Summary 7-8'!J81), "OK", "ERROR!" )</f>
        <v>OK</v>
      </c>
    </row>
    <row r="65" spans="1:4" x14ac:dyDescent="0.2">
      <c r="A65" s="1118"/>
      <c r="B65" s="1111"/>
      <c r="C65" s="1119" t="s">
        <v>1430</v>
      </c>
      <c r="D65" s="1125" t="str">
        <f>IF((('Assets-Liab 5-6'!K38 + 'Assets-Liab 5-6'!K39) ='Acct Summary 7-8'!K81), "OK", "ERROR!" )</f>
        <v>OK</v>
      </c>
    </row>
    <row r="66" spans="1:4" x14ac:dyDescent="0.2">
      <c r="A66" s="1099"/>
      <c r="B66" s="1141">
        <f>B56+1+1</f>
        <v>8</v>
      </c>
      <c r="C66" s="1147" t="s">
        <v>2049</v>
      </c>
      <c r="D66" s="1126"/>
    </row>
    <row r="67" spans="1:4" x14ac:dyDescent="0.2">
      <c r="A67" s="1120"/>
      <c r="B67" s="1141"/>
      <c r="C67" s="1148" t="s">
        <v>1078</v>
      </c>
      <c r="D67" s="1126"/>
    </row>
    <row r="68" spans="1:4" x14ac:dyDescent="0.2">
      <c r="A68" s="1101"/>
      <c r="B68" s="1111"/>
      <c r="C68" s="1103" t="s">
        <v>2050</v>
      </c>
      <c r="D68" s="1125" t="str">
        <f>IF('Short-Term Long-Term Debt 24'!F49=SUM(,'Acct Summary 7-8'!C33:K33),"OK","ERROR!")</f>
        <v>ERROR!</v>
      </c>
    </row>
    <row r="69" spans="1:4" x14ac:dyDescent="0.2">
      <c r="A69" s="1101"/>
      <c r="B69" s="1111"/>
      <c r="C69" s="1103" t="s">
        <v>2051</v>
      </c>
      <c r="D69" s="1125" t="str">
        <f>IF('Expenditures 15-22'!H170&lt;&gt;'Short-Term Long-Term Debt 24'!H49,"ERROR!","OK")</f>
        <v>ERROR!</v>
      </c>
    </row>
    <row r="70" spans="1:4" x14ac:dyDescent="0.2">
      <c r="A70" s="1099"/>
      <c r="B70" s="1121">
        <f>B66+1</f>
        <v>9</v>
      </c>
      <c r="C70" s="2388" t="s">
        <v>1796</v>
      </c>
      <c r="D70" s="2389"/>
    </row>
    <row r="71" spans="1:4" x14ac:dyDescent="0.2">
      <c r="A71" s="1099"/>
      <c r="B71" s="1121"/>
      <c r="C71" s="1103" t="s">
        <v>1420</v>
      </c>
      <c r="D71" s="1127" t="str">
        <f>IF(SUM('Acct Summary 7-8'!C27:K27) =SUM( 'Acct Summary 7-8'!C49:K49),"OK", "ERROR")</f>
        <v>OK</v>
      </c>
    </row>
    <row r="72" spans="1:4" x14ac:dyDescent="0.2">
      <c r="A72" s="1101"/>
      <c r="B72" s="1111"/>
      <c r="C72" s="1119" t="s">
        <v>1421</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2052</v>
      </c>
      <c r="D74" s="1129"/>
    </row>
    <row r="75" spans="1:4" x14ac:dyDescent="0.2">
      <c r="A75" s="1101"/>
      <c r="B75" s="1111"/>
      <c r="C75" s="1119" t="s">
        <v>1443</v>
      </c>
      <c r="D75" s="1125" t="str">
        <f>IF(SUM('Assets-Liab 5-6'!C38:H38)&gt;=SUM('Rest Tax Levies-Tort Im 25'!G25:K25),"OK","ERROR")</f>
        <v>OK</v>
      </c>
    </row>
    <row r="76" spans="1:4" x14ac:dyDescent="0.2">
      <c r="A76" s="1101"/>
      <c r="B76" s="1111"/>
      <c r="C76" s="1119" t="s">
        <v>1489</v>
      </c>
      <c r="D76" s="1125" t="str">
        <f>IF(SUM('Assets-Liab 5-6'!C39:K39)&gt;0,"OK","ENTRY IS REQUIRED!")</f>
        <v>OK</v>
      </c>
    </row>
    <row r="77" spans="1:4" x14ac:dyDescent="0.2">
      <c r="A77" s="1101"/>
      <c r="B77" s="1130">
        <f>B74+1</f>
        <v>11</v>
      </c>
      <c r="C77" s="1175" t="s">
        <v>1444</v>
      </c>
      <c r="D77" s="1125"/>
    </row>
    <row r="78" spans="1:4" x14ac:dyDescent="0.2">
      <c r="A78" s="1101"/>
      <c r="B78" s="1111"/>
      <c r="C78" s="1119" t="s">
        <v>2053</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2054</v>
      </c>
      <c r="D80" s="1132" t="str">
        <f>IF('Contracts Paid in CY 29'!D141&gt;0,"OK","PLEASE ENTER CONTRACTS PAID IN CURRENT YEAR.")</f>
        <v>OK</v>
      </c>
    </row>
    <row r="81" spans="1:4" x14ac:dyDescent="0.2">
      <c r="A81" s="1099"/>
      <c r="B81" s="1121">
        <v>14</v>
      </c>
      <c r="C81" s="1131" t="s">
        <v>1495</v>
      </c>
      <c r="D81" s="1124" t="str">
        <f>IF('Shared Outsourced Services 31'!B8="X","OK",IF('Shared Outsourced Services 31'!K34&gt;0,"OK","ENTRY REQUIRED!"))</f>
        <v>OK</v>
      </c>
    </row>
    <row r="82" spans="1:4" x14ac:dyDescent="0.2">
      <c r="A82" s="1120"/>
      <c r="B82" s="1121">
        <v>15</v>
      </c>
      <c r="C82" s="1131" t="s">
        <v>1494</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f>COVER!A13</f>
        <v>28006303026</v>
      </c>
    </row>
    <row r="3" spans="1:2" x14ac:dyDescent="0.2">
      <c r="A3" t="s">
        <v>1012</v>
      </c>
      <c r="B3" s="138" t="str">
        <f>COVER!A15</f>
        <v>BUREAU</v>
      </c>
    </row>
    <row r="4" spans="1:2" x14ac:dyDescent="0.2">
      <c r="A4" t="s">
        <v>1063</v>
      </c>
      <c r="B4" s="138" t="str">
        <f>COVER!A17</f>
        <v>La Moille CUSD 303</v>
      </c>
    </row>
    <row r="5" spans="1:2" x14ac:dyDescent="0.2">
      <c r="A5" t="s">
        <v>727</v>
      </c>
      <c r="B5" s="138" t="str">
        <f>COVER!A38</f>
        <v>JAY MCCRACKEN</v>
      </c>
    </row>
    <row r="6" spans="1:2" x14ac:dyDescent="0.2">
      <c r="A6" t="s">
        <v>732</v>
      </c>
      <c r="B6" s="138">
        <f>COVER!P35</f>
        <v>0</v>
      </c>
    </row>
    <row r="7" spans="1:2" x14ac:dyDescent="0.2">
      <c r="A7" t="s">
        <v>728</v>
      </c>
      <c r="B7" s="138">
        <f>COVER!I38</f>
        <v>0</v>
      </c>
    </row>
    <row r="8" spans="1:2" x14ac:dyDescent="0.2">
      <c r="A8" t="s">
        <v>729</v>
      </c>
      <c r="B8" s="138">
        <f>COVER!T38</f>
        <v>0</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No</v>
      </c>
    </row>
    <row r="13" spans="1:2" x14ac:dyDescent="0.2">
      <c r="A13" s="1" t="s">
        <v>1624</v>
      </c>
      <c r="B13" s="138" t="str">
        <f>IF(COVER!J30="x","Yes",IF(COVER!L30="x","No",0))</f>
        <v>No</v>
      </c>
    </row>
    <row r="14" spans="1:2" x14ac:dyDescent="0.2">
      <c r="A14" t="s">
        <v>496</v>
      </c>
      <c r="B14" s="138" t="str">
        <f>IF(COVER!J31="x","Yes",IF(COVER!L31="x","No",0))</f>
        <v>No</v>
      </c>
    </row>
    <row r="15" spans="1:2" x14ac:dyDescent="0.2">
      <c r="A15" t="s">
        <v>597</v>
      </c>
      <c r="B15" s="138">
        <f>COVER!T23</f>
        <v>66.004501000000005</v>
      </c>
    </row>
    <row r="16" spans="1:2" x14ac:dyDescent="0.2">
      <c r="A16" t="s">
        <v>441</v>
      </c>
      <c r="B16" s="138" t="str">
        <f>COVER!T13</f>
        <v>HOPKINS &amp; ASSOCIATES, CPAS, INC.</v>
      </c>
    </row>
    <row r="17" spans="1:2" x14ac:dyDescent="0.2">
      <c r="A17" t="s">
        <v>938</v>
      </c>
      <c r="B17" s="138" t="str">
        <f>COVER!T15</f>
        <v>JOEL HOPKINS</v>
      </c>
    </row>
    <row r="18" spans="1:2" x14ac:dyDescent="0.2">
      <c r="A18" t="s">
        <v>1211</v>
      </c>
      <c r="B18" s="138" t="str">
        <f>COVER!T17</f>
        <v>314 S. MCCOY ST.</v>
      </c>
    </row>
    <row r="19" spans="1:2" x14ac:dyDescent="0.2">
      <c r="A19" t="s">
        <v>940</v>
      </c>
      <c r="B19" s="138" t="str">
        <f>COVER!T25</f>
        <v>joel@hopkinsoffice.com</v>
      </c>
    </row>
    <row r="20" spans="1:2" x14ac:dyDescent="0.2">
      <c r="A20" t="s">
        <v>941</v>
      </c>
      <c r="B20" s="138" t="str">
        <f>COVER!T19</f>
        <v>GRANVILLE</v>
      </c>
    </row>
    <row r="21" spans="1:2" x14ac:dyDescent="0.2">
      <c r="A21" t="s">
        <v>499</v>
      </c>
      <c r="B21" s="138" t="str">
        <f>COVER!X19</f>
        <v>IL</v>
      </c>
    </row>
    <row r="22" spans="1:2" x14ac:dyDescent="0.2">
      <c r="A22" t="s">
        <v>942</v>
      </c>
      <c r="B22" s="138">
        <f>COVER!Z19</f>
        <v>61326</v>
      </c>
    </row>
    <row r="23" spans="1:2" x14ac:dyDescent="0.2">
      <c r="A23" t="s">
        <v>1213</v>
      </c>
      <c r="B23" s="138" t="str">
        <f>COVER!T21</f>
        <v>815-339-6630</v>
      </c>
    </row>
    <row r="24" spans="1:2" x14ac:dyDescent="0.2">
      <c r="A24" t="s">
        <v>1212</v>
      </c>
      <c r="B24" s="138">
        <f>COVER!Y21</f>
        <v>0</v>
      </c>
    </row>
    <row r="25" spans="1:2" x14ac:dyDescent="0.2">
      <c r="A25" t="s">
        <v>784</v>
      </c>
      <c r="B25" s="138" t="str">
        <f>COVER!B34</f>
        <v>X</v>
      </c>
    </row>
    <row r="26" spans="1:2" x14ac:dyDescent="0.2">
      <c r="A26" t="s">
        <v>1214</v>
      </c>
      <c r="B26" s="138">
        <f>COVER!L34</f>
        <v>0</v>
      </c>
    </row>
    <row r="27" spans="1:2" x14ac:dyDescent="0.2">
      <c r="A27" t="s">
        <v>285</v>
      </c>
      <c r="B27" s="138">
        <f>COVER!U34</f>
        <v>0</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Yes</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878390</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67</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67</v>
      </c>
      <c r="C91" s="2" t="s">
        <v>593</v>
      </c>
      <c r="D91" s="2" t="str">
        <f t="shared" si="0"/>
        <v>Error?</v>
      </c>
    </row>
    <row r="92" spans="1:4" x14ac:dyDescent="0.2">
      <c r="A92" s="5">
        <v>31</v>
      </c>
      <c r="B92" s="138">
        <f>'Assets-Liab 5-6'!C39</f>
        <v>857414</v>
      </c>
      <c r="D92" s="2" t="str">
        <f t="shared" si="0"/>
        <v>Error?</v>
      </c>
    </row>
    <row r="93" spans="1:4" x14ac:dyDescent="0.2">
      <c r="A93" s="5">
        <v>32</v>
      </c>
      <c r="B93" s="138">
        <f>'Assets-Liab 5-6'!C41</f>
        <v>878390</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622039</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593</v>
      </c>
      <c r="D122" s="2" t="str">
        <f t="shared" si="0"/>
        <v>Error?</v>
      </c>
    </row>
    <row r="123" spans="1:4" x14ac:dyDescent="0.2">
      <c r="A123" s="5">
        <v>62</v>
      </c>
      <c r="B123" s="138">
        <f>'Assets-Liab 5-6'!D39</f>
        <v>622039</v>
      </c>
      <c r="D123" s="2" t="str">
        <f t="shared" si="0"/>
        <v>Error?</v>
      </c>
    </row>
    <row r="124" spans="1:4" x14ac:dyDescent="0.2">
      <c r="A124" s="5">
        <v>63</v>
      </c>
      <c r="B124" s="138">
        <f>'Assets-Liab 5-6'!D41</f>
        <v>622039</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45518</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593</v>
      </c>
      <c r="D139" s="2" t="str">
        <f t="shared" si="1"/>
        <v>Error?</v>
      </c>
    </row>
    <row r="140" spans="1:4" x14ac:dyDescent="0.2">
      <c r="A140" s="5">
        <v>79</v>
      </c>
      <c r="B140" s="138">
        <f>'Assets-Liab 5-6'!E39</f>
        <v>45518</v>
      </c>
      <c r="D140" s="2" t="str">
        <f t="shared" si="1"/>
        <v>Error?</v>
      </c>
    </row>
    <row r="141" spans="1:4" x14ac:dyDescent="0.2">
      <c r="A141" s="5">
        <v>80</v>
      </c>
      <c r="B141" s="138">
        <f>'Assets-Liab 5-6'!E41</f>
        <v>45518</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67022</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593</v>
      </c>
      <c r="D169" s="2" t="str">
        <f t="shared" si="1"/>
        <v>Error?</v>
      </c>
    </row>
    <row r="170" spans="1:4" x14ac:dyDescent="0.2">
      <c r="A170" s="5">
        <v>109</v>
      </c>
      <c r="B170" s="138">
        <f>'Assets-Liab 5-6'!F39</f>
        <v>67022</v>
      </c>
      <c r="D170" s="2" t="str">
        <f t="shared" si="1"/>
        <v>Error?</v>
      </c>
    </row>
    <row r="171" spans="1:4" x14ac:dyDescent="0.2">
      <c r="A171" s="5">
        <v>110</v>
      </c>
      <c r="B171" s="138">
        <f>'Assets-Liab 5-6'!F41</f>
        <v>67022</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60010</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593</v>
      </c>
      <c r="D188" s="2" t="str">
        <f t="shared" si="1"/>
        <v>Error?</v>
      </c>
    </row>
    <row r="189" spans="1:4" x14ac:dyDescent="0.2">
      <c r="A189" s="5">
        <v>128</v>
      </c>
      <c r="B189" s="138">
        <f>'Assets-Liab 5-6'!G39</f>
        <v>41695</v>
      </c>
      <c r="D189" s="2" t="str">
        <f t="shared" si="1"/>
        <v>Error?</v>
      </c>
    </row>
    <row r="190" spans="1:4" x14ac:dyDescent="0.2">
      <c r="A190" s="5">
        <v>129</v>
      </c>
      <c r="B190" s="138">
        <f>'Assets-Liab 5-6'!G41</f>
        <v>60010</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48291</v>
      </c>
      <c r="D273" s="2" t="str">
        <f t="shared" si="3"/>
        <v>Error?</v>
      </c>
    </row>
    <row r="274" spans="1:4" x14ac:dyDescent="0.2">
      <c r="A274" s="5">
        <v>213</v>
      </c>
      <c r="B274" s="138">
        <f>'Assets-Liab 5-6'!M17</f>
        <v>3727823</v>
      </c>
      <c r="D274" s="2" t="str">
        <f t="shared" si="3"/>
        <v>Error?</v>
      </c>
    </row>
    <row r="275" spans="1:4" x14ac:dyDescent="0.2">
      <c r="A275" s="5">
        <v>214</v>
      </c>
      <c r="B275" s="138">
        <f>'Assets-Liab 5-6'!M18</f>
        <v>232421</v>
      </c>
      <c r="D275" s="2" t="str">
        <f t="shared" si="3"/>
        <v>Error?</v>
      </c>
    </row>
    <row r="276" spans="1:4" x14ac:dyDescent="0.2">
      <c r="A276" s="5">
        <v>215</v>
      </c>
      <c r="B276" s="138">
        <f>'Assets-Liab 5-6'!M19</f>
        <v>1410278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5418813</v>
      </c>
      <c r="C279" s="2" t="s">
        <v>593</v>
      </c>
      <c r="D279" s="2" t="str">
        <f t="shared" si="3"/>
        <v>Error?</v>
      </c>
    </row>
    <row r="280" spans="1:4" x14ac:dyDescent="0.2">
      <c r="A280" s="5">
        <v>219</v>
      </c>
      <c r="B280" s="138">
        <f>'Assets-Liab 5-6'!M40</f>
        <v>5418813</v>
      </c>
      <c r="D280" s="2" t="str">
        <f t="shared" si="3"/>
        <v>Error?</v>
      </c>
    </row>
    <row r="281" spans="1:4" x14ac:dyDescent="0.2">
      <c r="A281" s="5">
        <v>220</v>
      </c>
      <c r="B281" s="138">
        <f>'Assets-Liab 5-6'!M41</f>
        <v>5418813</v>
      </c>
      <c r="C281" s="2" t="s">
        <v>593</v>
      </c>
      <c r="D281" s="2" t="str">
        <f t="shared" si="3"/>
        <v>Error?</v>
      </c>
    </row>
    <row r="282" spans="1:4" x14ac:dyDescent="0.2">
      <c r="A282" s="5">
        <v>221</v>
      </c>
      <c r="B282" s="138">
        <f>'Assets-Liab 5-6'!N21</f>
        <v>45518</v>
      </c>
      <c r="D282" s="2" t="str">
        <f t="shared" si="3"/>
        <v>Error?</v>
      </c>
    </row>
    <row r="283" spans="1:4" x14ac:dyDescent="0.2">
      <c r="A283" s="5">
        <v>222</v>
      </c>
      <c r="B283" s="138">
        <f>'Assets-Liab 5-6'!N22</f>
        <v>728056</v>
      </c>
      <c r="D283" s="2" t="str">
        <f t="shared" si="3"/>
        <v>Error?</v>
      </c>
    </row>
    <row r="284" spans="1:4" x14ac:dyDescent="0.2">
      <c r="A284" s="5">
        <v>223</v>
      </c>
      <c r="B284" s="138">
        <f>'Assets-Liab 5-6'!N23</f>
        <v>773574</v>
      </c>
      <c r="C284" s="2" t="s">
        <v>593</v>
      </c>
      <c r="D284" s="2" t="str">
        <f t="shared" si="3"/>
        <v>Error?</v>
      </c>
    </row>
    <row r="285" spans="1:4" x14ac:dyDescent="0.2">
      <c r="A285" s="5">
        <v>224</v>
      </c>
      <c r="B285" s="138">
        <f>'Assets-Liab 5-6'!N36</f>
        <v>773574</v>
      </c>
      <c r="D285" s="2" t="str">
        <f t="shared" si="3"/>
        <v>Error?</v>
      </c>
    </row>
    <row r="286" spans="1:4" x14ac:dyDescent="0.2">
      <c r="A286" s="10">
        <v>225</v>
      </c>
      <c r="D286" s="2" t="str">
        <f t="shared" si="3"/>
        <v>OK</v>
      </c>
    </row>
    <row r="287" spans="1:4" x14ac:dyDescent="0.2">
      <c r="A287" s="5">
        <v>226</v>
      </c>
      <c r="B287" s="138">
        <f>'Assets-Liab 5-6'!N37</f>
        <v>773574</v>
      </c>
      <c r="C287" s="2" t="s">
        <v>593</v>
      </c>
      <c r="D287" s="2" t="str">
        <f t="shared" si="3"/>
        <v>Error?</v>
      </c>
    </row>
    <row r="288" spans="1:4" x14ac:dyDescent="0.2">
      <c r="A288" s="5">
        <v>227</v>
      </c>
      <c r="B288" s="138">
        <f>'Assets-Liab 5-6'!N41</f>
        <v>773574</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1252256</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96656</v>
      </c>
      <c r="D717" s="2" t="str">
        <f t="shared" si="10"/>
        <v>Error?</v>
      </c>
    </row>
    <row r="718" spans="1:4" x14ac:dyDescent="0.2">
      <c r="A718" s="5">
        <v>657</v>
      </c>
      <c r="B718" s="138">
        <f>'Expenditures 15-22'!C14</f>
        <v>42484</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1611523</v>
      </c>
      <c r="C720" s="2" t="s">
        <v>593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50780</v>
      </c>
      <c r="D722" s="2" t="str">
        <f t="shared" si="10"/>
        <v>Error?</v>
      </c>
    </row>
    <row r="723" spans="1:4" x14ac:dyDescent="0.2">
      <c r="A723" s="5">
        <v>662</v>
      </c>
      <c r="B723" s="138">
        <f>'Expenditures 15-22'!C38</f>
        <v>44716</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95496</v>
      </c>
      <c r="C727" s="2" t="s">
        <v>593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593</v>
      </c>
      <c r="D731" s="2" t="str">
        <f t="shared" si="10"/>
        <v>Error?</v>
      </c>
    </row>
    <row r="732" spans="1:4" x14ac:dyDescent="0.2">
      <c r="A732" s="5">
        <v>671</v>
      </c>
      <c r="B732" s="138">
        <f>'Expenditures 15-22'!C49</f>
        <v>2254</v>
      </c>
      <c r="D732" s="2" t="str">
        <f t="shared" si="10"/>
        <v>Error?</v>
      </c>
    </row>
    <row r="733" spans="1:4" x14ac:dyDescent="0.2">
      <c r="A733" s="5">
        <v>672</v>
      </c>
      <c r="B733" s="138">
        <f>'Expenditures 15-22'!C50</f>
        <v>98193</v>
      </c>
      <c r="D733" s="2" t="str">
        <f t="shared" si="10"/>
        <v>Error?</v>
      </c>
    </row>
    <row r="734" spans="1:4" x14ac:dyDescent="0.2">
      <c r="A734" s="5">
        <v>673</v>
      </c>
      <c r="B734" s="138">
        <f>'Expenditures 15-22'!C53</f>
        <v>100447</v>
      </c>
      <c r="C734" s="2" t="s">
        <v>593</v>
      </c>
      <c r="D734" s="2" t="str">
        <f t="shared" si="10"/>
        <v>Error?</v>
      </c>
    </row>
    <row r="735" spans="1:4" x14ac:dyDescent="0.2">
      <c r="A735" s="5">
        <v>674</v>
      </c>
      <c r="B735" s="138">
        <f>'Expenditures 15-22'!C55</f>
        <v>159138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159138</v>
      </c>
      <c r="C737" s="2" t="s">
        <v>593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34563</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54170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88733</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593</v>
      </c>
      <c r="D753" s="2" t="str">
        <f t="shared" si="10"/>
        <v>Error?</v>
      </c>
    </row>
    <row r="754" spans="1:4" x14ac:dyDescent="0.2">
      <c r="A754" s="5">
        <v>693</v>
      </c>
      <c r="B754" s="138">
        <f>'Expenditures 15-22'!C73</f>
        <v>47736</v>
      </c>
      <c r="D754" s="2" t="str">
        <f t="shared" si="10"/>
        <v>Error?</v>
      </c>
    </row>
    <row r="755" spans="1:4" x14ac:dyDescent="0.2">
      <c r="A755" s="5">
        <v>694</v>
      </c>
      <c r="B755" s="138">
        <f>'Expenditures 15-22'!C74</f>
        <v>491550</v>
      </c>
      <c r="C755" s="2" t="s">
        <v>593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2103073</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208165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17040</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250517</v>
      </c>
      <c r="C778" s="2" t="s">
        <v>593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8488</v>
      </c>
      <c r="D780" s="2" t="str">
        <f t="shared" si="11"/>
        <v>Error?</v>
      </c>
    </row>
    <row r="781" spans="1:4" x14ac:dyDescent="0.2">
      <c r="A781" s="5">
        <v>720</v>
      </c>
      <c r="B781" s="138">
        <f>'Expenditures 15-22'!D38</f>
        <v>7812</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16300</v>
      </c>
      <c r="C785" s="2" t="s">
        <v>593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2818</v>
      </c>
      <c r="D791" s="2" t="str">
        <f t="shared" si="11"/>
        <v>Error?</v>
      </c>
    </row>
    <row r="792" spans="1:4" x14ac:dyDescent="0.2">
      <c r="A792" s="5">
        <v>731</v>
      </c>
      <c r="B792" s="138">
        <f>'Expenditures 15-22'!D53</f>
        <v>2818</v>
      </c>
      <c r="C792" s="2" t="s">
        <v>593</v>
      </c>
      <c r="D792" s="2" t="str">
        <f t="shared" si="11"/>
        <v>Error?</v>
      </c>
    </row>
    <row r="793" spans="1:4" x14ac:dyDescent="0.2">
      <c r="A793" s="5">
        <v>732</v>
      </c>
      <c r="B793" s="138">
        <f>'Expenditures 15-22'!D55</f>
        <v>33031</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33031</v>
      </c>
      <c r="C795" s="2" t="s">
        <v>593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7812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7812</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15624</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593</v>
      </c>
      <c r="D811" s="2" t="str">
        <f t="shared" si="11"/>
        <v>Error?</v>
      </c>
    </row>
    <row r="812" spans="1:4" x14ac:dyDescent="0.2">
      <c r="A812" s="5">
        <v>751</v>
      </c>
      <c r="B812" s="138">
        <f>'Expenditures 15-22'!D73</f>
        <v>7802</v>
      </c>
      <c r="D812" s="2" t="str">
        <f t="shared" si="11"/>
        <v>Error?</v>
      </c>
    </row>
    <row r="813" spans="1:4" x14ac:dyDescent="0.2">
      <c r="A813" s="5">
        <v>752</v>
      </c>
      <c r="B813" s="138">
        <f>'Expenditures 15-22'!D74</f>
        <v>75575</v>
      </c>
      <c r="C813" s="2" t="s">
        <v>593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326092</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32033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304</v>
      </c>
      <c r="D833" s="2" t="str">
        <f t="shared" si="12"/>
        <v>Error?</v>
      </c>
    </row>
    <row r="834" spans="1:4" x14ac:dyDescent="0.2">
      <c r="A834" s="5">
        <v>773</v>
      </c>
      <c r="B834" s="138">
        <f>'Expenditures 15-22'!E14</f>
        <v>21434</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79513</v>
      </c>
      <c r="C836" s="2" t="s">
        <v>593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615</v>
      </c>
      <c r="D839" s="2" t="str">
        <f t="shared" si="12"/>
        <v>Error?</v>
      </c>
    </row>
    <row r="840" spans="1:4" x14ac:dyDescent="0.2">
      <c r="A840" s="5">
        <v>779</v>
      </c>
      <c r="B840" s="138">
        <f>'Expenditures 15-22'!E39</f>
        <v>0</v>
      </c>
      <c r="D840" s="2" t="str">
        <f t="shared" si="12"/>
        <v>Error?</v>
      </c>
    </row>
    <row r="841" spans="1:4" x14ac:dyDescent="0.2">
      <c r="A841" s="5">
        <v>780</v>
      </c>
      <c r="B841" s="138">
        <f>'Expenditures 15-22'!E40</f>
        <v>77653</v>
      </c>
      <c r="D841" s="2" t="str">
        <f t="shared" si="12"/>
        <v>Error?</v>
      </c>
    </row>
    <row r="842" spans="1:4" x14ac:dyDescent="0.2">
      <c r="A842" s="5">
        <v>781</v>
      </c>
      <c r="B842" s="138">
        <f>'Expenditures 15-22'!E41</f>
        <v>722</v>
      </c>
      <c r="D842" s="2" t="str">
        <f t="shared" si="12"/>
        <v>Error?</v>
      </c>
    </row>
    <row r="843" spans="1:4" x14ac:dyDescent="0.2">
      <c r="A843" s="5">
        <v>782</v>
      </c>
      <c r="B843" s="138">
        <f>'Expenditures 15-22'!E42</f>
        <v>78990</v>
      </c>
      <c r="C843" s="2" t="s">
        <v>593</v>
      </c>
      <c r="D843" s="2" t="str">
        <f t="shared" si="12"/>
        <v>Error?</v>
      </c>
    </row>
    <row r="844" spans="1:4" x14ac:dyDescent="0.2">
      <c r="A844" s="5">
        <v>783</v>
      </c>
      <c r="B844" s="138">
        <f>'Expenditures 15-22'!E44</f>
        <v>7673</v>
      </c>
      <c r="D844" s="2" t="str">
        <f t="shared" si="12"/>
        <v>Error?</v>
      </c>
    </row>
    <row r="845" spans="1:4" x14ac:dyDescent="0.2">
      <c r="A845" s="5">
        <v>784</v>
      </c>
      <c r="B845" s="138">
        <f>'Expenditures 15-22'!E45</f>
        <v>0</v>
      </c>
      <c r="D845" s="2" t="str">
        <f t="shared" si="12"/>
        <v>Error?</v>
      </c>
    </row>
    <row r="846" spans="1:4" x14ac:dyDescent="0.2">
      <c r="A846" s="5">
        <v>785</v>
      </c>
      <c r="B846" s="138">
        <f>'Expenditures 15-22'!E46</f>
        <v>404</v>
      </c>
      <c r="D846" s="2" t="str">
        <f t="shared" si="12"/>
        <v>Error?</v>
      </c>
    </row>
    <row r="847" spans="1:4" x14ac:dyDescent="0.2">
      <c r="A847" s="5">
        <v>786</v>
      </c>
      <c r="B847" s="138">
        <f>'Expenditures 15-22'!E47</f>
        <v>8077</v>
      </c>
      <c r="C847" s="2" t="s">
        <v>593</v>
      </c>
      <c r="D847" s="2" t="str">
        <f t="shared" si="12"/>
        <v>Error?</v>
      </c>
    </row>
    <row r="848" spans="1:4" x14ac:dyDescent="0.2">
      <c r="A848" s="5">
        <v>787</v>
      </c>
      <c r="B848" s="138">
        <f>'Expenditures 15-22'!E49</f>
        <v>10157</v>
      </c>
      <c r="D848" s="2" t="str">
        <f t="shared" si="12"/>
        <v>Error?</v>
      </c>
    </row>
    <row r="849" spans="1:4" x14ac:dyDescent="0.2">
      <c r="A849" s="5">
        <v>788</v>
      </c>
      <c r="B849" s="138">
        <f>'Expenditures 15-22'!E50</f>
        <v>2726</v>
      </c>
      <c r="D849" s="2" t="str">
        <f t="shared" si="12"/>
        <v>Error?</v>
      </c>
    </row>
    <row r="850" spans="1:4" x14ac:dyDescent="0.2">
      <c r="A850" s="5">
        <v>789</v>
      </c>
      <c r="B850" s="138">
        <f>'Expenditures 15-22'!E53</f>
        <v>12883</v>
      </c>
      <c r="C850" s="2" t="s">
        <v>593</v>
      </c>
      <c r="D850" s="2" t="str">
        <f t="shared" si="12"/>
        <v>Error?</v>
      </c>
    </row>
    <row r="851" spans="1:4" x14ac:dyDescent="0.2">
      <c r="A851" s="5">
        <v>790</v>
      </c>
      <c r="B851" s="138">
        <f>'Expenditures 15-22'!E55</f>
        <v>2629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2629</v>
      </c>
      <c r="C853" s="2" t="s">
        <v>593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434</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1690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2124</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104703</v>
      </c>
      <c r="C871" s="2" t="s">
        <v>593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227530</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33215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3543</v>
      </c>
      <c r="D891" s="2" t="str">
        <f t="shared" si="12"/>
        <v>Error?</v>
      </c>
    </row>
    <row r="892" spans="1:4" x14ac:dyDescent="0.2">
      <c r="A892" s="5">
        <v>831</v>
      </c>
      <c r="B892" s="138">
        <f>'Expenditures 15-22'!F14</f>
        <v>6994</v>
      </c>
      <c r="D892" s="2" t="str">
        <f t="shared" si="12"/>
        <v>Error?</v>
      </c>
    </row>
    <row r="893" spans="1:4" x14ac:dyDescent="0.2">
      <c r="A893" s="5">
        <v>832</v>
      </c>
      <c r="B893" s="138">
        <f>'Expenditures 15-22'!F15</f>
        <v>0</v>
      </c>
      <c r="D893" s="2" t="str">
        <f t="shared" si="12"/>
        <v>Error?</v>
      </c>
    </row>
    <row r="894" spans="1:4" x14ac:dyDescent="0.2">
      <c r="A894" s="5">
        <v>833</v>
      </c>
      <c r="B894" s="138">
        <f>'Expenditures 15-22'!F33</f>
        <v>45111</v>
      </c>
      <c r="C894" s="2" t="s">
        <v>593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43</v>
      </c>
      <c r="D896" s="2" t="str">
        <f t="shared" si="13"/>
        <v>Error?</v>
      </c>
    </row>
    <row r="897" spans="1:4" x14ac:dyDescent="0.2">
      <c r="A897" s="5">
        <v>836</v>
      </c>
      <c r="B897" s="138">
        <f>'Expenditures 15-22'!F38</f>
        <v>793</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565</v>
      </c>
      <c r="D900" s="2" t="str">
        <f t="shared" si="13"/>
        <v>Error?</v>
      </c>
    </row>
    <row r="901" spans="1:4" x14ac:dyDescent="0.2">
      <c r="A901" s="5">
        <v>840</v>
      </c>
      <c r="B901" s="138">
        <f>'Expenditures 15-22'!F42</f>
        <v>1401</v>
      </c>
      <c r="C901" s="2" t="s">
        <v>593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1242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1242</v>
      </c>
      <c r="C905" s="2" t="s">
        <v>593</v>
      </c>
      <c r="D905" s="2" t="str">
        <f t="shared" si="13"/>
        <v>Error?</v>
      </c>
    </row>
    <row r="906" spans="1:4" x14ac:dyDescent="0.2">
      <c r="A906" s="5">
        <v>845</v>
      </c>
      <c r="B906" s="138">
        <f>'Expenditures 15-22'!F49</f>
        <v>2385</v>
      </c>
      <c r="D906" s="2" t="str">
        <f t="shared" si="13"/>
        <v>Error?</v>
      </c>
    </row>
    <row r="907" spans="1:4" x14ac:dyDescent="0.2">
      <c r="A907" s="5">
        <v>846</v>
      </c>
      <c r="B907" s="138">
        <f>'Expenditures 15-22'!F50</f>
        <v>0</v>
      </c>
      <c r="D907" s="2" t="str">
        <f t="shared" si="13"/>
        <v>Error?</v>
      </c>
    </row>
    <row r="908" spans="1:4" x14ac:dyDescent="0.2">
      <c r="A908" s="5">
        <v>847</v>
      </c>
      <c r="B908" s="138">
        <f>'Expenditures 15-22'!F53</f>
        <v>2385</v>
      </c>
      <c r="C908" s="2" t="s">
        <v>593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143</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43913</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44056</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49084</v>
      </c>
      <c r="C929" s="2" t="s">
        <v>593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94195</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175</v>
      </c>
      <c r="D1007" s="2" t="str">
        <f t="shared" si="14"/>
        <v>Error?</v>
      </c>
    </row>
    <row r="1008" spans="1:4" x14ac:dyDescent="0.2">
      <c r="A1008" s="5">
        <v>947</v>
      </c>
      <c r="B1008" s="138">
        <f>'Expenditures 15-22'!H14</f>
        <v>1730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100290</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161</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161</v>
      </c>
      <c r="C1017" s="2" t="s">
        <v>593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593</v>
      </c>
      <c r="D1021" s="2" t="str">
        <f t="shared" si="14"/>
        <v>Error?</v>
      </c>
    </row>
    <row r="1022" spans="1:4" x14ac:dyDescent="0.2">
      <c r="A1022" s="5">
        <v>961</v>
      </c>
      <c r="B1022" s="138">
        <f>'Expenditures 15-22'!H49</f>
        <v>1948</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1948</v>
      </c>
      <c r="C1024" s="2" t="s">
        <v>593</v>
      </c>
      <c r="D1024" s="2" t="str">
        <f t="shared" si="15"/>
        <v>Error?</v>
      </c>
    </row>
    <row r="1025" spans="1:4" x14ac:dyDescent="0.2">
      <c r="A1025" s="5">
        <v>964</v>
      </c>
      <c r="B1025" s="138">
        <f>'Expenditures 15-22'!H55</f>
        <v>613</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613</v>
      </c>
      <c r="C1027" s="2" t="s">
        <v>593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238</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238</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2960</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30479</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133729</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1525669</v>
      </c>
      <c r="C1093" s="2" t="s">
        <v>593</v>
      </c>
      <c r="D1093" s="2" t="str">
        <f t="shared" si="16"/>
        <v>Error?</v>
      </c>
    </row>
    <row r="1094" spans="1:4" x14ac:dyDescent="0.2">
      <c r="A1094" s="5">
        <v>1033</v>
      </c>
      <c r="B1094" s="138">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117718</v>
      </c>
      <c r="C1105" s="2" t="s">
        <v>593</v>
      </c>
      <c r="D1105" s="2" t="str">
        <f t="shared" si="16"/>
        <v>Error?</v>
      </c>
    </row>
    <row r="1106" spans="1:4" x14ac:dyDescent="0.2">
      <c r="A1106" s="5">
        <v>1045</v>
      </c>
      <c r="B1106" s="138">
        <f>'Expenditures 15-22'!K14</f>
        <v>72642</v>
      </c>
      <c r="C1106" s="2" t="s">
        <v>593</v>
      </c>
      <c r="D1106" s="2" t="str">
        <f t="shared" si="16"/>
        <v>Error?</v>
      </c>
    </row>
    <row r="1107" spans="1:4" x14ac:dyDescent="0.2">
      <c r="A1107" s="5">
        <v>1046</v>
      </c>
      <c r="B1107" s="138">
        <f>'Expenditures 15-22'!K15</f>
        <v>0</v>
      </c>
      <c r="C1107" s="2" t="s">
        <v>593</v>
      </c>
      <c r="D1107" s="2" t="str">
        <f t="shared" si="16"/>
        <v>Error?</v>
      </c>
    </row>
    <row r="1108" spans="1:4" x14ac:dyDescent="0.2">
      <c r="A1108" s="5">
        <v>1047</v>
      </c>
      <c r="B1108" s="138">
        <f>'Expenditures 15-22'!K33</f>
        <v>2086954</v>
      </c>
      <c r="C1108" s="2" t="s">
        <v>593</v>
      </c>
      <c r="D1108" s="2" t="str">
        <f t="shared" si="16"/>
        <v>Error?</v>
      </c>
    </row>
    <row r="1109" spans="1:4" x14ac:dyDescent="0.2">
      <c r="A1109" s="5">
        <v>1048</v>
      </c>
      <c r="B1109" s="138">
        <f>'Expenditures 15-22'!K36</f>
        <v>0</v>
      </c>
      <c r="C1109" s="2" t="s">
        <v>593</v>
      </c>
      <c r="D1109" s="2" t="str">
        <f t="shared" si="16"/>
        <v>Error?</v>
      </c>
    </row>
    <row r="1110" spans="1:4" x14ac:dyDescent="0.2">
      <c r="A1110" s="5">
        <v>1049</v>
      </c>
      <c r="B1110" s="138">
        <f>'Expenditures 15-22'!K37</f>
        <v>59311</v>
      </c>
      <c r="C1110" s="2" t="s">
        <v>593</v>
      </c>
      <c r="D1110" s="2" t="str">
        <f t="shared" si="16"/>
        <v>Error?</v>
      </c>
    </row>
    <row r="1111" spans="1:4" x14ac:dyDescent="0.2">
      <c r="A1111" s="5">
        <v>1050</v>
      </c>
      <c r="B1111" s="138">
        <f>'Expenditures 15-22'!K38</f>
        <v>54097</v>
      </c>
      <c r="C1111" s="2" t="s">
        <v>593</v>
      </c>
      <c r="D1111" s="2" t="str">
        <f t="shared" si="16"/>
        <v>Error?</v>
      </c>
    </row>
    <row r="1112" spans="1:4" x14ac:dyDescent="0.2">
      <c r="A1112" s="5">
        <v>1051</v>
      </c>
      <c r="B1112" s="138">
        <f>'Expenditures 15-22'!K39</f>
        <v>0</v>
      </c>
      <c r="C1112" s="2" t="s">
        <v>593</v>
      </c>
      <c r="D1112" s="2" t="str">
        <f t="shared" si="16"/>
        <v>Error?</v>
      </c>
    </row>
    <row r="1113" spans="1:4" x14ac:dyDescent="0.2">
      <c r="A1113" s="5">
        <v>1052</v>
      </c>
      <c r="B1113" s="138">
        <f>'Expenditures 15-22'!K40</f>
        <v>77653</v>
      </c>
      <c r="C1113" s="2" t="s">
        <v>593</v>
      </c>
      <c r="D1113" s="2" t="str">
        <f t="shared" si="16"/>
        <v>Error?</v>
      </c>
    </row>
    <row r="1114" spans="1:4" x14ac:dyDescent="0.2">
      <c r="A1114" s="5">
        <v>1053</v>
      </c>
      <c r="B1114" s="138">
        <f>'Expenditures 15-22'!K41</f>
        <v>1287</v>
      </c>
      <c r="C1114" s="2" t="s">
        <v>593</v>
      </c>
      <c r="D1114" s="2" t="str">
        <f t="shared" si="16"/>
        <v>Error?</v>
      </c>
    </row>
    <row r="1115" spans="1:4" x14ac:dyDescent="0.2">
      <c r="A1115" s="5">
        <v>1054</v>
      </c>
      <c r="B1115" s="138">
        <f>'Expenditures 15-22'!K42</f>
        <v>192348</v>
      </c>
      <c r="C1115" s="2" t="s">
        <v>593</v>
      </c>
      <c r="D1115" s="2" t="str">
        <f t="shared" si="16"/>
        <v>Error?</v>
      </c>
    </row>
    <row r="1116" spans="1:4" x14ac:dyDescent="0.2">
      <c r="A1116" s="5">
        <v>1055</v>
      </c>
      <c r="B1116" s="138">
        <f>'Expenditures 15-22'!K44</f>
        <v>7673</v>
      </c>
      <c r="C1116" s="2" t="s">
        <v>593</v>
      </c>
      <c r="D1116" s="2" t="str">
        <f t="shared" si="16"/>
        <v>Error?</v>
      </c>
    </row>
    <row r="1117" spans="1:4" x14ac:dyDescent="0.2">
      <c r="A1117" s="5">
        <v>1056</v>
      </c>
      <c r="B1117" s="138">
        <f>'Expenditures 15-22'!K45</f>
        <v>1242</v>
      </c>
      <c r="C1117" s="2" t="s">
        <v>593</v>
      </c>
      <c r="D1117" s="2" t="str">
        <f t="shared" si="16"/>
        <v>Error?</v>
      </c>
    </row>
    <row r="1118" spans="1:4" x14ac:dyDescent="0.2">
      <c r="A1118" s="5">
        <v>1057</v>
      </c>
      <c r="B1118" s="138">
        <f>'Expenditures 15-22'!K46</f>
        <v>404</v>
      </c>
      <c r="C1118" s="2" t="s">
        <v>593</v>
      </c>
      <c r="D1118" s="2" t="str">
        <f t="shared" si="16"/>
        <v>Error?</v>
      </c>
    </row>
    <row r="1119" spans="1:4" x14ac:dyDescent="0.2">
      <c r="A1119" s="5">
        <v>1058</v>
      </c>
      <c r="B1119" s="138">
        <f>'Expenditures 15-22'!K47</f>
        <v>9319</v>
      </c>
      <c r="C1119" s="2" t="s">
        <v>593</v>
      </c>
      <c r="D1119" s="2" t="str">
        <f t="shared" si="16"/>
        <v>Error?</v>
      </c>
    </row>
    <row r="1120" spans="1:4" x14ac:dyDescent="0.2">
      <c r="A1120" s="5">
        <v>1059</v>
      </c>
      <c r="B1120" s="138">
        <f>'Expenditures 15-22'!K49</f>
        <v>16744</v>
      </c>
      <c r="C1120" s="2" t="s">
        <v>593</v>
      </c>
      <c r="D1120" s="2" t="str">
        <f t="shared" si="16"/>
        <v>Error?</v>
      </c>
    </row>
    <row r="1121" spans="1:4" x14ac:dyDescent="0.2">
      <c r="A1121" s="5">
        <v>1060</v>
      </c>
      <c r="B1121" s="138">
        <f>'Expenditures 15-22'!K50</f>
        <v>103737</v>
      </c>
      <c r="C1121" s="2" t="s">
        <v>593</v>
      </c>
      <c r="D1121" s="2" t="str">
        <f t="shared" si="16"/>
        <v>Error?</v>
      </c>
    </row>
    <row r="1122" spans="1:4" x14ac:dyDescent="0.2">
      <c r="A1122" s="5">
        <v>1061</v>
      </c>
      <c r="B1122" s="138">
        <f>'Expenditures 15-22'!K53</f>
        <v>120481</v>
      </c>
      <c r="C1122" s="2" t="s">
        <v>593</v>
      </c>
      <c r="D1122" s="2" t="str">
        <f t="shared" si="16"/>
        <v>Error?</v>
      </c>
    </row>
    <row r="1123" spans="1:4" x14ac:dyDescent="0.2">
      <c r="A1123" s="5">
        <v>1062</v>
      </c>
      <c r="B1123" s="138">
        <f>'Expenditures 15-22'!K55</f>
        <v>195411</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195411</v>
      </c>
      <c r="C1125" s="2" t="s">
        <v>593</v>
      </c>
      <c r="D1125" s="2" t="str">
        <f t="shared" si="16"/>
        <v>Error?</v>
      </c>
    </row>
    <row r="1126" spans="1:4" x14ac:dyDescent="0.2">
      <c r="A1126" s="5">
        <v>1065</v>
      </c>
      <c r="B1126" s="138">
        <f>'Expenditures 15-22'!K59</f>
        <v>0</v>
      </c>
      <c r="C1126" s="2" t="s">
        <v>593</v>
      </c>
      <c r="D1126" s="2" t="str">
        <f t="shared" si="16"/>
        <v>Error?</v>
      </c>
    </row>
    <row r="1127" spans="1:4" x14ac:dyDescent="0.2">
      <c r="A1127" s="5">
        <v>1066</v>
      </c>
      <c r="B1127" s="138">
        <f>'Expenditures 15-22'!K60</f>
        <v>42952</v>
      </c>
      <c r="C1127" s="2" t="s">
        <v>593</v>
      </c>
      <c r="D1127" s="2" t="str">
        <f t="shared" si="16"/>
        <v>Error?</v>
      </c>
    </row>
    <row r="1128" spans="1:4" x14ac:dyDescent="0.2">
      <c r="A1128" s="5">
        <v>1067</v>
      </c>
      <c r="B1128" s="138">
        <f>'Expenditures 15-22'!K61</f>
        <v>0</v>
      </c>
      <c r="C1128" s="2" t="s">
        <v>593</v>
      </c>
      <c r="D1128" s="2" t="str">
        <f t="shared" si="16"/>
        <v>Error?</v>
      </c>
    </row>
    <row r="1129" spans="1:4" x14ac:dyDescent="0.2">
      <c r="A1129" s="5">
        <v>1068</v>
      </c>
      <c r="B1129" s="138">
        <f>'Expenditures 15-22'!K62</f>
        <v>0</v>
      </c>
      <c r="C1129" s="2" t="s">
        <v>593</v>
      </c>
      <c r="D1129" s="2" t="str">
        <f t="shared" si="16"/>
        <v>Error?</v>
      </c>
    </row>
    <row r="1130" spans="1:4" x14ac:dyDescent="0.2">
      <c r="A1130" s="5">
        <v>1069</v>
      </c>
      <c r="B1130" s="138">
        <f>'Expenditures 15-22'!K63</f>
        <v>107823</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150775</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0</v>
      </c>
      <c r="C1137" s="2" t="s">
        <v>593</v>
      </c>
      <c r="D1137" s="2" t="str">
        <f t="shared" si="16"/>
        <v>Error?</v>
      </c>
    </row>
    <row r="1138" spans="1:4" x14ac:dyDescent="0.2">
      <c r="A1138" s="10">
        <v>1077</v>
      </c>
      <c r="D1138" s="2" t="str">
        <f t="shared" si="16"/>
        <v>OK</v>
      </c>
    </row>
    <row r="1139" spans="1:4" x14ac:dyDescent="0.2">
      <c r="A1139" s="5">
        <v>1078</v>
      </c>
      <c r="B1139" s="138">
        <f>'Expenditures 15-22'!K71</f>
        <v>0</v>
      </c>
      <c r="C1139" s="2" t="s">
        <v>593</v>
      </c>
      <c r="D1139" s="2" t="str">
        <f t="shared" si="16"/>
        <v>Error?</v>
      </c>
    </row>
    <row r="1140" spans="1:4" x14ac:dyDescent="0.2">
      <c r="A1140" s="10">
        <v>1079</v>
      </c>
      <c r="D1140" s="2" t="str">
        <f t="shared" si="16"/>
        <v>OK</v>
      </c>
    </row>
    <row r="1141" spans="1:4" x14ac:dyDescent="0.2">
      <c r="A1141" s="5">
        <v>1080</v>
      </c>
      <c r="B1141" s="138">
        <f>'Expenditures 15-22'!K72</f>
        <v>0</v>
      </c>
      <c r="C1141" s="2" t="s">
        <v>593</v>
      </c>
      <c r="D1141" s="2" t="str">
        <f t="shared" si="16"/>
        <v>Error?</v>
      </c>
    </row>
    <row r="1142" spans="1:4" x14ac:dyDescent="0.2">
      <c r="A1142" s="5">
        <v>1081</v>
      </c>
      <c r="B1142" s="138">
        <f>'Expenditures 15-22'!K73</f>
        <v>55538</v>
      </c>
      <c r="C1142" s="2" t="s">
        <v>593</v>
      </c>
      <c r="D1142" s="2" t="str">
        <f t="shared" si="16"/>
        <v>Error?</v>
      </c>
    </row>
    <row r="1143" spans="1:4" x14ac:dyDescent="0.2">
      <c r="A1143" s="5">
        <v>1082</v>
      </c>
      <c r="B1143" s="138">
        <f>'Expenditures 15-22'!K74</f>
        <v>723872</v>
      </c>
      <c r="C1143" s="2" t="s">
        <v>593</v>
      </c>
      <c r="D1143" s="2" t="str">
        <f t="shared" si="16"/>
        <v>Error?</v>
      </c>
    </row>
    <row r="1144" spans="1:4" x14ac:dyDescent="0.2">
      <c r="A1144" s="5">
        <v>1083</v>
      </c>
      <c r="B1144" s="138">
        <f>'Expenditures 15-22'!K75</f>
        <v>0</v>
      </c>
      <c r="C1144" s="2" t="s">
        <v>593</v>
      </c>
      <c r="D1144" s="2" t="str">
        <f t="shared" si="16"/>
        <v>Error?</v>
      </c>
    </row>
    <row r="1145" spans="1:4" x14ac:dyDescent="0.2">
      <c r="A1145" s="5">
        <v>1084</v>
      </c>
      <c r="B1145" s="138">
        <f>'Expenditures 15-22'!K102</f>
        <v>73793</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2884619</v>
      </c>
      <c r="C1152" s="2" t="s">
        <v>593</v>
      </c>
      <c r="D1152" s="2" t="str">
        <f t="shared" si="17"/>
        <v>Error?</v>
      </c>
    </row>
    <row r="1153" spans="1:4" x14ac:dyDescent="0.2">
      <c r="A1153" s="5">
        <v>1092</v>
      </c>
      <c r="B1153" s="138">
        <f>'Expenditures 15-22'!K115</f>
        <v>-481036</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153533</v>
      </c>
      <c r="D1221" s="2" t="str">
        <f t="shared" si="18"/>
        <v>Error?</v>
      </c>
    </row>
    <row r="1222" spans="1:4" x14ac:dyDescent="0.2">
      <c r="A1222" s="10">
        <v>1161</v>
      </c>
      <c r="D1222" s="2" t="str">
        <f t="shared" si="18"/>
        <v>OK</v>
      </c>
    </row>
    <row r="1223" spans="1:4" x14ac:dyDescent="0.2">
      <c r="A1223" s="5">
        <v>1162</v>
      </c>
      <c r="B1223" s="138">
        <f>'Expenditures 15-22'!C127</f>
        <v>153533</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153533</v>
      </c>
      <c r="C1225" s="2" t="s">
        <v>593</v>
      </c>
      <c r="D1225" s="2" t="str">
        <f t="shared" si="18"/>
        <v>Error?</v>
      </c>
    </row>
    <row r="1226" spans="1:4" x14ac:dyDescent="0.2">
      <c r="A1226" s="5">
        <v>1165</v>
      </c>
      <c r="B1226" s="138">
        <f>'Expenditures 15-22'!C151</f>
        <v>153533</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7853</v>
      </c>
      <c r="D1229" s="2" t="str">
        <f t="shared" si="18"/>
        <v>Error?</v>
      </c>
    </row>
    <row r="1230" spans="1:4" x14ac:dyDescent="0.2">
      <c r="A1230" s="10">
        <v>1169</v>
      </c>
      <c r="D1230" s="2" t="str">
        <f t="shared" si="18"/>
        <v>OK</v>
      </c>
    </row>
    <row r="1231" spans="1:4" x14ac:dyDescent="0.2">
      <c r="A1231" s="5">
        <v>1170</v>
      </c>
      <c r="B1231" s="138">
        <f>'Expenditures 15-22'!D127</f>
        <v>7853</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7853</v>
      </c>
      <c r="C1233" s="2" t="s">
        <v>593</v>
      </c>
      <c r="D1233" s="2" t="str">
        <f t="shared" si="18"/>
        <v>Error?</v>
      </c>
    </row>
    <row r="1234" spans="1:4" x14ac:dyDescent="0.2">
      <c r="A1234" s="5">
        <v>1173</v>
      </c>
      <c r="B1234" s="138">
        <f>'Expenditures 15-22'!D151</f>
        <v>7853</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60701</v>
      </c>
      <c r="D1237" s="2" t="str">
        <f t="shared" si="18"/>
        <v>Error?</v>
      </c>
    </row>
    <row r="1238" spans="1:4" x14ac:dyDescent="0.2">
      <c r="A1238" s="10">
        <v>1177</v>
      </c>
      <c r="D1238" s="2" t="str">
        <f t="shared" si="18"/>
        <v>OK</v>
      </c>
    </row>
    <row r="1239" spans="1:4" x14ac:dyDescent="0.2">
      <c r="A1239" s="5">
        <v>1178</v>
      </c>
      <c r="B1239" s="138">
        <f>'Expenditures 15-22'!E127</f>
        <v>60701</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60701</v>
      </c>
      <c r="C1241" s="2" t="s">
        <v>593</v>
      </c>
      <c r="D1241" s="2" t="str">
        <f t="shared" si="18"/>
        <v>Error?</v>
      </c>
    </row>
    <row r="1242" spans="1:4" x14ac:dyDescent="0.2">
      <c r="A1242" s="5">
        <v>1181</v>
      </c>
      <c r="B1242" s="138">
        <f>'Expenditures 15-22'!E151</f>
        <v>60701</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84138</v>
      </c>
      <c r="D1245" s="2" t="str">
        <f t="shared" si="18"/>
        <v>Error?</v>
      </c>
    </row>
    <row r="1246" spans="1:4" x14ac:dyDescent="0.2">
      <c r="A1246" s="10">
        <v>1185</v>
      </c>
      <c r="D1246" s="2" t="str">
        <f t="shared" si="18"/>
        <v>OK</v>
      </c>
    </row>
    <row r="1247" spans="1:4" x14ac:dyDescent="0.2">
      <c r="A1247" s="5">
        <v>1186</v>
      </c>
      <c r="B1247" s="138">
        <f>'Expenditures 15-22'!F127</f>
        <v>84138</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84138</v>
      </c>
      <c r="C1249" s="2" t="s">
        <v>593</v>
      </c>
      <c r="D1249" s="2" t="str">
        <f t="shared" si="18"/>
        <v>Error?</v>
      </c>
    </row>
    <row r="1250" spans="1:4" x14ac:dyDescent="0.2">
      <c r="A1250" s="5">
        <v>1189</v>
      </c>
      <c r="B1250" s="138">
        <f>'Expenditures 15-22'!F151</f>
        <v>84138</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593</v>
      </c>
      <c r="D1258" s="2" t="str">
        <f t="shared" si="18"/>
        <v>Error?</v>
      </c>
    </row>
    <row r="1259" spans="1:4" x14ac:dyDescent="0.2">
      <c r="A1259" s="5">
        <v>1198</v>
      </c>
      <c r="B1259" s="138">
        <f>'Expenditures 15-22'!G151</f>
        <v>0</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593</v>
      </c>
      <c r="D1266" s="2" t="str">
        <f t="shared" si="18"/>
        <v>Error?</v>
      </c>
    </row>
    <row r="1267" spans="1:4" x14ac:dyDescent="0.2">
      <c r="A1267" s="5">
        <v>1206</v>
      </c>
      <c r="B1267" s="138">
        <f>'Expenditures 15-22'!H139</f>
        <v>0</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593</v>
      </c>
      <c r="D1272" s="2" t="str">
        <f t="shared" si="18"/>
        <v>Error?</v>
      </c>
    </row>
    <row r="1273" spans="1:4" x14ac:dyDescent="0.2">
      <c r="A1273" s="5">
        <v>1212</v>
      </c>
      <c r="B1273" s="138">
        <f>'Expenditures 15-22'!H151</f>
        <v>0</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0</v>
      </c>
      <c r="C1275" s="2" t="s">
        <v>593</v>
      </c>
      <c r="D1275" s="2" t="str">
        <f t="shared" si="18"/>
        <v>Error?</v>
      </c>
    </row>
    <row r="1276" spans="1:4" x14ac:dyDescent="0.2">
      <c r="A1276" s="5">
        <v>1215</v>
      </c>
      <c r="B1276" s="138">
        <f>'Expenditures 15-22'!K124</f>
        <v>306225</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306225</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306225</v>
      </c>
      <c r="C1281" s="2" t="s">
        <v>593</v>
      </c>
      <c r="D1281" s="2" t="str">
        <f t="shared" si="19"/>
        <v>Error?</v>
      </c>
    </row>
    <row r="1282" spans="1:4" x14ac:dyDescent="0.2">
      <c r="A1282" s="5">
        <v>1221</v>
      </c>
      <c r="B1282" s="138">
        <f>'Expenditures 15-22'!K139</f>
        <v>0</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0</v>
      </c>
      <c r="C1287" s="2" t="s">
        <v>593</v>
      </c>
      <c r="D1287" s="2" t="str">
        <f t="shared" si="19"/>
        <v>Error?</v>
      </c>
    </row>
    <row r="1288" spans="1:4" x14ac:dyDescent="0.2">
      <c r="A1288" s="5">
        <v>1227</v>
      </c>
      <c r="B1288" s="138">
        <f>'Expenditures 15-22'!K151</f>
        <v>306225</v>
      </c>
      <c r="C1288" s="2" t="s">
        <v>593</v>
      </c>
      <c r="D1288" s="2" t="str">
        <f t="shared" si="19"/>
        <v>Error?</v>
      </c>
    </row>
    <row r="1289" spans="1:4" x14ac:dyDescent="0.2">
      <c r="A1289" s="5">
        <v>1228</v>
      </c>
      <c r="B1289" s="138">
        <f>'Expenditures 15-22'!K152</f>
        <v>58</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593</v>
      </c>
      <c r="D1308" s="2" t="str">
        <f t="shared" si="19"/>
        <v>Error?</v>
      </c>
    </row>
    <row r="1309" spans="1:4" x14ac:dyDescent="0.2">
      <c r="A1309" s="5">
        <v>1248</v>
      </c>
      <c r="B1309" s="138">
        <f>'Expenditures 15-22'!E174</f>
        <v>0</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66</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151000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151066</v>
      </c>
      <c r="C1317" s="2" t="s">
        <v>593</v>
      </c>
      <c r="D1317" s="2" t="str">
        <f t="shared" si="19"/>
        <v>Error?</v>
      </c>
    </row>
    <row r="1318" spans="1:4" x14ac:dyDescent="0.2">
      <c r="A1318" s="5">
        <v>1257</v>
      </c>
      <c r="B1318" s="138">
        <f>'Expenditures 15-22'!H174</f>
        <v>157625</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66</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151000</v>
      </c>
      <c r="C1329" s="2" t="s">
        <v>593</v>
      </c>
      <c r="D1329" s="2" t="str">
        <f t="shared" si="19"/>
        <v>Error?</v>
      </c>
    </row>
    <row r="1330" spans="1:4" x14ac:dyDescent="0.2">
      <c r="A1330" s="5">
        <v>1269</v>
      </c>
      <c r="B1330" s="138">
        <f>'Expenditures 15-22'!K171</f>
        <v>0</v>
      </c>
      <c r="C1330" s="2" t="s">
        <v>593</v>
      </c>
      <c r="D1330" s="2" t="str">
        <f t="shared" si="19"/>
        <v>Error?</v>
      </c>
    </row>
    <row r="1331" spans="1:4" x14ac:dyDescent="0.2">
      <c r="A1331" s="5">
        <v>1270</v>
      </c>
      <c r="B1331" s="138">
        <f>'Expenditures 15-22'!K172</f>
        <v>151066</v>
      </c>
      <c r="C1331" s="2" t="s">
        <v>593</v>
      </c>
      <c r="D1331" s="2" t="str">
        <f t="shared" si="19"/>
        <v>Error?</v>
      </c>
    </row>
    <row r="1332" spans="1:4" x14ac:dyDescent="0.2">
      <c r="A1332" s="5">
        <v>1271</v>
      </c>
      <c r="B1332" s="138">
        <f>'Expenditures 15-22'!K174</f>
        <v>157625</v>
      </c>
      <c r="C1332" s="2" t="s">
        <v>593</v>
      </c>
      <c r="D1332" s="2" t="str">
        <f t="shared" si="19"/>
        <v>Error?</v>
      </c>
    </row>
    <row r="1333" spans="1:4" x14ac:dyDescent="0.2">
      <c r="A1333" s="5">
        <v>1272</v>
      </c>
      <c r="B1333" s="138">
        <f>'Expenditures 15-22'!K175</f>
        <v>-5958</v>
      </c>
      <c r="C1333" s="2" t="s">
        <v>593</v>
      </c>
      <c r="D1333" s="2" t="str">
        <f t="shared" si="19"/>
        <v>Error?</v>
      </c>
    </row>
    <row r="1334" spans="1:4" x14ac:dyDescent="0.2">
      <c r="A1334" s="10">
        <v>1273</v>
      </c>
      <c r="D1334" s="2" t="str">
        <f t="shared" si="19"/>
        <v>OK</v>
      </c>
    </row>
    <row r="1335" spans="1:4" x14ac:dyDescent="0.2">
      <c r="A1335" s="5">
        <v>1274</v>
      </c>
      <c r="B1335" s="138">
        <f>'Expenditures 15-22'!C182</f>
        <v>129205</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129205</v>
      </c>
      <c r="C1339" s="2" t="s">
        <v>593</v>
      </c>
      <c r="D1339" s="2" t="str">
        <f t="shared" si="19"/>
        <v>Error?</v>
      </c>
    </row>
    <row r="1340" spans="1:4" x14ac:dyDescent="0.2">
      <c r="A1340" s="5">
        <v>1279</v>
      </c>
      <c r="B1340" s="138">
        <f>'Expenditures 15-22'!C210</f>
        <v>129205</v>
      </c>
      <c r="C1340" s="2" t="s">
        <v>593</v>
      </c>
      <c r="D1340" s="2" t="str">
        <f t="shared" si="19"/>
        <v>Error?</v>
      </c>
    </row>
    <row r="1341" spans="1:4" x14ac:dyDescent="0.2">
      <c r="A1341" s="5">
        <v>1280</v>
      </c>
      <c r="B1341" s="138">
        <f>'Expenditures 15-22'!D182</f>
        <v>8428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8428</v>
      </c>
      <c r="C1345" s="2" t="s">
        <v>593</v>
      </c>
      <c r="D1345" s="2" t="str">
        <f t="shared" si="20"/>
        <v>Error?</v>
      </c>
    </row>
    <row r="1346" spans="1:4" x14ac:dyDescent="0.2">
      <c r="A1346" s="5">
        <v>1285</v>
      </c>
      <c r="B1346" s="138">
        <f>'Expenditures 15-22'!D210</f>
        <v>8428</v>
      </c>
      <c r="C1346" s="2" t="s">
        <v>593</v>
      </c>
      <c r="D1346" s="2" t="str">
        <f t="shared" si="20"/>
        <v>Error?</v>
      </c>
    </row>
    <row r="1347" spans="1:4" x14ac:dyDescent="0.2">
      <c r="A1347" s="5">
        <v>1286</v>
      </c>
      <c r="B1347" s="138">
        <f>'Expenditures 15-22'!E182</f>
        <v>11940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11940</v>
      </c>
      <c r="C1351" s="2" t="s">
        <v>593</v>
      </c>
      <c r="D1351" s="2" t="str">
        <f t="shared" si="20"/>
        <v>Error?</v>
      </c>
    </row>
    <row r="1352" spans="1:4" x14ac:dyDescent="0.2">
      <c r="A1352" s="5">
        <v>1291</v>
      </c>
      <c r="B1352" s="138">
        <f>'Expenditures 15-22'!E196</f>
        <v>26687</v>
      </c>
      <c r="C1352" s="2" t="s">
        <v>593</v>
      </c>
      <c r="D1352" s="2" t="str">
        <f t="shared" si="20"/>
        <v>Error?</v>
      </c>
    </row>
    <row r="1353" spans="1:4" x14ac:dyDescent="0.2">
      <c r="A1353" s="5">
        <v>1292</v>
      </c>
      <c r="B1353" s="138">
        <f>'Expenditures 15-22'!E210</f>
        <v>38627</v>
      </c>
      <c r="C1353" s="2" t="s">
        <v>593</v>
      </c>
      <c r="D1353" s="2" t="str">
        <f t="shared" si="20"/>
        <v>Error?</v>
      </c>
    </row>
    <row r="1354" spans="1:4" x14ac:dyDescent="0.2">
      <c r="A1354" s="5">
        <v>1293</v>
      </c>
      <c r="B1354" s="138">
        <f>'Expenditures 15-22'!F182</f>
        <v>29876</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29876</v>
      </c>
      <c r="C1358" s="2" t="s">
        <v>593</v>
      </c>
      <c r="D1358" s="2" t="str">
        <f t="shared" si="20"/>
        <v>Error?</v>
      </c>
    </row>
    <row r="1359" spans="1:4" x14ac:dyDescent="0.2">
      <c r="A1359" s="5">
        <v>1298</v>
      </c>
      <c r="B1359" s="138">
        <f>'Expenditures 15-22'!F210</f>
        <v>29876</v>
      </c>
      <c r="C1359" s="2" t="s">
        <v>593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593</v>
      </c>
      <c r="D1364" s="2" t="str">
        <f t="shared" si="20"/>
        <v>Error?</v>
      </c>
    </row>
    <row r="1365" spans="1:4" x14ac:dyDescent="0.2">
      <c r="A1365" s="5">
        <v>1304</v>
      </c>
      <c r="B1365" s="138">
        <f>'Expenditures 15-22'!G210</f>
        <v>0</v>
      </c>
      <c r="C1365" s="2" t="s">
        <v>593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78074</v>
      </c>
      <c r="C1375" s="2" t="s">
        <v>593</v>
      </c>
      <c r="D1375" s="2" t="str">
        <f t="shared" si="20"/>
        <v>Error?</v>
      </c>
    </row>
    <row r="1376" spans="1:4" x14ac:dyDescent="0.2">
      <c r="A1376" s="5">
        <v>1315</v>
      </c>
      <c r="B1376" s="138">
        <f>'Expenditures 15-22'!H210</f>
        <v>78074</v>
      </c>
      <c r="C1376" s="2" t="s">
        <v>593</v>
      </c>
      <c r="D1376" s="2" t="str">
        <f t="shared" si="20"/>
        <v>Error?</v>
      </c>
    </row>
    <row r="1377" spans="1:4" x14ac:dyDescent="0.2">
      <c r="A1377" s="5">
        <v>1316</v>
      </c>
      <c r="B1377" s="138">
        <f>'Expenditures 15-22'!K182</f>
        <v>179449</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179449</v>
      </c>
      <c r="C1381" s="2" t="s">
        <v>593</v>
      </c>
      <c r="D1381" s="2" t="str">
        <f t="shared" si="20"/>
        <v>Error?</v>
      </c>
    </row>
    <row r="1382" spans="1:4" x14ac:dyDescent="0.2">
      <c r="A1382" s="5">
        <v>1321</v>
      </c>
      <c r="B1382" s="138">
        <f>'Expenditures 15-22'!K196</f>
        <v>26687</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78074</v>
      </c>
      <c r="C1387" s="2" t="s">
        <v>593</v>
      </c>
      <c r="D1387" s="2" t="str">
        <f t="shared" si="20"/>
        <v>Error?</v>
      </c>
    </row>
    <row r="1388" spans="1:4" x14ac:dyDescent="0.2">
      <c r="A1388" s="5">
        <v>1327</v>
      </c>
      <c r="B1388" s="138">
        <f>'Expenditures 15-22'!K210</f>
        <v>284210</v>
      </c>
      <c r="C1388" s="2" t="s">
        <v>593</v>
      </c>
      <c r="D1388" s="2" t="str">
        <f t="shared" si="20"/>
        <v>Error?</v>
      </c>
    </row>
    <row r="1389" spans="1:4" x14ac:dyDescent="0.2">
      <c r="A1389" s="5">
        <v>1328</v>
      </c>
      <c r="B1389" s="138">
        <f>'Expenditures 15-22'!K211</f>
        <v>2716</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1402</v>
      </c>
      <c r="D1407" s="2" t="str">
        <f t="shared" ref="D1407:D1470" si="21">IF(ISBLANK(B1407),"OK",IF(A1407-B1407=0,"OK","Error?"))</f>
        <v>Error?</v>
      </c>
    </row>
    <row r="1408" spans="1:4" x14ac:dyDescent="0.2">
      <c r="A1408" s="5">
        <v>1347</v>
      </c>
      <c r="B1408" s="138">
        <f>'Expenditures 15-22'!D223</f>
        <v>3704</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56408</v>
      </c>
      <c r="C1410" s="2" t="s">
        <v>593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736</v>
      </c>
      <c r="D1412" s="2" t="str">
        <f t="shared" si="21"/>
        <v>Error?</v>
      </c>
    </row>
    <row r="1413" spans="1:4" x14ac:dyDescent="0.2">
      <c r="A1413" s="5">
        <v>1352</v>
      </c>
      <c r="B1413" s="138">
        <f>'Expenditures 15-22'!D234</f>
        <v>7502</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8238</v>
      </c>
      <c r="C1417" s="2" t="s">
        <v>593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593</v>
      </c>
      <c r="D1421" s="2" t="str">
        <f t="shared" si="21"/>
        <v>Error?</v>
      </c>
    </row>
    <row r="1422" spans="1:4" x14ac:dyDescent="0.2">
      <c r="A1422" s="5">
        <v>1361</v>
      </c>
      <c r="B1422" s="138">
        <f>'Expenditures 15-22'!D245</f>
        <v>173</v>
      </c>
      <c r="D1422" s="2" t="str">
        <f t="shared" si="21"/>
        <v>Error?</v>
      </c>
    </row>
    <row r="1423" spans="1:4" x14ac:dyDescent="0.2">
      <c r="A1423" s="5">
        <v>1362</v>
      </c>
      <c r="B1423" s="138">
        <f>'Expenditures 15-22'!D246</f>
        <v>2278</v>
      </c>
      <c r="D1423" s="2" t="str">
        <f t="shared" si="21"/>
        <v>Error?</v>
      </c>
    </row>
    <row r="1424" spans="1:4" x14ac:dyDescent="0.2">
      <c r="A1424" s="5">
        <v>1363</v>
      </c>
      <c r="B1424" s="138">
        <f>'Expenditures 15-22'!D257</f>
        <v>2451</v>
      </c>
      <c r="C1424" s="2" t="s">
        <v>593</v>
      </c>
      <c r="D1424" s="2" t="str">
        <f t="shared" si="21"/>
        <v>Error?</v>
      </c>
    </row>
    <row r="1425" spans="1:4" x14ac:dyDescent="0.2">
      <c r="A1425" s="5">
        <v>1364</v>
      </c>
      <c r="B1425" s="138">
        <f>'Expenditures 15-22'!D259</f>
        <v>10228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10228</v>
      </c>
      <c r="C1427" s="2" t="s">
        <v>593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5907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26442</v>
      </c>
      <c r="D1431" s="2" t="str">
        <f t="shared" si="21"/>
        <v>Error?</v>
      </c>
    </row>
    <row r="1432" spans="1:4" x14ac:dyDescent="0.2">
      <c r="A1432" s="5">
        <v>1371</v>
      </c>
      <c r="B1432" s="138">
        <f>'Expenditures 15-22'!D267</f>
        <v>20670</v>
      </c>
      <c r="D1432" s="2" t="str">
        <f t="shared" si="21"/>
        <v>Error?</v>
      </c>
    </row>
    <row r="1433" spans="1:4" x14ac:dyDescent="0.2">
      <c r="A1433" s="5">
        <v>1372</v>
      </c>
      <c r="B1433" s="138">
        <f>'Expenditures 15-22'!D268</f>
        <v>8794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61813</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593</v>
      </c>
      <c r="D1444" s="2" t="str">
        <f t="shared" si="21"/>
        <v>Error?</v>
      </c>
    </row>
    <row r="1445" spans="1:4" x14ac:dyDescent="0.2">
      <c r="A1445" s="5">
        <v>1384</v>
      </c>
      <c r="B1445" s="138">
        <f>'Expenditures 15-22'!D278</f>
        <v>8164</v>
      </c>
      <c r="D1445" s="2" t="str">
        <f t="shared" si="21"/>
        <v>Error?</v>
      </c>
    </row>
    <row r="1446" spans="1:4" x14ac:dyDescent="0.2">
      <c r="A1446" s="5">
        <v>1385</v>
      </c>
      <c r="B1446" s="138">
        <f>'Expenditures 15-22'!D279</f>
        <v>90894</v>
      </c>
      <c r="C1446" s="2" t="s">
        <v>593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147302</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1402</v>
      </c>
      <c r="C1471" s="2" t="s">
        <v>593</v>
      </c>
      <c r="D1471" s="2" t="str">
        <f t="shared" ref="D1471:D1534" si="22">IF(ISBLANK(B1471),"OK",IF(A1471-B1471=0,"OK","Error?"))</f>
        <v>Error?</v>
      </c>
    </row>
    <row r="1472" spans="1:4" x14ac:dyDescent="0.2">
      <c r="A1472" s="5">
        <v>1411</v>
      </c>
      <c r="B1472" s="138">
        <f>'Expenditures 15-22'!K223</f>
        <v>3704</v>
      </c>
      <c r="C1472" s="2" t="s">
        <v>593</v>
      </c>
      <c r="D1472" s="2" t="str">
        <f t="shared" si="22"/>
        <v>Error?</v>
      </c>
    </row>
    <row r="1473" spans="1:4" x14ac:dyDescent="0.2">
      <c r="A1473" s="5">
        <v>1412</v>
      </c>
      <c r="B1473" s="138">
        <f>'Expenditures 15-22'!K224</f>
        <v>0</v>
      </c>
      <c r="C1473" s="2" t="s">
        <v>593</v>
      </c>
      <c r="D1473" s="2" t="str">
        <f t="shared" si="22"/>
        <v>Error?</v>
      </c>
    </row>
    <row r="1474" spans="1:4" x14ac:dyDescent="0.2">
      <c r="A1474" s="5">
        <v>1413</v>
      </c>
      <c r="B1474" s="138">
        <f>'Expenditures 15-22'!K229</f>
        <v>56408</v>
      </c>
      <c r="C1474" s="2" t="s">
        <v>593</v>
      </c>
      <c r="D1474" s="2" t="str">
        <f t="shared" si="22"/>
        <v>Error?</v>
      </c>
    </row>
    <row r="1475" spans="1:4" x14ac:dyDescent="0.2">
      <c r="A1475" s="5">
        <v>1414</v>
      </c>
      <c r="B1475" s="138">
        <f>'Expenditures 15-22'!K232</f>
        <v>0</v>
      </c>
      <c r="C1475" s="2" t="s">
        <v>593</v>
      </c>
      <c r="D1475" s="2" t="str">
        <f t="shared" si="22"/>
        <v>Error?</v>
      </c>
    </row>
    <row r="1476" spans="1:4" x14ac:dyDescent="0.2">
      <c r="A1476" s="5">
        <v>1415</v>
      </c>
      <c r="B1476" s="138">
        <f>'Expenditures 15-22'!K233</f>
        <v>736</v>
      </c>
      <c r="C1476" s="2" t="s">
        <v>593</v>
      </c>
      <c r="D1476" s="2" t="str">
        <f t="shared" si="22"/>
        <v>Error?</v>
      </c>
    </row>
    <row r="1477" spans="1:4" x14ac:dyDescent="0.2">
      <c r="A1477" s="5">
        <v>1416</v>
      </c>
      <c r="B1477" s="138">
        <f>'Expenditures 15-22'!K234</f>
        <v>7502</v>
      </c>
      <c r="C1477" s="2" t="s">
        <v>593</v>
      </c>
      <c r="D1477" s="2" t="str">
        <f t="shared" si="22"/>
        <v>Error?</v>
      </c>
    </row>
    <row r="1478" spans="1:4" x14ac:dyDescent="0.2">
      <c r="A1478" s="5">
        <v>1417</v>
      </c>
      <c r="B1478" s="138">
        <f>'Expenditures 15-22'!K235</f>
        <v>0</v>
      </c>
      <c r="C1478" s="2" t="s">
        <v>593</v>
      </c>
      <c r="D1478" s="2" t="str">
        <f t="shared" si="22"/>
        <v>Error?</v>
      </c>
    </row>
    <row r="1479" spans="1:4" x14ac:dyDescent="0.2">
      <c r="A1479" s="5">
        <v>1418</v>
      </c>
      <c r="B1479" s="138">
        <f>'Expenditures 15-22'!K236</f>
        <v>0</v>
      </c>
      <c r="C1479" s="2" t="s">
        <v>593</v>
      </c>
      <c r="D1479" s="2" t="str">
        <f t="shared" si="22"/>
        <v>Error?</v>
      </c>
    </row>
    <row r="1480" spans="1:4" x14ac:dyDescent="0.2">
      <c r="A1480" s="5">
        <v>1419</v>
      </c>
      <c r="B1480" s="138">
        <f>'Expenditures 15-22'!K237</f>
        <v>0</v>
      </c>
      <c r="C1480" s="2" t="s">
        <v>593</v>
      </c>
      <c r="D1480" s="2" t="str">
        <f t="shared" si="22"/>
        <v>Error?</v>
      </c>
    </row>
    <row r="1481" spans="1:4" x14ac:dyDescent="0.2">
      <c r="A1481" s="5">
        <v>1420</v>
      </c>
      <c r="B1481" s="138">
        <f>'Expenditures 15-22'!K238</f>
        <v>8238</v>
      </c>
      <c r="C1481" s="2" t="s">
        <v>593</v>
      </c>
      <c r="D1481" s="2" t="str">
        <f t="shared" si="22"/>
        <v>Error?</v>
      </c>
    </row>
    <row r="1482" spans="1:4" x14ac:dyDescent="0.2">
      <c r="A1482" s="5">
        <v>1421</v>
      </c>
      <c r="B1482" s="138">
        <f>'Expenditures 15-22'!K240</f>
        <v>0</v>
      </c>
      <c r="C1482" s="2" t="s">
        <v>593</v>
      </c>
      <c r="D1482" s="2" t="str">
        <f t="shared" si="22"/>
        <v>Error?</v>
      </c>
    </row>
    <row r="1483" spans="1:4" x14ac:dyDescent="0.2">
      <c r="A1483" s="5">
        <v>1422</v>
      </c>
      <c r="B1483" s="138">
        <f>'Expenditures 15-22'!K241</f>
        <v>0</v>
      </c>
      <c r="C1483" s="2" t="s">
        <v>593</v>
      </c>
      <c r="D1483" s="2" t="str">
        <f t="shared" si="22"/>
        <v>Error?</v>
      </c>
    </row>
    <row r="1484" spans="1:4" x14ac:dyDescent="0.2">
      <c r="A1484" s="5">
        <v>1423</v>
      </c>
      <c r="B1484" s="138">
        <f>'Expenditures 15-22'!K242</f>
        <v>0</v>
      </c>
      <c r="C1484" s="2" t="s">
        <v>593</v>
      </c>
      <c r="D1484" s="2" t="str">
        <f t="shared" si="22"/>
        <v>Error?</v>
      </c>
    </row>
    <row r="1485" spans="1:4" x14ac:dyDescent="0.2">
      <c r="A1485" s="5">
        <v>1424</v>
      </c>
      <c r="B1485" s="138">
        <f>'Expenditures 15-22'!K243</f>
        <v>0</v>
      </c>
      <c r="C1485" s="2" t="s">
        <v>593</v>
      </c>
      <c r="D1485" s="2" t="str">
        <f t="shared" si="22"/>
        <v>Error?</v>
      </c>
    </row>
    <row r="1486" spans="1:4" x14ac:dyDescent="0.2">
      <c r="A1486" s="5">
        <v>1425</v>
      </c>
      <c r="B1486" s="138">
        <f>'Expenditures 15-22'!K245</f>
        <v>173</v>
      </c>
      <c r="C1486" s="2" t="s">
        <v>593</v>
      </c>
      <c r="D1486" s="2" t="str">
        <f t="shared" si="22"/>
        <v>Error?</v>
      </c>
    </row>
    <row r="1487" spans="1:4" x14ac:dyDescent="0.2">
      <c r="A1487" s="5">
        <v>1426</v>
      </c>
      <c r="B1487" s="138">
        <f>'Expenditures 15-22'!K246</f>
        <v>2278</v>
      </c>
      <c r="C1487" s="2" t="s">
        <v>593</v>
      </c>
      <c r="D1487" s="2" t="str">
        <f t="shared" si="22"/>
        <v>Error?</v>
      </c>
    </row>
    <row r="1488" spans="1:4" x14ac:dyDescent="0.2">
      <c r="A1488" s="5">
        <v>1427</v>
      </c>
      <c r="B1488" s="138">
        <f>'Expenditures 15-22'!K257</f>
        <v>2451</v>
      </c>
      <c r="C1488" s="2" t="s">
        <v>593</v>
      </c>
      <c r="D1488" s="2" t="str">
        <f t="shared" si="22"/>
        <v>Error?</v>
      </c>
    </row>
    <row r="1489" spans="1:4" x14ac:dyDescent="0.2">
      <c r="A1489" s="5">
        <v>1428</v>
      </c>
      <c r="B1489" s="138">
        <f>'Expenditures 15-22'!K259</f>
        <v>10228</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10228</v>
      </c>
      <c r="C1491" s="2" t="s">
        <v>593</v>
      </c>
      <c r="D1491" s="2" t="str">
        <f t="shared" si="22"/>
        <v>Error?</v>
      </c>
    </row>
    <row r="1492" spans="1:4" x14ac:dyDescent="0.2">
      <c r="A1492" s="5">
        <v>1431</v>
      </c>
      <c r="B1492" s="138">
        <f>'Expenditures 15-22'!K263</f>
        <v>0</v>
      </c>
      <c r="C1492" s="2" t="s">
        <v>593</v>
      </c>
      <c r="D1492" s="2" t="str">
        <f t="shared" si="22"/>
        <v>Error?</v>
      </c>
    </row>
    <row r="1493" spans="1:4" x14ac:dyDescent="0.2">
      <c r="A1493" s="5">
        <v>1432</v>
      </c>
      <c r="B1493" s="138">
        <f>'Expenditures 15-22'!K264</f>
        <v>5907</v>
      </c>
      <c r="C1493" s="2" t="s">
        <v>593</v>
      </c>
      <c r="D1493" s="2" t="str">
        <f t="shared" si="22"/>
        <v>Error?</v>
      </c>
    </row>
    <row r="1494" spans="1:4" x14ac:dyDescent="0.2">
      <c r="A1494" s="5">
        <v>1433</v>
      </c>
      <c r="B1494" s="138">
        <f>'Expenditures 15-22'!K265</f>
        <v>0</v>
      </c>
      <c r="C1494" s="2" t="s">
        <v>593</v>
      </c>
      <c r="D1494" s="2" t="str">
        <f t="shared" si="22"/>
        <v>Error?</v>
      </c>
    </row>
    <row r="1495" spans="1:4" x14ac:dyDescent="0.2">
      <c r="A1495" s="5">
        <v>1434</v>
      </c>
      <c r="B1495" s="138">
        <f>'Expenditures 15-22'!K266</f>
        <v>26442</v>
      </c>
      <c r="C1495" s="2" t="s">
        <v>593</v>
      </c>
      <c r="D1495" s="2" t="str">
        <f t="shared" si="22"/>
        <v>Error?</v>
      </c>
    </row>
    <row r="1496" spans="1:4" x14ac:dyDescent="0.2">
      <c r="A1496" s="5">
        <v>1435</v>
      </c>
      <c r="B1496" s="138">
        <f>'Expenditures 15-22'!K267</f>
        <v>20670</v>
      </c>
      <c r="C1496" s="2" t="s">
        <v>593</v>
      </c>
      <c r="D1496" s="2" t="str">
        <f t="shared" si="22"/>
        <v>Error?</v>
      </c>
    </row>
    <row r="1497" spans="1:4" x14ac:dyDescent="0.2">
      <c r="A1497" s="5">
        <v>1436</v>
      </c>
      <c r="B1497" s="138">
        <f>'Expenditures 15-22'!K268</f>
        <v>8794</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61813</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0</v>
      </c>
      <c r="C1506" s="2" t="s">
        <v>593</v>
      </c>
      <c r="D1506" s="2" t="str">
        <f t="shared" si="22"/>
        <v>Error?</v>
      </c>
    </row>
    <row r="1507" spans="1:4" x14ac:dyDescent="0.2">
      <c r="A1507" s="10">
        <v>1446</v>
      </c>
      <c r="D1507" s="2" t="str">
        <f t="shared" si="22"/>
        <v>OK</v>
      </c>
    </row>
    <row r="1508" spans="1:4" x14ac:dyDescent="0.2">
      <c r="A1508" s="5">
        <v>1447</v>
      </c>
      <c r="B1508" s="138">
        <f>'Expenditures 15-22'!K277</f>
        <v>0</v>
      </c>
      <c r="C1508" s="2" t="s">
        <v>593</v>
      </c>
      <c r="D1508" s="2" t="str">
        <f t="shared" si="22"/>
        <v>Error?</v>
      </c>
    </row>
    <row r="1509" spans="1:4" x14ac:dyDescent="0.2">
      <c r="A1509" s="5">
        <v>1448</v>
      </c>
      <c r="B1509" s="138">
        <f>'Expenditures 15-22'!K278</f>
        <v>8164</v>
      </c>
      <c r="C1509" s="2" t="s">
        <v>593</v>
      </c>
      <c r="D1509" s="2" t="str">
        <f t="shared" si="22"/>
        <v>Error?</v>
      </c>
    </row>
    <row r="1510" spans="1:4" x14ac:dyDescent="0.2">
      <c r="A1510" s="5">
        <v>1449</v>
      </c>
      <c r="B1510" s="138">
        <f>'Expenditures 15-22'!K279</f>
        <v>90894</v>
      </c>
      <c r="C1510" s="2" t="s">
        <v>593</v>
      </c>
      <c r="D1510" s="2" t="str">
        <f t="shared" si="22"/>
        <v>Error?</v>
      </c>
    </row>
    <row r="1511" spans="1:4" x14ac:dyDescent="0.2">
      <c r="A1511" s="5">
        <v>1450</v>
      </c>
      <c r="B1511" s="138">
        <f>'Expenditures 15-22'!K280</f>
        <v>0</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147302</v>
      </c>
      <c r="C1517" s="2" t="s">
        <v>593</v>
      </c>
      <c r="D1517" s="2" t="str">
        <f t="shared" si="22"/>
        <v>Error?</v>
      </c>
    </row>
    <row r="1518" spans="1:4" x14ac:dyDescent="0.2">
      <c r="A1518" s="5">
        <v>1457</v>
      </c>
      <c r="B1518" s="138">
        <f>'Expenditures 15-22'!K296</f>
        <v>16972</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593</v>
      </c>
      <c r="D1535" s="2" t="str">
        <f t="shared" ref="D1535:D1598" si="23">IF(ISBLANK(B1535),"OK",IF(A1535-B1535=0,"OK","Error?"))</f>
        <v>Error?</v>
      </c>
    </row>
    <row r="1536" spans="1:4" x14ac:dyDescent="0.2">
      <c r="A1536" s="5">
        <v>1475</v>
      </c>
      <c r="B1536" s="138">
        <f>'Expenditures 15-22'!E312</f>
        <v>0</v>
      </c>
      <c r="C1536" s="2" t="s">
        <v>593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593</v>
      </c>
      <c r="D1541" s="2" t="str">
        <f t="shared" si="23"/>
        <v>Error?</v>
      </c>
    </row>
    <row r="1542" spans="1:4" x14ac:dyDescent="0.2">
      <c r="A1542" s="5">
        <v>1481</v>
      </c>
      <c r="B1542" s="138">
        <f>'Expenditures 15-22'!F312</f>
        <v>0</v>
      </c>
      <c r="C1542" s="2" t="s">
        <v>593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593</v>
      </c>
      <c r="D1547" s="2" t="str">
        <f t="shared" si="23"/>
        <v>Error?</v>
      </c>
    </row>
    <row r="1548" spans="1:4" x14ac:dyDescent="0.2">
      <c r="A1548" s="5">
        <v>1487</v>
      </c>
      <c r="B1548" s="138">
        <f>'Expenditures 15-22'!G312</f>
        <v>0</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0</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0</v>
      </c>
      <c r="C1559" s="2" t="s">
        <v>593</v>
      </c>
      <c r="D1559" s="2" t="str">
        <f t="shared" si="23"/>
        <v>Error?</v>
      </c>
    </row>
    <row r="1560" spans="1:4" x14ac:dyDescent="0.2">
      <c r="A1560" s="5">
        <v>1499</v>
      </c>
      <c r="B1560" s="138">
        <f>'Expenditures 15-22'!K312</f>
        <v>0</v>
      </c>
      <c r="C1560" s="2" t="s">
        <v>593</v>
      </c>
      <c r="D1560" s="2" t="str">
        <f t="shared" si="23"/>
        <v>Error?</v>
      </c>
    </row>
    <row r="1561" spans="1:4" x14ac:dyDescent="0.2">
      <c r="A1561" s="5">
        <v>1500</v>
      </c>
      <c r="B1561" s="138">
        <f>'Expenditures 15-22'!K313</f>
        <v>0</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766182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878323</v>
      </c>
      <c r="C1630" s="2" t="s">
        <v>593</v>
      </c>
      <c r="D1630" s="2" t="str">
        <f t="shared" si="24"/>
        <v>Error?</v>
      </c>
    </row>
    <row r="1631" spans="1:4" x14ac:dyDescent="0.2">
      <c r="A1631" s="5">
        <v>1570</v>
      </c>
      <c r="B1631" s="138">
        <f>'Acct Summary 7-8'!D79</f>
        <v>1221521</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622039</v>
      </c>
      <c r="C1644" s="2" t="s">
        <v>593</v>
      </c>
      <c r="D1644" s="2" t="str">
        <f t="shared" si="24"/>
        <v>Error?</v>
      </c>
    </row>
    <row r="1645" spans="1:4" x14ac:dyDescent="0.2">
      <c r="A1645" s="5">
        <v>1584</v>
      </c>
      <c r="B1645" s="138">
        <f>'Acct Summary 7-8'!E79</f>
        <v>44851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45518</v>
      </c>
      <c r="C1658" s="2" t="s">
        <v>593</v>
      </c>
      <c r="D1658" s="2" t="str">
        <f t="shared" si="24"/>
        <v>Error?</v>
      </c>
    </row>
    <row r="1659" spans="1:4" x14ac:dyDescent="0.2">
      <c r="A1659" s="5">
        <v>1598</v>
      </c>
      <c r="B1659" s="138">
        <f>'Acct Summary 7-8'!F79</f>
        <v>61251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67022</v>
      </c>
      <c r="C1672" s="2" t="s">
        <v>593</v>
      </c>
      <c r="D1672" s="2" t="str">
        <f t="shared" si="25"/>
        <v>Error?</v>
      </c>
    </row>
    <row r="1673" spans="1:4" x14ac:dyDescent="0.2">
      <c r="A1673" s="5">
        <v>1612</v>
      </c>
      <c r="B1673" s="138">
        <f>'Acct Summary 7-8'!G79</f>
        <v>43038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60010</v>
      </c>
      <c r="C1686" s="2" t="s">
        <v>593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1380316</v>
      </c>
      <c r="C1744" s="2" t="s">
        <v>593</v>
      </c>
      <c r="D1744" s="2" t="str">
        <f t="shared" si="26"/>
        <v>Error?</v>
      </c>
    </row>
    <row r="1745" spans="1:5" x14ac:dyDescent="0.2">
      <c r="A1745" s="5">
        <v>1684</v>
      </c>
      <c r="B1745" s="138">
        <f>'Tax Sched 23'!B5</f>
        <v>292794</v>
      </c>
      <c r="C1745" s="2" t="s">
        <v>593</v>
      </c>
      <c r="D1745" s="2" t="str">
        <f t="shared" si="26"/>
        <v>Error?</v>
      </c>
    </row>
    <row r="1746" spans="1:5" x14ac:dyDescent="0.2">
      <c r="A1746" s="5">
        <v>1685</v>
      </c>
      <c r="B1746" s="138">
        <f>'Tax Sched 23'!B6</f>
        <v>151314</v>
      </c>
      <c r="C1746" s="2" t="s">
        <v>593</v>
      </c>
      <c r="D1746" s="2" t="str">
        <f t="shared" si="26"/>
        <v>Error?</v>
      </c>
    </row>
    <row r="1747" spans="1:5" x14ac:dyDescent="0.2">
      <c r="A1747" s="5">
        <v>1686</v>
      </c>
      <c r="B1747" s="138">
        <f>'Tax Sched 23'!B7</f>
        <v>83654</v>
      </c>
      <c r="C1747" s="2" t="s">
        <v>593</v>
      </c>
      <c r="D1747" s="2" t="str">
        <f t="shared" si="26"/>
        <v>Error?</v>
      </c>
    </row>
    <row r="1748" spans="1:5" x14ac:dyDescent="0.2">
      <c r="A1748" s="5">
        <v>1687</v>
      </c>
      <c r="B1748" s="138">
        <f>'Tax Sched 23'!B8</f>
        <v>69686</v>
      </c>
      <c r="C1748" s="2" t="s">
        <v>593</v>
      </c>
      <c r="D1748" s="2" t="str">
        <f t="shared" si="26"/>
        <v>Error?</v>
      </c>
    </row>
    <row r="1749" spans="1:5" x14ac:dyDescent="0.2">
      <c r="A1749" s="5">
        <v>1688</v>
      </c>
      <c r="B1749" s="138">
        <f>'Tax Sched 23'!B10</f>
        <v>20909</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245895</v>
      </c>
      <c r="C1752" s="2" t="s">
        <v>593</v>
      </c>
      <c r="D1752" s="2" t="str">
        <f t="shared" si="26"/>
        <v>Error?</v>
      </c>
    </row>
    <row r="1753" spans="1:5" x14ac:dyDescent="0.2">
      <c r="A1753" s="5">
        <v>1692</v>
      </c>
      <c r="B1753" s="138">
        <f>'Tax Sched 23'!B12</f>
        <v>20909</v>
      </c>
      <c r="C1753" s="2" t="s">
        <v>593</v>
      </c>
      <c r="D1753" s="2" t="str">
        <f t="shared" si="26"/>
        <v>Error?</v>
      </c>
    </row>
    <row r="1754" spans="1:5" x14ac:dyDescent="0.2">
      <c r="A1754" s="5">
        <v>1693</v>
      </c>
      <c r="B1754" s="138">
        <f>'Tax Sched 23'!B14</f>
        <v>16727</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2392713</v>
      </c>
      <c r="C1759" s="2" t="s">
        <v>593</v>
      </c>
      <c r="D1759" s="2" t="str">
        <f t="shared" si="26"/>
        <v>Error?</v>
      </c>
    </row>
    <row r="1760" spans="1:5" x14ac:dyDescent="0.2">
      <c r="A1760" s="5">
        <v>1699</v>
      </c>
      <c r="B1760" s="138">
        <f>'Tax Sched 23'!D4</f>
        <v>1380316</v>
      </c>
      <c r="C1760" s="2" t="s">
        <v>593</v>
      </c>
      <c r="D1760" s="2" t="str">
        <f t="shared" si="26"/>
        <v>Error?</v>
      </c>
    </row>
    <row r="1761" spans="1:5" x14ac:dyDescent="0.2">
      <c r="A1761" s="5">
        <v>1700</v>
      </c>
      <c r="B1761" s="138">
        <f>'Tax Sched 23'!D5</f>
        <v>292794</v>
      </c>
      <c r="C1761" s="2" t="s">
        <v>593</v>
      </c>
      <c r="D1761" s="2" t="str">
        <f t="shared" si="26"/>
        <v>Error?</v>
      </c>
    </row>
    <row r="1762" spans="1:5" s="8" customFormat="1" x14ac:dyDescent="0.2">
      <c r="A1762" s="5">
        <v>1701</v>
      </c>
      <c r="B1762" s="138">
        <f>'Tax Sched 23'!D6</f>
        <v>151314</v>
      </c>
      <c r="C1762" s="2" t="s">
        <v>593</v>
      </c>
      <c r="D1762" s="2" t="str">
        <f t="shared" si="26"/>
        <v>Error?</v>
      </c>
      <c r="E1762" s="9"/>
    </row>
    <row r="1763" spans="1:5" x14ac:dyDescent="0.2">
      <c r="A1763" s="5">
        <v>1702</v>
      </c>
      <c r="B1763" s="138">
        <f>'Tax Sched 23'!D7</f>
        <v>83654</v>
      </c>
      <c r="C1763" s="2" t="s">
        <v>593</v>
      </c>
      <c r="D1763" s="2" t="str">
        <f t="shared" si="26"/>
        <v>Error?</v>
      </c>
    </row>
    <row r="1764" spans="1:5" x14ac:dyDescent="0.2">
      <c r="A1764" s="5">
        <v>1703</v>
      </c>
      <c r="B1764" s="138">
        <f>'Tax Sched 23'!D8</f>
        <v>69686</v>
      </c>
      <c r="C1764" s="2" t="s">
        <v>593</v>
      </c>
      <c r="D1764" s="2" t="str">
        <f t="shared" si="26"/>
        <v>Error?</v>
      </c>
    </row>
    <row r="1765" spans="1:5" x14ac:dyDescent="0.2">
      <c r="A1765" s="5">
        <v>1704</v>
      </c>
      <c r="B1765" s="138">
        <f>'Tax Sched 23'!D10</f>
        <v>20909</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245895</v>
      </c>
      <c r="C1768" s="2" t="s">
        <v>593</v>
      </c>
      <c r="D1768" s="2" t="str">
        <f t="shared" si="26"/>
        <v>Error?</v>
      </c>
    </row>
    <row r="1769" spans="1:5" x14ac:dyDescent="0.2">
      <c r="A1769" s="5">
        <v>1708</v>
      </c>
      <c r="B1769" s="138">
        <f>'Tax Sched 23'!D12</f>
        <v>20909</v>
      </c>
      <c r="C1769" s="2" t="s">
        <v>593</v>
      </c>
      <c r="D1769" s="2" t="str">
        <f t="shared" si="26"/>
        <v>Error?</v>
      </c>
    </row>
    <row r="1770" spans="1:5" x14ac:dyDescent="0.2">
      <c r="A1770" s="5">
        <v>1709</v>
      </c>
      <c r="B1770" s="138">
        <f>'Tax Sched 23'!D14</f>
        <v>16727</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2392713</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1425001.2100845</v>
      </c>
      <c r="C1792" s="2" t="s">
        <v>593</v>
      </c>
      <c r="D1792" s="2" t="str">
        <f t="shared" si="27"/>
        <v>Error?</v>
      </c>
    </row>
    <row r="1793" spans="1:4" x14ac:dyDescent="0.2">
      <c r="A1793" s="5">
        <v>1732</v>
      </c>
      <c r="B1793" s="138">
        <f>'Tax Sched 23'!F5</f>
        <v>300003.77164649998</v>
      </c>
      <c r="C1793" s="2" t="s">
        <v>593</v>
      </c>
      <c r="D1793" s="2" t="str">
        <f t="shared" si="27"/>
        <v>Error?</v>
      </c>
    </row>
    <row r="1794" spans="1:4" x14ac:dyDescent="0.2">
      <c r="A1794" s="5">
        <v>1733</v>
      </c>
      <c r="B1794" s="138">
        <f>'Tax Sched 23'!F6</f>
        <v>150004.11318810002</v>
      </c>
      <c r="C1794" s="2" t="s">
        <v>593</v>
      </c>
      <c r="D1794" s="2" t="str">
        <f t="shared" si="27"/>
        <v>Error?</v>
      </c>
    </row>
    <row r="1795" spans="1:4" x14ac:dyDescent="0.2">
      <c r="A1795" s="5">
        <v>1734</v>
      </c>
      <c r="B1795" s="138">
        <f>'Tax Sched 23'!F7</f>
        <v>85000.697405700004</v>
      </c>
      <c r="C1795" s="2" t="s">
        <v>593</v>
      </c>
      <c r="D1795" s="2" t="str">
        <f t="shared" si="27"/>
        <v>Error?</v>
      </c>
    </row>
    <row r="1796" spans="1:4" x14ac:dyDescent="0.2">
      <c r="A1796" s="5">
        <v>1735</v>
      </c>
      <c r="B1796" s="138">
        <f>'Tax Sched 23'!F8</f>
        <v>70001.622505799998</v>
      </c>
      <c r="C1796" s="2" t="s">
        <v>593</v>
      </c>
      <c r="D1796" s="2" t="str">
        <f t="shared" si="27"/>
        <v>Error?</v>
      </c>
    </row>
    <row r="1797" spans="1:4" x14ac:dyDescent="0.2">
      <c r="A1797" s="5">
        <v>1736</v>
      </c>
      <c r="B1797" s="138">
        <f>'Tax Sched 23'!F10</f>
        <v>21004.050535500002</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313002.67291110003</v>
      </c>
      <c r="C1800" s="2" t="s">
        <v>593</v>
      </c>
      <c r="D1800" s="2" t="str">
        <f t="shared" si="27"/>
        <v>Error?</v>
      </c>
    </row>
    <row r="1801" spans="1:4" x14ac:dyDescent="0.2">
      <c r="A1801" s="5">
        <v>1740</v>
      </c>
      <c r="B1801" s="138">
        <f>'Tax Sched 23'!F12</f>
        <v>21004.050535500002</v>
      </c>
      <c r="C1801" s="2" t="s">
        <v>593</v>
      </c>
      <c r="D1801" s="2" t="str">
        <f t="shared" si="27"/>
        <v>Error?</v>
      </c>
    </row>
    <row r="1802" spans="1:4" x14ac:dyDescent="0.2">
      <c r="A1802" s="5">
        <v>1741</v>
      </c>
      <c r="B1802" s="138">
        <f>'Tax Sched 23'!F14</f>
        <v>17003.703264899999</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2513033.3014719002</v>
      </c>
      <c r="C1807" s="2" t="s">
        <v>593</v>
      </c>
      <c r="D1807" s="2" t="str">
        <f t="shared" si="27"/>
        <v>Error?</v>
      </c>
    </row>
    <row r="1808" spans="1:4" x14ac:dyDescent="0.2">
      <c r="A1808" s="5">
        <v>1747</v>
      </c>
      <c r="B1808" s="138">
        <f>'Tax Sched 23'!E4</f>
        <v>1425001.2100845</v>
      </c>
      <c r="D1808" s="2" t="str">
        <f t="shared" si="27"/>
        <v>Error?</v>
      </c>
    </row>
    <row r="1809" spans="1:4" x14ac:dyDescent="0.2">
      <c r="A1809" s="5">
        <v>1748</v>
      </c>
      <c r="B1809" s="138">
        <f>'Tax Sched 23'!E5</f>
        <v>300003.77164649998</v>
      </c>
      <c r="D1809" s="2" t="str">
        <f t="shared" si="27"/>
        <v>Error?</v>
      </c>
    </row>
    <row r="1810" spans="1:4" x14ac:dyDescent="0.2">
      <c r="A1810" s="5">
        <v>1749</v>
      </c>
      <c r="B1810" s="138">
        <f>'Tax Sched 23'!E6</f>
        <v>150004.11318810002</v>
      </c>
      <c r="D1810" s="2" t="str">
        <f t="shared" si="27"/>
        <v>Error?</v>
      </c>
    </row>
    <row r="1811" spans="1:4" x14ac:dyDescent="0.2">
      <c r="A1811" s="5">
        <v>1750</v>
      </c>
      <c r="B1811" s="138">
        <f>'Tax Sched 23'!E7</f>
        <v>85000.697405700004</v>
      </c>
      <c r="D1811" s="2" t="str">
        <f t="shared" si="27"/>
        <v>Error?</v>
      </c>
    </row>
    <row r="1812" spans="1:4" x14ac:dyDescent="0.2">
      <c r="A1812" s="5">
        <v>1751</v>
      </c>
      <c r="B1812" s="138">
        <f>'Tax Sched 23'!E8</f>
        <v>70001.622505799998</v>
      </c>
      <c r="D1812" s="2" t="str">
        <f t="shared" si="27"/>
        <v>Error?</v>
      </c>
    </row>
    <row r="1813" spans="1:4" x14ac:dyDescent="0.2">
      <c r="A1813" s="5">
        <v>1752</v>
      </c>
      <c r="B1813" s="138">
        <f>'Tax Sched 23'!E10</f>
        <v>21004.050535500002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313002.67291110003</v>
      </c>
      <c r="D1816" s="2" t="str">
        <f t="shared" si="27"/>
        <v>Error?</v>
      </c>
    </row>
    <row r="1817" spans="1:4" x14ac:dyDescent="0.2">
      <c r="A1817" s="5">
        <v>1756</v>
      </c>
      <c r="B1817" s="138">
        <f>'Tax Sched 23'!E12</f>
        <v>21004.050535500002</v>
      </c>
      <c r="D1817" s="2" t="str">
        <f t="shared" si="27"/>
        <v>Error?</v>
      </c>
    </row>
    <row r="1818" spans="1:4" x14ac:dyDescent="0.2">
      <c r="A1818" s="5">
        <v>1757</v>
      </c>
      <c r="B1818" s="138">
        <f>'Tax Sched 23'!E14</f>
        <v>17003.703264899999</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2513033.3014719002</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919741</v>
      </c>
      <c r="C1939" s="2" t="s">
        <v>593</v>
      </c>
      <c r="D1939" s="2" t="str">
        <f t="shared" si="29"/>
        <v>Error?</v>
      </c>
    </row>
    <row r="1940" spans="1:5" x14ac:dyDescent="0.2">
      <c r="A1940" s="5">
        <v>1879</v>
      </c>
      <c r="B1940" s="138">
        <f>'Short-Term Long-Term Debt 24'!F49</f>
        <v>83432</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16727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16727</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16727</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48291</v>
      </c>
      <c r="D2008" s="2" t="str">
        <f t="shared" si="30"/>
        <v>Error?</v>
      </c>
    </row>
    <row r="2009" spans="1:4" x14ac:dyDescent="0.2">
      <c r="A2009" s="5">
        <v>1948</v>
      </c>
      <c r="B2009" s="138">
        <f>'Cap Outlay Deprec 26'!C8</f>
        <v>3697904</v>
      </c>
      <c r="D2009" s="2" t="str">
        <f t="shared" si="30"/>
        <v>Error?</v>
      </c>
    </row>
    <row r="2010" spans="1:4" x14ac:dyDescent="0.2">
      <c r="A2010" s="5">
        <v>1949</v>
      </c>
      <c r="B2010" s="138">
        <f>'Cap Outlay Deprec 26'!C10</f>
        <v>222421</v>
      </c>
      <c r="D2010" s="2" t="str">
        <f t="shared" si="30"/>
        <v>Error?</v>
      </c>
    </row>
    <row r="2011" spans="1:4" x14ac:dyDescent="0.2">
      <c r="A2011" s="5">
        <v>1950</v>
      </c>
      <c r="B2011" s="138">
        <f>'Cap Outlay Deprec 26'!C12</f>
        <v>844476</v>
      </c>
      <c r="D2011" s="2" t="str">
        <f t="shared" si="30"/>
        <v>Error?</v>
      </c>
    </row>
    <row r="2012" spans="1:4" x14ac:dyDescent="0.2">
      <c r="A2012" s="5">
        <v>1951</v>
      </c>
      <c r="B2012" s="138">
        <f>'Cap Outlay Deprec 26'!C13</f>
        <v>564778</v>
      </c>
      <c r="D2012" s="2" t="str">
        <f t="shared" si="30"/>
        <v>Error?</v>
      </c>
    </row>
    <row r="2013" spans="1:4" x14ac:dyDescent="0.2">
      <c r="A2013" s="5">
        <v>1952</v>
      </c>
      <c r="B2013" s="138">
        <f>'Cap Outlay Deprec 26'!C16</f>
        <v>5377870</v>
      </c>
      <c r="C2013" s="2" t="s">
        <v>593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29919</v>
      </c>
      <c r="D2015" s="2" t="str">
        <f t="shared" si="30"/>
        <v>Error?</v>
      </c>
    </row>
    <row r="2016" spans="1:4" x14ac:dyDescent="0.2">
      <c r="A2016" s="5">
        <v>1955</v>
      </c>
      <c r="B2016" s="138">
        <f>'Cap Outlay Deprec 26'!D10</f>
        <v>10000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1024</v>
      </c>
      <c r="D2018" s="2" t="str">
        <f t="shared" si="30"/>
        <v>Error?</v>
      </c>
    </row>
    <row r="2019" spans="1:4" x14ac:dyDescent="0.2">
      <c r="A2019" s="5">
        <v>1958</v>
      </c>
      <c r="B2019" s="138">
        <f>'Cap Outlay Deprec 26'!D16</f>
        <v>40943</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593</v>
      </c>
      <c r="D2025" s="2" t="str">
        <f t="shared" si="30"/>
        <v>Error?</v>
      </c>
    </row>
    <row r="2026" spans="1:4" x14ac:dyDescent="0.2">
      <c r="A2026" s="5">
        <v>1965</v>
      </c>
      <c r="B2026" s="138">
        <f>'Cap Outlay Deprec 26'!F5</f>
        <v>48291</v>
      </c>
      <c r="C2026" s="2" t="s">
        <v>593</v>
      </c>
      <c r="D2026" s="2" t="str">
        <f t="shared" si="30"/>
        <v>Error?</v>
      </c>
    </row>
    <row r="2027" spans="1:4" x14ac:dyDescent="0.2">
      <c r="A2027" s="5">
        <v>1966</v>
      </c>
      <c r="B2027" s="138">
        <f>'Cap Outlay Deprec 26'!F8</f>
        <v>3727823</v>
      </c>
      <c r="C2027" s="2" t="s">
        <v>593</v>
      </c>
      <c r="D2027" s="2" t="str">
        <f t="shared" si="30"/>
        <v>Error?</v>
      </c>
    </row>
    <row r="2028" spans="1:4" x14ac:dyDescent="0.2">
      <c r="A2028" s="5">
        <v>1967</v>
      </c>
      <c r="B2028" s="138">
        <f>'Cap Outlay Deprec 26'!F10</f>
        <v>232421</v>
      </c>
      <c r="C2028" s="2" t="s">
        <v>593</v>
      </c>
      <c r="D2028" s="2" t="str">
        <f t="shared" si="30"/>
        <v>Error?</v>
      </c>
    </row>
    <row r="2029" spans="1:4" x14ac:dyDescent="0.2">
      <c r="A2029" s="5">
        <v>1968</v>
      </c>
      <c r="B2029" s="138">
        <f>'Cap Outlay Deprec 26'!F12</f>
        <v>844476</v>
      </c>
      <c r="C2029" s="2" t="s">
        <v>593</v>
      </c>
      <c r="D2029" s="2" t="str">
        <f t="shared" si="30"/>
        <v>Error?</v>
      </c>
    </row>
    <row r="2030" spans="1:4" x14ac:dyDescent="0.2">
      <c r="A2030" s="5">
        <v>1969</v>
      </c>
      <c r="B2030" s="138">
        <f>'Cap Outlay Deprec 26'!F13</f>
        <v>565802</v>
      </c>
      <c r="C2030" s="2" t="s">
        <v>593</v>
      </c>
      <c r="D2030" s="2" t="str">
        <f t="shared" si="30"/>
        <v>Error?</v>
      </c>
    </row>
    <row r="2031" spans="1:4" x14ac:dyDescent="0.2">
      <c r="A2031" s="5">
        <v>1970</v>
      </c>
      <c r="B2031" s="138">
        <f>'Cap Outlay Deprec 26'!F16</f>
        <v>5418813</v>
      </c>
      <c r="C2031" s="2" t="s">
        <v>593</v>
      </c>
      <c r="D2031" s="2" t="str">
        <f t="shared" si="30"/>
        <v>Error?</v>
      </c>
    </row>
    <row r="2032" spans="1:4" x14ac:dyDescent="0.2">
      <c r="A2032" s="10">
        <v>1971</v>
      </c>
      <c r="D2032" s="2" t="str">
        <f t="shared" si="30"/>
        <v>OK</v>
      </c>
    </row>
    <row r="2033" spans="1:4" x14ac:dyDescent="0.2">
      <c r="A2033" s="5">
        <v>1972</v>
      </c>
      <c r="B2033" s="138">
        <f>'Cap Outlay Deprec 26'!H8</f>
        <v>1893386</v>
      </c>
      <c r="D2033" s="2" t="str">
        <f t="shared" si="30"/>
        <v>Error?</v>
      </c>
    </row>
    <row r="2034" spans="1:4" x14ac:dyDescent="0.2">
      <c r="A2034" s="5">
        <v>1973</v>
      </c>
      <c r="B2034" s="138">
        <f>'Cap Outlay Deprec 26'!H10</f>
        <v>117817</v>
      </c>
      <c r="D2034" s="2" t="str">
        <f t="shared" si="30"/>
        <v>Error?</v>
      </c>
    </row>
    <row r="2035" spans="1:4" x14ac:dyDescent="0.2">
      <c r="A2035" s="5">
        <v>1974</v>
      </c>
      <c r="B2035" s="138">
        <f>'Cap Outlay Deprec 26'!H12</f>
        <v>420313</v>
      </c>
      <c r="D2035" s="2" t="str">
        <f t="shared" si="30"/>
        <v>Error?</v>
      </c>
    </row>
    <row r="2036" spans="1:4" x14ac:dyDescent="0.2">
      <c r="A2036" s="5">
        <v>1975</v>
      </c>
      <c r="B2036" s="138">
        <f>'Cap Outlay Deprec 26'!H13</f>
        <v>356533</v>
      </c>
      <c r="D2036" s="2" t="str">
        <f t="shared" si="30"/>
        <v>Error?</v>
      </c>
    </row>
    <row r="2037" spans="1:4" x14ac:dyDescent="0.2">
      <c r="A2037" s="5">
        <v>1976</v>
      </c>
      <c r="B2037" s="138">
        <f>'Cap Outlay Deprec 26'!H16</f>
        <v>2788049</v>
      </c>
      <c r="C2037" s="2" t="s">
        <v>593</v>
      </c>
      <c r="D2037" s="2" t="str">
        <f t="shared" si="30"/>
        <v>Error?</v>
      </c>
    </row>
    <row r="2038" spans="1:4" x14ac:dyDescent="0.2">
      <c r="A2038" s="10">
        <v>1977</v>
      </c>
      <c r="D2038" s="2" t="str">
        <f t="shared" si="30"/>
        <v>OK</v>
      </c>
    </row>
    <row r="2039" spans="1:4" x14ac:dyDescent="0.2">
      <c r="A2039" s="5">
        <v>1978</v>
      </c>
      <c r="B2039" s="138">
        <f>'Cap Outlay Deprec 26'!I8</f>
        <v>54627</v>
      </c>
      <c r="D2039" s="2" t="str">
        <f t="shared" si="30"/>
        <v>Error?</v>
      </c>
    </row>
    <row r="2040" spans="1:4" x14ac:dyDescent="0.2">
      <c r="A2040" s="5">
        <v>1979</v>
      </c>
      <c r="B2040" s="138">
        <f>'Cap Outlay Deprec 26'!I10</f>
        <v>8537</v>
      </c>
      <c r="D2040" s="2" t="str">
        <f t="shared" si="30"/>
        <v>Error?</v>
      </c>
    </row>
    <row r="2041" spans="1:4" x14ac:dyDescent="0.2">
      <c r="A2041" s="5">
        <v>1980</v>
      </c>
      <c r="B2041" s="138">
        <f>'Cap Outlay Deprec 26'!I12</f>
        <v>73862</v>
      </c>
      <c r="D2041" s="2" t="str">
        <f t="shared" si="30"/>
        <v>Error?</v>
      </c>
    </row>
    <row r="2042" spans="1:4" x14ac:dyDescent="0.2">
      <c r="A2042" s="5">
        <v>1981</v>
      </c>
      <c r="B2042" s="138">
        <f>'Cap Outlay Deprec 26'!I13</f>
        <v>111137</v>
      </c>
      <c r="D2042" s="2" t="str">
        <f t="shared" si="30"/>
        <v>Error?</v>
      </c>
    </row>
    <row r="2043" spans="1:4" x14ac:dyDescent="0.2">
      <c r="A2043" s="5">
        <v>1982</v>
      </c>
      <c r="B2043" s="138">
        <f>'Cap Outlay Deprec 26'!I16</f>
        <v>248163</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593</v>
      </c>
      <c r="D2049" s="2" t="str">
        <f t="shared" si="31"/>
        <v>Error?</v>
      </c>
    </row>
    <row r="2050" spans="1:4" x14ac:dyDescent="0.2">
      <c r="A2050" s="10">
        <v>1989</v>
      </c>
      <c r="D2050" s="2" t="str">
        <f t="shared" si="31"/>
        <v>OK</v>
      </c>
    </row>
    <row r="2051" spans="1:4" x14ac:dyDescent="0.2">
      <c r="A2051" s="5">
        <v>1990</v>
      </c>
      <c r="B2051" s="138">
        <f>'Cap Outlay Deprec 26'!K8</f>
        <v>1948013</v>
      </c>
      <c r="C2051" s="2" t="s">
        <v>593</v>
      </c>
      <c r="D2051" s="2" t="str">
        <f t="shared" si="31"/>
        <v>Error?</v>
      </c>
    </row>
    <row r="2052" spans="1:4" x14ac:dyDescent="0.2">
      <c r="A2052" s="5">
        <v>1991</v>
      </c>
      <c r="B2052" s="138">
        <f>'Cap Outlay Deprec 26'!K10</f>
        <v>126354</v>
      </c>
      <c r="C2052" s="2" t="s">
        <v>593</v>
      </c>
      <c r="D2052" s="2" t="str">
        <f t="shared" si="31"/>
        <v>Error?</v>
      </c>
    </row>
    <row r="2053" spans="1:4" x14ac:dyDescent="0.2">
      <c r="A2053" s="5">
        <v>1992</v>
      </c>
      <c r="B2053" s="138">
        <f>'Cap Outlay Deprec 26'!K12</f>
        <v>494175</v>
      </c>
      <c r="C2053" s="2" t="s">
        <v>593</v>
      </c>
      <c r="D2053" s="2" t="str">
        <f t="shared" si="31"/>
        <v>Error?</v>
      </c>
    </row>
    <row r="2054" spans="1:4" x14ac:dyDescent="0.2">
      <c r="A2054" s="5">
        <v>1993</v>
      </c>
      <c r="B2054" s="138">
        <f>'Cap Outlay Deprec 26'!K13</f>
        <v>467670</v>
      </c>
      <c r="C2054" s="2" t="s">
        <v>593</v>
      </c>
      <c r="D2054" s="2" t="str">
        <f t="shared" si="31"/>
        <v>Error?</v>
      </c>
    </row>
    <row r="2055" spans="1:4" x14ac:dyDescent="0.2">
      <c r="A2055" s="5">
        <v>1994</v>
      </c>
      <c r="B2055" s="138">
        <f>'Cap Outlay Deprec 26'!K16</f>
        <v>3036212</v>
      </c>
      <c r="C2055" s="2" t="s">
        <v>593</v>
      </c>
      <c r="D2055" s="2" t="str">
        <f t="shared" si="31"/>
        <v>Error?</v>
      </c>
    </row>
    <row r="2056" spans="1:4" x14ac:dyDescent="0.2">
      <c r="A2056" s="5">
        <v>1995</v>
      </c>
      <c r="B2056" s="138">
        <f>'Cap Outlay Deprec 26'!L5</f>
        <v>48291</v>
      </c>
      <c r="C2056" s="2" t="s">
        <v>593</v>
      </c>
      <c r="D2056" s="2" t="str">
        <f t="shared" si="31"/>
        <v>Error?</v>
      </c>
    </row>
    <row r="2057" spans="1:4" x14ac:dyDescent="0.2">
      <c r="A2057" s="5">
        <v>1996</v>
      </c>
      <c r="B2057" s="138">
        <f>'Cap Outlay Deprec 26'!L8</f>
        <v>1779810</v>
      </c>
      <c r="C2057" s="2" t="s">
        <v>593</v>
      </c>
      <c r="D2057" s="2" t="str">
        <f t="shared" si="31"/>
        <v>Error?</v>
      </c>
    </row>
    <row r="2058" spans="1:4" x14ac:dyDescent="0.2">
      <c r="A2058" s="5">
        <v>1997</v>
      </c>
      <c r="B2058" s="138">
        <f>'Cap Outlay Deprec 26'!L10</f>
        <v>106067</v>
      </c>
      <c r="C2058" s="2" t="s">
        <v>593</v>
      </c>
      <c r="D2058" s="2" t="str">
        <f t="shared" si="31"/>
        <v>Error?</v>
      </c>
    </row>
    <row r="2059" spans="1:4" x14ac:dyDescent="0.2">
      <c r="A2059" s="5">
        <v>1998</v>
      </c>
      <c r="B2059" s="138">
        <f>'Cap Outlay Deprec 26'!L12</f>
        <v>350301</v>
      </c>
      <c r="C2059" s="2" t="s">
        <v>593</v>
      </c>
      <c r="D2059" s="2" t="str">
        <f t="shared" si="31"/>
        <v>Error?</v>
      </c>
    </row>
    <row r="2060" spans="1:4" x14ac:dyDescent="0.2">
      <c r="A2060" s="5">
        <v>1999</v>
      </c>
      <c r="B2060" s="138">
        <f>'Cap Outlay Deprec 26'!L13</f>
        <v>98132</v>
      </c>
      <c r="C2060" s="2" t="s">
        <v>593</v>
      </c>
      <c r="D2060" s="2" t="str">
        <f t="shared" si="31"/>
        <v>Error?</v>
      </c>
    </row>
    <row r="2061" spans="1:4" x14ac:dyDescent="0.2">
      <c r="A2061" s="5">
        <v>2000</v>
      </c>
      <c r="B2061" s="138">
        <f>'Cap Outlay Deprec 26'!L16</f>
        <v>2382601</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43314</v>
      </c>
      <c r="C2088" s="2" t="s">
        <v>593</v>
      </c>
      <c r="D2088" s="2" t="str">
        <f t="shared" si="31"/>
        <v>Error?</v>
      </c>
    </row>
    <row r="2089" spans="1:4" x14ac:dyDescent="0.2">
      <c r="A2089" s="5">
        <v>2028</v>
      </c>
      <c r="B2089" s="138">
        <f>'Expenditures 15-22'!K92</f>
        <v>30479</v>
      </c>
      <c r="C2089" s="2" t="s">
        <v>593</v>
      </c>
      <c r="D2089" s="2" t="str">
        <f t="shared" si="31"/>
        <v>Error?</v>
      </c>
    </row>
    <row r="2090" spans="1:4" x14ac:dyDescent="0.2">
      <c r="A2090" s="10">
        <v>2029</v>
      </c>
      <c r="D2090" s="2" t="str">
        <f t="shared" si="31"/>
        <v>OK</v>
      </c>
    </row>
    <row r="2091" spans="1:4" x14ac:dyDescent="0.2">
      <c r="A2091" s="5">
        <v>2030</v>
      </c>
      <c r="B2091" s="138">
        <f>'Expenditures 15-22'!H137</f>
        <v>0</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20909</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18315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1567637</v>
      </c>
      <c r="C2551" s="2" t="s">
        <v>593</v>
      </c>
      <c r="D2551" s="2" t="str">
        <f t="shared" si="38"/>
        <v>Error?</v>
      </c>
    </row>
    <row r="2552" spans="1:4" x14ac:dyDescent="0.2">
      <c r="A2552" s="10">
        <v>2491</v>
      </c>
      <c r="D2552" s="2" t="str">
        <f t="shared" si="38"/>
        <v>OK</v>
      </c>
    </row>
    <row r="2553" spans="1:4" x14ac:dyDescent="0.2">
      <c r="A2553" s="5">
        <v>2492</v>
      </c>
      <c r="B2553" s="138">
        <f>'Acct Summary 7-8'!C6</f>
        <v>639567</v>
      </c>
      <c r="C2553" s="2" t="s">
        <v>593</v>
      </c>
      <c r="D2553" s="2" t="str">
        <f t="shared" si="38"/>
        <v>Error?</v>
      </c>
    </row>
    <row r="2554" spans="1:4" x14ac:dyDescent="0.2">
      <c r="A2554" s="5">
        <v>2493</v>
      </c>
      <c r="B2554" s="138">
        <f>'Acct Summary 7-8'!C7</f>
        <v>196379</v>
      </c>
      <c r="C2554" s="2" t="s">
        <v>593</v>
      </c>
      <c r="D2554" s="2" t="str">
        <f t="shared" si="38"/>
        <v>Error?</v>
      </c>
    </row>
    <row r="2555" spans="1:4" x14ac:dyDescent="0.2">
      <c r="A2555" s="5">
        <v>2494</v>
      </c>
      <c r="B2555" s="138">
        <f>'Acct Summary 7-8'!C8</f>
        <v>2403583</v>
      </c>
      <c r="C2555" s="2" t="s">
        <v>593</v>
      </c>
      <c r="D2555" s="2" t="str">
        <f t="shared" si="38"/>
        <v>Error?</v>
      </c>
    </row>
    <row r="2556" spans="1:4" x14ac:dyDescent="0.2">
      <c r="A2556" s="5">
        <v>2495</v>
      </c>
      <c r="B2556" s="138">
        <f>'Acct Summary 7-8'!C12</f>
        <v>2086954</v>
      </c>
      <c r="C2556" s="2" t="s">
        <v>593</v>
      </c>
      <c r="D2556" s="2" t="str">
        <f t="shared" si="38"/>
        <v>Error?</v>
      </c>
    </row>
    <row r="2557" spans="1:4" x14ac:dyDescent="0.2">
      <c r="A2557" s="5">
        <v>2496</v>
      </c>
      <c r="B2557" s="138">
        <f>'Acct Summary 7-8'!C13</f>
        <v>723872</v>
      </c>
      <c r="C2557" s="2" t="s">
        <v>593</v>
      </c>
      <c r="D2557" s="2" t="str">
        <f t="shared" si="38"/>
        <v>Error?</v>
      </c>
    </row>
    <row r="2558" spans="1:4" x14ac:dyDescent="0.2">
      <c r="A2558" s="5">
        <v>2497</v>
      </c>
      <c r="B2558" s="138">
        <f>'Acct Summary 7-8'!C14</f>
        <v>0</v>
      </c>
      <c r="C2558" s="2" t="s">
        <v>593</v>
      </c>
      <c r="D2558" s="2" t="str">
        <f t="shared" si="38"/>
        <v>Error?</v>
      </c>
    </row>
    <row r="2559" spans="1:4" x14ac:dyDescent="0.2">
      <c r="A2559" s="5">
        <v>2498</v>
      </c>
      <c r="B2559" s="138">
        <f>'Acct Summary 7-8'!C15</f>
        <v>73793</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2884619</v>
      </c>
      <c r="C2561" s="2" t="s">
        <v>593</v>
      </c>
      <c r="D2561" s="2" t="str">
        <f t="shared" si="39"/>
        <v>Error?</v>
      </c>
    </row>
    <row r="2562" spans="1:4" x14ac:dyDescent="0.2">
      <c r="A2562" s="5">
        <v>2501</v>
      </c>
      <c r="B2562" s="138">
        <f>'Acct Summary 7-8'!C20</f>
        <v>-481036</v>
      </c>
      <c r="C2562" s="2" t="s">
        <v>593</v>
      </c>
      <c r="D2562" s="2" t="str">
        <f t="shared" si="39"/>
        <v>Error?</v>
      </c>
    </row>
    <row r="2563" spans="1:4" x14ac:dyDescent="0.2">
      <c r="A2563" s="5">
        <v>2502</v>
      </c>
      <c r="B2563" s="138">
        <f>'Acct Summary 7-8'!C80</f>
        <v>-198</v>
      </c>
      <c r="D2563" s="2" t="str">
        <f t="shared" si="39"/>
        <v>Error?</v>
      </c>
    </row>
    <row r="2564" spans="1:4" x14ac:dyDescent="0.2">
      <c r="A2564" s="5">
        <v>2503</v>
      </c>
      <c r="B2564" s="138">
        <f>'Acct Summary 7-8'!D4</f>
        <v>306283</v>
      </c>
      <c r="C2564" s="2" t="s">
        <v>593</v>
      </c>
      <c r="D2564" s="2" t="str">
        <f t="shared" si="39"/>
        <v>Error?</v>
      </c>
    </row>
    <row r="2565" spans="1:4" x14ac:dyDescent="0.2">
      <c r="A2565" s="10">
        <v>2504</v>
      </c>
      <c r="D2565" s="2" t="str">
        <f t="shared" si="39"/>
        <v>OK</v>
      </c>
    </row>
    <row r="2566" spans="1:4" x14ac:dyDescent="0.2">
      <c r="A2566" s="5">
        <v>2505</v>
      </c>
      <c r="B2566" s="138">
        <f>'Acct Summary 7-8'!D6</f>
        <v>0</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306283</v>
      </c>
      <c r="C2568" s="2" t="s">
        <v>593</v>
      </c>
      <c r="D2568" s="2" t="str">
        <f t="shared" si="39"/>
        <v>Error?</v>
      </c>
    </row>
    <row r="2569" spans="1:4" x14ac:dyDescent="0.2">
      <c r="A2569" s="5">
        <v>2508</v>
      </c>
      <c r="B2569" s="138">
        <f>'Acct Summary 7-8'!D13</f>
        <v>306225</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0</v>
      </c>
      <c r="C2571" s="2" t="s">
        <v>593</v>
      </c>
      <c r="D2571" s="2" t="str">
        <f t="shared" si="39"/>
        <v>Error?</v>
      </c>
    </row>
    <row r="2572" spans="1:4" x14ac:dyDescent="0.2">
      <c r="A2572" s="5">
        <v>2511</v>
      </c>
      <c r="B2572" s="138">
        <f>'Acct Summary 7-8'!D16</f>
        <v>0</v>
      </c>
      <c r="C2572" s="2" t="s">
        <v>593</v>
      </c>
      <c r="D2572" s="2" t="str">
        <f t="shared" si="39"/>
        <v>Error?</v>
      </c>
    </row>
    <row r="2573" spans="1:4" x14ac:dyDescent="0.2">
      <c r="A2573" s="5">
        <v>2512</v>
      </c>
      <c r="B2573" s="138">
        <f>'Acct Summary 7-8'!D17</f>
        <v>306225</v>
      </c>
      <c r="C2573" s="2" t="s">
        <v>593</v>
      </c>
      <c r="D2573" s="2" t="str">
        <f t="shared" si="39"/>
        <v>Error?</v>
      </c>
    </row>
    <row r="2574" spans="1:4" x14ac:dyDescent="0.2">
      <c r="A2574" s="5">
        <v>2513</v>
      </c>
      <c r="B2574" s="138">
        <f>'Acct Summary 7-8'!D20</f>
        <v>58</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99894</v>
      </c>
      <c r="C2591" s="2" t="s">
        <v>593</v>
      </c>
      <c r="D2591" s="2" t="str">
        <f t="shared" si="39"/>
        <v>Error?</v>
      </c>
    </row>
    <row r="2592" spans="1:4" x14ac:dyDescent="0.2">
      <c r="A2592" s="10">
        <v>2531</v>
      </c>
      <c r="D2592" s="2" t="str">
        <f t="shared" si="39"/>
        <v>OK</v>
      </c>
    </row>
    <row r="2593" spans="1:4" x14ac:dyDescent="0.2">
      <c r="A2593" s="5">
        <v>2532</v>
      </c>
      <c r="B2593" s="138">
        <f>'Acct Summary 7-8'!F6</f>
        <v>185288</v>
      </c>
      <c r="C2593" s="2" t="s">
        <v>593</v>
      </c>
      <c r="D2593" s="2" t="str">
        <f t="shared" si="39"/>
        <v>Error?</v>
      </c>
    </row>
    <row r="2594" spans="1:4" x14ac:dyDescent="0.2">
      <c r="A2594" s="5">
        <v>2533</v>
      </c>
      <c r="B2594" s="138">
        <f>'Acct Summary 7-8'!F7</f>
        <v>1744</v>
      </c>
      <c r="C2594" s="2" t="s">
        <v>593</v>
      </c>
      <c r="D2594" s="2" t="str">
        <f t="shared" si="39"/>
        <v>Error?</v>
      </c>
    </row>
    <row r="2595" spans="1:4" x14ac:dyDescent="0.2">
      <c r="A2595" s="5">
        <v>2534</v>
      </c>
      <c r="B2595" s="138">
        <f>'Acct Summary 7-8'!F8</f>
        <v>286926</v>
      </c>
      <c r="C2595" s="2" t="s">
        <v>593</v>
      </c>
      <c r="D2595" s="2" t="str">
        <f t="shared" si="39"/>
        <v>Error?</v>
      </c>
    </row>
    <row r="2596" spans="1:4" x14ac:dyDescent="0.2">
      <c r="A2596" s="5">
        <v>2535</v>
      </c>
      <c r="B2596" s="138">
        <f>'Acct Summary 7-8'!F13</f>
        <v>179449</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26687</v>
      </c>
      <c r="C2598" s="2" t="s">
        <v>593</v>
      </c>
      <c r="D2598" s="2" t="str">
        <f t="shared" si="39"/>
        <v>Error?</v>
      </c>
    </row>
    <row r="2599" spans="1:4" x14ac:dyDescent="0.2">
      <c r="A2599" s="5">
        <v>2538</v>
      </c>
      <c r="B2599" s="138">
        <f>'Acct Summary 7-8'!F16</f>
        <v>78074</v>
      </c>
      <c r="C2599" s="2" t="s">
        <v>593</v>
      </c>
      <c r="D2599" s="2" t="str">
        <f t="shared" si="39"/>
        <v>Error?</v>
      </c>
    </row>
    <row r="2600" spans="1:4" x14ac:dyDescent="0.2">
      <c r="A2600" s="5">
        <v>2539</v>
      </c>
      <c r="B2600" s="138">
        <f>'Acct Summary 7-8'!F17</f>
        <v>284210</v>
      </c>
      <c r="C2600" s="2" t="s">
        <v>593</v>
      </c>
      <c r="D2600" s="2" t="str">
        <f t="shared" si="39"/>
        <v>Error?</v>
      </c>
    </row>
    <row r="2601" spans="1:4" x14ac:dyDescent="0.2">
      <c r="A2601" s="5">
        <v>2540</v>
      </c>
      <c r="B2601" s="138">
        <f>'Acct Summary 7-8'!F20</f>
        <v>2716</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164274</v>
      </c>
      <c r="C2603" s="2" t="s">
        <v>593</v>
      </c>
      <c r="D2603" s="2" t="str">
        <f t="shared" si="39"/>
        <v>Error?</v>
      </c>
    </row>
    <row r="2604" spans="1:4" x14ac:dyDescent="0.2">
      <c r="A2604" s="5">
        <v>2543</v>
      </c>
      <c r="B2604" s="138">
        <f>'Acct Summary 7-8'!G6</f>
        <v>0</v>
      </c>
      <c r="C2604" s="2" t="s">
        <v>593</v>
      </c>
      <c r="D2604" s="2" t="str">
        <f t="shared" si="39"/>
        <v>Error?</v>
      </c>
    </row>
    <row r="2605" spans="1:4" x14ac:dyDescent="0.2">
      <c r="A2605" s="5">
        <v>2544</v>
      </c>
      <c r="B2605" s="138">
        <f>'Acct Summary 7-8'!G7</f>
        <v>0</v>
      </c>
      <c r="C2605" s="2" t="s">
        <v>593</v>
      </c>
      <c r="D2605" s="2" t="str">
        <f t="shared" si="39"/>
        <v>Error?</v>
      </c>
    </row>
    <row r="2606" spans="1:4" x14ac:dyDescent="0.2">
      <c r="A2606" s="5">
        <v>2545</v>
      </c>
      <c r="B2606" s="138">
        <f>'Acct Summary 7-8'!G8</f>
        <v>164274</v>
      </c>
      <c r="C2606" s="2" t="s">
        <v>593</v>
      </c>
      <c r="D2606" s="2" t="str">
        <f t="shared" si="39"/>
        <v>Error?</v>
      </c>
    </row>
    <row r="2607" spans="1:4" x14ac:dyDescent="0.2">
      <c r="A2607" s="5">
        <v>2546</v>
      </c>
      <c r="B2607" s="138">
        <f>'Acct Summary 7-8'!G12</f>
        <v>56408</v>
      </c>
      <c r="C2607" s="2" t="s">
        <v>593</v>
      </c>
      <c r="D2607" s="2" t="str">
        <f t="shared" si="39"/>
        <v>Error?</v>
      </c>
    </row>
    <row r="2608" spans="1:4" x14ac:dyDescent="0.2">
      <c r="A2608" s="5">
        <v>2547</v>
      </c>
      <c r="B2608" s="138">
        <f>'Acct Summary 7-8'!G13</f>
        <v>90894</v>
      </c>
      <c r="C2608" s="2" t="s">
        <v>593</v>
      </c>
      <c r="D2608" s="2" t="str">
        <f t="shared" si="39"/>
        <v>Error?</v>
      </c>
    </row>
    <row r="2609" spans="1:4" x14ac:dyDescent="0.2">
      <c r="A2609" s="5">
        <v>2548</v>
      </c>
      <c r="B2609" s="138">
        <f>'Acct Summary 7-8'!G14</f>
        <v>0</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147302</v>
      </c>
      <c r="C2612" s="2" t="s">
        <v>593</v>
      </c>
      <c r="D2612" s="2" t="str">
        <f t="shared" si="39"/>
        <v>Error?</v>
      </c>
    </row>
    <row r="2613" spans="1:4" x14ac:dyDescent="0.2">
      <c r="A2613" s="5">
        <v>2552</v>
      </c>
      <c r="B2613" s="138">
        <f>'Acct Summary 7-8'!G20</f>
        <v>16972</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151667</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151667</v>
      </c>
      <c r="C2632" s="2" t="s">
        <v>593</v>
      </c>
      <c r="D2632" s="2" t="str">
        <f t="shared" si="40"/>
        <v>Error?</v>
      </c>
    </row>
    <row r="2633" spans="1:4" x14ac:dyDescent="0.2">
      <c r="A2633" s="5">
        <v>2572</v>
      </c>
      <c r="B2633" s="138">
        <f>'Acct Summary 7-8'!E15</f>
        <v>6559</v>
      </c>
      <c r="C2633" s="2" t="s">
        <v>593</v>
      </c>
      <c r="D2633" s="2" t="str">
        <f t="shared" si="40"/>
        <v>Error?</v>
      </c>
    </row>
    <row r="2634" spans="1:4" x14ac:dyDescent="0.2">
      <c r="A2634" s="5">
        <v>2573</v>
      </c>
      <c r="B2634" s="138">
        <f>'Acct Summary 7-8'!E16</f>
        <v>151066</v>
      </c>
      <c r="C2634" s="2" t="s">
        <v>593</v>
      </c>
      <c r="D2634" s="2" t="str">
        <f t="shared" si="40"/>
        <v>Error?</v>
      </c>
    </row>
    <row r="2635" spans="1:4" x14ac:dyDescent="0.2">
      <c r="A2635" s="5">
        <v>2574</v>
      </c>
      <c r="B2635" s="138">
        <f>'Acct Summary 7-8'!E17</f>
        <v>157625</v>
      </c>
      <c r="C2635" s="2" t="s">
        <v>593</v>
      </c>
      <c r="D2635" s="2" t="str">
        <f t="shared" si="40"/>
        <v>Error?</v>
      </c>
    </row>
    <row r="2636" spans="1:4" x14ac:dyDescent="0.2">
      <c r="A2636" s="5">
        <v>2575</v>
      </c>
      <c r="B2636" s="138">
        <f>'Acct Summary 7-8'!E20</f>
        <v>-5958</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0</v>
      </c>
      <c r="C2658" s="2" t="s">
        <v>593</v>
      </c>
      <c r="D2658" s="2" t="str">
        <f t="shared" si="40"/>
        <v>Error?</v>
      </c>
    </row>
    <row r="2659" spans="1:4" x14ac:dyDescent="0.2">
      <c r="A2659" s="5">
        <v>2598</v>
      </c>
      <c r="B2659" s="138">
        <f>'Acct Summary 7-8'!H13</f>
        <v>0</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0</v>
      </c>
      <c r="C2661" s="2" t="s">
        <v>593</v>
      </c>
      <c r="D2661" s="2" t="str">
        <f t="shared" si="40"/>
        <v>Error?</v>
      </c>
    </row>
    <row r="2662" spans="1:4" x14ac:dyDescent="0.2">
      <c r="A2662" s="5">
        <v>2601</v>
      </c>
      <c r="B2662" s="138">
        <f>'Acct Summary 7-8'!H20</f>
        <v>0</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43314</v>
      </c>
      <c r="C2789" s="2" t="s">
        <v>593</v>
      </c>
      <c r="D2789" s="2" t="str">
        <f t="shared" si="42"/>
        <v>Error?</v>
      </c>
    </row>
    <row r="2790" spans="1:4" x14ac:dyDescent="0.2">
      <c r="A2790" s="5">
        <v>2729</v>
      </c>
      <c r="B2790" s="138">
        <f>'Expenditures 15-22'!E102</f>
        <v>43314</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26687</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26687</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25125</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30268</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25125</v>
      </c>
      <c r="D2912" s="2" t="str">
        <f t="shared" si="44"/>
        <v>Error?</v>
      </c>
    </row>
    <row r="2913" spans="1:4" x14ac:dyDescent="0.2">
      <c r="A2913" s="5">
        <v>2852</v>
      </c>
      <c r="B2913" s="138">
        <f>'Assets-Liab 5-6'!I41</f>
        <v>25125</v>
      </c>
      <c r="C2913" s="2" t="s">
        <v>593</v>
      </c>
      <c r="D2913" s="2" t="str">
        <f t="shared" si="44"/>
        <v>Error?</v>
      </c>
    </row>
    <row r="2914" spans="1:4" x14ac:dyDescent="0.2">
      <c r="A2914" s="5">
        <v>2853</v>
      </c>
      <c r="B2914" s="138">
        <f>'Assets-Liab 5-6'!L33</f>
        <v>24621</v>
      </c>
      <c r="D2914" s="2" t="str">
        <f t="shared" si="44"/>
        <v>Error?</v>
      </c>
    </row>
    <row r="2915" spans="1:4" x14ac:dyDescent="0.2">
      <c r="A2915" s="10">
        <v>2854</v>
      </c>
      <c r="D2915" s="2" t="str">
        <f t="shared" si="44"/>
        <v>OK</v>
      </c>
    </row>
    <row r="2916" spans="1:4" x14ac:dyDescent="0.2">
      <c r="A2916" s="5">
        <v>2855</v>
      </c>
      <c r="B2916" s="138">
        <f>'Assets-Liab 5-6'!L34</f>
        <v>24621</v>
      </c>
      <c r="C2916" s="2" t="s">
        <v>593</v>
      </c>
      <c r="D2916" s="2" t="str">
        <f t="shared" si="44"/>
        <v>Error?</v>
      </c>
    </row>
    <row r="2917" spans="1:4" x14ac:dyDescent="0.2">
      <c r="A2917" s="5">
        <v>2856</v>
      </c>
      <c r="B2917" s="138">
        <f>'Assets-Liab 5-6'!L41</f>
        <v>30268</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42842</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322</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150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593</v>
      </c>
      <c r="D2973" s="2" t="str">
        <f t="shared" si="45"/>
        <v>Error?</v>
      </c>
    </row>
    <row r="2974" spans="1:4" x14ac:dyDescent="0.2">
      <c r="A2974" s="5">
        <v>2913</v>
      </c>
      <c r="B2974" s="138">
        <f>'Expenditures 15-22'!K79</f>
        <v>42842</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322</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150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0</v>
      </c>
      <c r="C2988" s="2" t="s">
        <v>593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26587</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100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593</v>
      </c>
      <c r="D3007" s="2" t="str">
        <f t="shared" ref="D3007:D3070" si="46">IF(ISBLANK(B3007),"OK",IF(A3007-B3007=0,"OK","Error?"))</f>
        <v>Error?</v>
      </c>
    </row>
    <row r="3008" spans="1:4" x14ac:dyDescent="0.2">
      <c r="A3008" s="5">
        <v>2947</v>
      </c>
      <c r="B3008" s="138">
        <f>'Expenditures 15-22'!K189</f>
        <v>26587</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0</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100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40000</v>
      </c>
      <c r="D3055" s="2" t="str">
        <f t="shared" si="46"/>
        <v>Error?</v>
      </c>
    </row>
    <row r="3056" spans="1:4" x14ac:dyDescent="0.2">
      <c r="A3056" s="5">
        <v>2995</v>
      </c>
      <c r="B3056" s="138">
        <f>'Expenditures 15-22'!D10</f>
        <v>7057</v>
      </c>
      <c r="D3056" s="2" t="str">
        <f t="shared" si="46"/>
        <v>Error?</v>
      </c>
    </row>
    <row r="3057" spans="1:4" x14ac:dyDescent="0.2">
      <c r="A3057" s="5">
        <v>2996</v>
      </c>
      <c r="B3057" s="138">
        <f>'Expenditures 15-22'!E10</f>
        <v>18712</v>
      </c>
      <c r="D3057" s="2" t="str">
        <f t="shared" si="46"/>
        <v>Error?</v>
      </c>
    </row>
    <row r="3058" spans="1:4" x14ac:dyDescent="0.2">
      <c r="A3058" s="5">
        <v>2997</v>
      </c>
      <c r="B3058" s="138">
        <f>'Expenditures 15-22'!F10</f>
        <v>1000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66769</v>
      </c>
      <c r="C3062" s="2" t="s">
        <v>593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3010</v>
      </c>
      <c r="D3071" s="2" t="str">
        <f t="shared" ref="D3071:D3134" si="47">IF(ISBLANK(B3071),"OK",IF(A3071-B3071=0,"OK","Error?"))</f>
        <v>OK</v>
      </c>
    </row>
    <row r="3072" spans="1:4" x14ac:dyDescent="0.2">
      <c r="A3072" s="5">
        <v>3011</v>
      </c>
      <c r="B3072" s="138">
        <f>'Assets-Liab 5-6'!L39</f>
        <v>2637</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21024</v>
      </c>
      <c r="C3225" s="2" t="s">
        <v>593</v>
      </c>
      <c r="D3225" s="2" t="str">
        <f t="shared" si="49"/>
        <v>Error?</v>
      </c>
    </row>
    <row r="3226" spans="1:4" x14ac:dyDescent="0.2">
      <c r="A3226" s="5">
        <v>3165</v>
      </c>
      <c r="B3226" s="138">
        <f>'Acct Summary 7-8'!I8</f>
        <v>21024</v>
      </c>
      <c r="C3226" s="2" t="s">
        <v>593</v>
      </c>
      <c r="D3226" s="2" t="str">
        <f t="shared" si="49"/>
        <v>Error?</v>
      </c>
    </row>
    <row r="3227" spans="1:4" x14ac:dyDescent="0.2">
      <c r="A3227" s="5">
        <v>3166</v>
      </c>
      <c r="B3227" s="138">
        <f>'Acct Summary 7-8'!I20</f>
        <v>21024</v>
      </c>
      <c r="C3227" s="2" t="s">
        <v>593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600000</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6625</v>
      </c>
      <c r="C3231" s="2" t="s">
        <v>593</v>
      </c>
      <c r="D3231" s="2" t="str">
        <f t="shared" si="49"/>
        <v>Error?</v>
      </c>
    </row>
    <row r="3232" spans="1:4" x14ac:dyDescent="0.2">
      <c r="A3232" s="5">
        <v>3171</v>
      </c>
      <c r="B3232" s="138">
        <f>'Acct Summary 7-8'!C77</f>
        <v>593375</v>
      </c>
      <c r="C3232" s="2" t="s">
        <v>593</v>
      </c>
      <c r="D3232" s="2" t="str">
        <f t="shared" si="49"/>
        <v>Error?</v>
      </c>
    </row>
    <row r="3233" spans="1:4" x14ac:dyDescent="0.2">
      <c r="A3233" s="5">
        <v>3172</v>
      </c>
      <c r="B3233" s="138">
        <f>'Acct Summary 7-8'!C78</f>
        <v>112339</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460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600000</v>
      </c>
      <c r="C3237" s="2" t="s">
        <v>593</v>
      </c>
      <c r="D3237" s="2" t="str">
        <f t="shared" si="49"/>
        <v>Error?</v>
      </c>
    </row>
    <row r="3238" spans="1:4" x14ac:dyDescent="0.2">
      <c r="A3238" s="5">
        <v>3177</v>
      </c>
      <c r="B3238" s="138">
        <f>'Acct Summary 7-8'!D77</f>
        <v>-599540</v>
      </c>
      <c r="C3238" s="2" t="s">
        <v>593</v>
      </c>
      <c r="D3238" s="2" t="str">
        <f t="shared" si="49"/>
        <v>Error?</v>
      </c>
    </row>
    <row r="3239" spans="1:4" x14ac:dyDescent="0.2">
      <c r="A3239" s="5">
        <v>3178</v>
      </c>
      <c r="B3239" s="138">
        <f>'Acct Summary 7-8'!D78</f>
        <v>-599482</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3055</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3055</v>
      </c>
      <c r="C3255" s="2" t="s">
        <v>593</v>
      </c>
      <c r="D3255" s="2" t="str">
        <f t="shared" si="49"/>
        <v>Error?</v>
      </c>
    </row>
    <row r="3256" spans="1:4" x14ac:dyDescent="0.2">
      <c r="A3256" s="5">
        <v>3195</v>
      </c>
      <c r="B3256" s="138">
        <f>'Acct Summary 7-8'!F78</f>
        <v>5771</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16972</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6625</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6625</v>
      </c>
      <c r="C3277" s="2" t="s">
        <v>593</v>
      </c>
      <c r="D3277" s="2" t="str">
        <f t="shared" si="50"/>
        <v>Error?</v>
      </c>
    </row>
    <row r="3278" spans="1:4" x14ac:dyDescent="0.2">
      <c r="A3278" s="5">
        <v>3217</v>
      </c>
      <c r="B3278" s="138">
        <f>'Acct Summary 7-8'!E78</f>
        <v>667</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593</v>
      </c>
      <c r="D3298" s="2" t="str">
        <f t="shared" si="50"/>
        <v>Error?</v>
      </c>
    </row>
    <row r="3299" spans="1:4" x14ac:dyDescent="0.2">
      <c r="A3299" s="5">
        <v>3238</v>
      </c>
      <c r="B3299" s="138">
        <f>'Acct Summary 7-8'!H77</f>
        <v>0</v>
      </c>
      <c r="C3299" s="2" t="s">
        <v>593</v>
      </c>
      <c r="D3299" s="2" t="str">
        <f t="shared" si="50"/>
        <v>Error?</v>
      </c>
    </row>
    <row r="3300" spans="1:4" x14ac:dyDescent="0.2">
      <c r="A3300" s="5">
        <v>3239</v>
      </c>
      <c r="B3300" s="138">
        <f>'Acct Summary 7-8'!H78</f>
        <v>0</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0</v>
      </c>
      <c r="C3318" s="2" t="s">
        <v>593</v>
      </c>
      <c r="D3318" s="2" t="str">
        <f t="shared" si="50"/>
        <v>Error?</v>
      </c>
    </row>
    <row r="3319" spans="1:4" x14ac:dyDescent="0.2">
      <c r="A3319" s="5">
        <v>3258</v>
      </c>
      <c r="B3319" s="138">
        <f>'Acct Summary 7-8'!I77</f>
        <v>0</v>
      </c>
      <c r="C3319" s="2" t="s">
        <v>593</v>
      </c>
      <c r="D3319" s="2" t="str">
        <f t="shared" si="50"/>
        <v>Error?</v>
      </c>
    </row>
    <row r="3320" spans="1:4" x14ac:dyDescent="0.2">
      <c r="A3320" s="5">
        <v>3259</v>
      </c>
      <c r="B3320" s="138">
        <f>'Acct Summary 7-8'!I78</f>
        <v>21024</v>
      </c>
      <c r="C3320" s="2" t="s">
        <v>593</v>
      </c>
      <c r="D3320" s="2" t="str">
        <f t="shared" si="50"/>
        <v>Error?</v>
      </c>
    </row>
    <row r="3321" spans="1:4" x14ac:dyDescent="0.2">
      <c r="A3321" s="5">
        <v>3260</v>
      </c>
      <c r="B3321" s="138">
        <f>'Acct Summary 7-8'!I79</f>
        <v>4101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25125</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173155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18155</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4727</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349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196386</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48377</v>
      </c>
      <c r="D3387" s="2" t="str">
        <f t="shared" si="51"/>
        <v>Error?</v>
      </c>
    </row>
    <row r="3388" spans="1:4" x14ac:dyDescent="0.2">
      <c r="A3388" s="5">
        <v>3327</v>
      </c>
      <c r="B3388" s="138">
        <f>'Expenditures 15-22'!D217</f>
        <v>2824</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48377</v>
      </c>
      <c r="C3390" s="2" t="s">
        <v>593</v>
      </c>
      <c r="D3390" s="2" t="str">
        <f t="shared" si="51"/>
        <v>Error?</v>
      </c>
    </row>
    <row r="3391" spans="1:4" x14ac:dyDescent="0.2">
      <c r="A3391" s="5">
        <v>3330</v>
      </c>
      <c r="B3391" s="138">
        <f>'Expenditures 15-22'!K217</f>
        <v>2824</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878390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622039</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45518</v>
      </c>
      <c r="D3417" s="2" t="str">
        <f t="shared" si="52"/>
        <v>Error?</v>
      </c>
    </row>
    <row r="3418" spans="1:4" x14ac:dyDescent="0.2">
      <c r="A3418" s="10">
        <v>3357</v>
      </c>
      <c r="D3418" s="2" t="str">
        <f t="shared" si="52"/>
        <v>OK</v>
      </c>
    </row>
    <row r="3419" spans="1:4" x14ac:dyDescent="0.2">
      <c r="A3419" s="5">
        <v>3358</v>
      </c>
      <c r="B3419" s="138">
        <f>'Assets-Liab 5-6'!F4</f>
        <v>67022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60010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25125</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30268</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89600</v>
      </c>
      <c r="C3446" s="2" t="s">
        <v>593</v>
      </c>
      <c r="D3446" s="2" t="str">
        <f t="shared" si="52"/>
        <v>Error?</v>
      </c>
    </row>
    <row r="3447" spans="1:4" x14ac:dyDescent="0.2">
      <c r="A3447" s="5">
        <v>3386</v>
      </c>
      <c r="B3447" s="138">
        <f>'Tax Sched 23'!D16</f>
        <v>89600</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90003.358858799998</v>
      </c>
      <c r="C3449" s="2" t="s">
        <v>593</v>
      </c>
      <c r="D3449" s="2" t="str">
        <f t="shared" si="52"/>
        <v>Error?</v>
      </c>
    </row>
    <row r="3450" spans="1:4" x14ac:dyDescent="0.2">
      <c r="A3450" s="5">
        <v>3389</v>
      </c>
      <c r="B3450" s="138">
        <f>'Tax Sched 23'!E16</f>
        <v>90003.358858799998</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460</v>
      </c>
      <c r="D3531" s="2" t="str">
        <f t="shared" si="54"/>
        <v>Error?</v>
      </c>
    </row>
    <row r="3532" spans="1:4" x14ac:dyDescent="0.2">
      <c r="A3532" s="5">
        <v>3471</v>
      </c>
      <c r="B3532" s="138">
        <f>'Acct Summary 7-8'!F36</f>
        <v>3055</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56177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56177</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56177</v>
      </c>
      <c r="D3567" s="2" t="str">
        <f t="shared" si="54"/>
        <v>Error?</v>
      </c>
    </row>
    <row r="3568" spans="1:4" x14ac:dyDescent="0.2">
      <c r="A3568" s="5">
        <v>3507</v>
      </c>
      <c r="B3568" s="138">
        <f>'Assets-Liab 5-6'!K41</f>
        <v>56177</v>
      </c>
      <c r="C3568" s="2" t="s">
        <v>593</v>
      </c>
      <c r="D3568" s="2" t="str">
        <f t="shared" si="54"/>
        <v>Error?</v>
      </c>
    </row>
    <row r="3569" spans="1:4" x14ac:dyDescent="0.2">
      <c r="A3569" s="5">
        <v>3508</v>
      </c>
      <c r="B3569" s="138">
        <f>'Acct Summary 7-8'!K4</f>
        <v>21070</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21070</v>
      </c>
      <c r="C3571" s="2" t="s">
        <v>593</v>
      </c>
      <c r="D3571" s="2" t="str">
        <f t="shared" si="54"/>
        <v>Error?</v>
      </c>
    </row>
    <row r="3572" spans="1:4" x14ac:dyDescent="0.2">
      <c r="A3572" s="5">
        <v>3511</v>
      </c>
      <c r="B3572" s="138">
        <f>'Acct Summary 7-8'!K13</f>
        <v>29455</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29455</v>
      </c>
      <c r="C3575" s="2" t="s">
        <v>593</v>
      </c>
      <c r="D3575" s="2" t="str">
        <f t="shared" si="54"/>
        <v>Error?</v>
      </c>
    </row>
    <row r="3576" spans="1:4" x14ac:dyDescent="0.2">
      <c r="A3576" s="5">
        <v>3515</v>
      </c>
      <c r="B3576" s="138">
        <f>'Acct Summary 7-8'!K20</f>
        <v>-8385</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593</v>
      </c>
      <c r="D3586" s="2" t="str">
        <f t="shared" si="55"/>
        <v>Error?</v>
      </c>
    </row>
    <row r="3587" spans="1:4" x14ac:dyDescent="0.2">
      <c r="A3587" s="5">
        <v>3526</v>
      </c>
      <c r="B3587" s="138">
        <f>'Acct Summary 7-8'!K77</f>
        <v>0</v>
      </c>
      <c r="C3587" s="2" t="s">
        <v>593</v>
      </c>
      <c r="D3587" s="2" t="str">
        <f t="shared" si="55"/>
        <v>Error?</v>
      </c>
    </row>
    <row r="3588" spans="1:4" x14ac:dyDescent="0.2">
      <c r="A3588" s="5">
        <v>3527</v>
      </c>
      <c r="B3588" s="138">
        <f>'Acct Summary 7-8'!K78</f>
        <v>-8385</v>
      </c>
      <c r="C3588" s="2" t="s">
        <v>593</v>
      </c>
      <c r="D3588" s="2" t="str">
        <f t="shared" si="55"/>
        <v>Error?</v>
      </c>
    </row>
    <row r="3589" spans="1:4" x14ac:dyDescent="0.2">
      <c r="A3589" s="5">
        <v>3528</v>
      </c>
      <c r="B3589" s="138">
        <f>'Acct Summary 7-8'!K79</f>
        <v>64562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56177</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593</v>
      </c>
      <c r="D3621" s="2" t="str">
        <f t="shared" si="55"/>
        <v>Error?</v>
      </c>
    </row>
    <row r="3622" spans="1:4" x14ac:dyDescent="0.2">
      <c r="A3622" s="5">
        <v>3561</v>
      </c>
      <c r="B3622" s="138">
        <f>'Expenditures 15-22'!C367</f>
        <v>0</v>
      </c>
      <c r="C3622" s="2" t="s">
        <v>593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593</v>
      </c>
      <c r="D3628" s="2" t="str">
        <f t="shared" si="55"/>
        <v>Error?</v>
      </c>
    </row>
    <row r="3629" spans="1:4" x14ac:dyDescent="0.2">
      <c r="A3629" s="5">
        <v>3568</v>
      </c>
      <c r="B3629" s="138">
        <f>'Expenditures 15-22'!D367</f>
        <v>0</v>
      </c>
      <c r="C3629" s="2" t="s">
        <v>593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1763</v>
      </c>
      <c r="D3632" s="2" t="str">
        <f t="shared" si="55"/>
        <v>Error?</v>
      </c>
    </row>
    <row r="3633" spans="1:4" x14ac:dyDescent="0.2">
      <c r="A3633" s="5">
        <v>3572</v>
      </c>
      <c r="B3633" s="138">
        <f>'Expenditures 15-22'!E350</f>
        <v>1763</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1763</v>
      </c>
      <c r="C3635" s="2" t="s">
        <v>593</v>
      </c>
      <c r="D3635" s="2" t="str">
        <f t="shared" si="55"/>
        <v>Error?</v>
      </c>
    </row>
    <row r="3636" spans="1:4" x14ac:dyDescent="0.2">
      <c r="A3636" s="5">
        <v>3575</v>
      </c>
      <c r="B3636" s="138">
        <f>'Expenditures 15-22'!E367</f>
        <v>1763</v>
      </c>
      <c r="C3636" s="2" t="s">
        <v>593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593</v>
      </c>
      <c r="D3642" s="2" t="str">
        <f t="shared" si="55"/>
        <v>Error?</v>
      </c>
    </row>
    <row r="3643" spans="1:4" x14ac:dyDescent="0.2">
      <c r="A3643" s="5">
        <v>3582</v>
      </c>
      <c r="B3643" s="138">
        <f>'Expenditures 15-22'!F367</f>
        <v>0</v>
      </c>
      <c r="C3643" s="2" t="s">
        <v>593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27692</v>
      </c>
      <c r="D3646" s="2" t="str">
        <f t="shared" si="55"/>
        <v>Error?</v>
      </c>
    </row>
    <row r="3647" spans="1:4" x14ac:dyDescent="0.2">
      <c r="A3647" s="5">
        <v>3586</v>
      </c>
      <c r="B3647" s="138">
        <f>'Expenditures 15-22'!G350</f>
        <v>27692</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27692</v>
      </c>
      <c r="C3649" s="2" t="s">
        <v>593</v>
      </c>
      <c r="D3649" s="2" t="str">
        <f t="shared" si="56"/>
        <v>Error?</v>
      </c>
    </row>
    <row r="3650" spans="1:4" x14ac:dyDescent="0.2">
      <c r="A3650" s="5">
        <v>3589</v>
      </c>
      <c r="B3650" s="138">
        <f>'Expenditures 15-22'!G367</f>
        <v>27692</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593</v>
      </c>
      <c r="D3668" s="2" t="str">
        <f t="shared" si="56"/>
        <v>Error?</v>
      </c>
    </row>
    <row r="3669" spans="1:4" x14ac:dyDescent="0.2">
      <c r="A3669" s="5">
        <v>3608</v>
      </c>
      <c r="B3669" s="138">
        <f>'Expenditures 15-22'!K349</f>
        <v>29455</v>
      </c>
      <c r="C3669" s="2" t="s">
        <v>593</v>
      </c>
      <c r="D3669" s="2" t="str">
        <f t="shared" si="56"/>
        <v>Error?</v>
      </c>
    </row>
    <row r="3670" spans="1:4" x14ac:dyDescent="0.2">
      <c r="A3670" s="5">
        <v>3609</v>
      </c>
      <c r="B3670" s="138">
        <f>'Expenditures 15-22'!K350</f>
        <v>29455</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29455</v>
      </c>
      <c r="C3672" s="2" t="s">
        <v>593</v>
      </c>
      <c r="D3672" s="2" t="str">
        <f t="shared" si="56"/>
        <v>Error?</v>
      </c>
    </row>
    <row r="3673" spans="1:4" x14ac:dyDescent="0.2">
      <c r="A3673" s="5">
        <v>3612</v>
      </c>
      <c r="B3673" s="138">
        <f>'Expenditures 15-22'!K354</f>
        <v>0</v>
      </c>
      <c r="C3673" s="2" t="s">
        <v>593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29455</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-8385</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593</v>
      </c>
      <c r="D3722" s="2" t="str">
        <f t="shared" si="57"/>
        <v>Error?</v>
      </c>
    </row>
    <row r="3723" spans="1:4" x14ac:dyDescent="0.2">
      <c r="A3723" s="5">
        <v>3662</v>
      </c>
      <c r="B3723" s="138">
        <f>'Expenditures 15-22'!K283</f>
        <v>0</v>
      </c>
      <c r="C3723" s="2" t="s">
        <v>593</v>
      </c>
      <c r="D3723" s="2" t="str">
        <f t="shared" si="57"/>
        <v>Error?</v>
      </c>
    </row>
    <row r="3724" spans="1:4" x14ac:dyDescent="0.2">
      <c r="A3724" s="5">
        <v>3663</v>
      </c>
      <c r="B3724" s="138">
        <f>'Expenditures 15-22'!K285</f>
        <v>0</v>
      </c>
      <c r="C3724" s="2" t="s">
        <v>593</v>
      </c>
      <c r="D3724" s="2" t="str">
        <f t="shared" si="57"/>
        <v>Error?</v>
      </c>
    </row>
    <row r="3725" spans="1:4" x14ac:dyDescent="0.2">
      <c r="A3725" s="5">
        <v>3664</v>
      </c>
      <c r="B3725" s="138">
        <f>'Tax Sched 23'!B13</f>
        <v>20909</v>
      </c>
      <c r="C3725" s="2" t="s">
        <v>593</v>
      </c>
      <c r="D3725" s="2" t="str">
        <f t="shared" si="57"/>
        <v>Error?</v>
      </c>
    </row>
    <row r="3726" spans="1:4" x14ac:dyDescent="0.2">
      <c r="A3726" s="5">
        <v>3665</v>
      </c>
      <c r="B3726" s="138">
        <f>'Tax Sched 23'!D13</f>
        <v>20909</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21004.050535500002</v>
      </c>
      <c r="C3728" s="2" t="s">
        <v>593</v>
      </c>
      <c r="D3728" s="2" t="str">
        <f t="shared" si="57"/>
        <v>Error?</v>
      </c>
    </row>
    <row r="3729" spans="1:4" x14ac:dyDescent="0.2">
      <c r="A3729" s="5">
        <v>3668</v>
      </c>
      <c r="B3729" s="138">
        <f>'Tax Sched 23'!E13</f>
        <v>21004.050535500002</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1303853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3707436</v>
      </c>
      <c r="C4122" s="2" t="s">
        <v>593</v>
      </c>
      <c r="D4122" s="2" t="str">
        <f t="shared" si="63"/>
        <v>Error?</v>
      </c>
    </row>
    <row r="4123" spans="1:4" x14ac:dyDescent="0.2">
      <c r="A4123" s="5">
        <v>4062</v>
      </c>
      <c r="B4123" s="138">
        <f>'Acct Summary 7-8'!D10</f>
        <v>306283</v>
      </c>
      <c r="C4123" s="2" t="s">
        <v>593</v>
      </c>
      <c r="D4123" s="2" t="str">
        <f t="shared" si="63"/>
        <v>Error?</v>
      </c>
    </row>
    <row r="4124" spans="1:4" x14ac:dyDescent="0.2">
      <c r="A4124" s="5">
        <v>4063</v>
      </c>
      <c r="B4124" s="138">
        <f>'Acct Summary 7-8'!E10</f>
        <v>151667</v>
      </c>
      <c r="C4124" s="2" t="s">
        <v>593</v>
      </c>
      <c r="D4124" s="2" t="str">
        <f t="shared" si="63"/>
        <v>Error?</v>
      </c>
    </row>
    <row r="4125" spans="1:4" x14ac:dyDescent="0.2">
      <c r="A4125" s="5">
        <v>4064</v>
      </c>
      <c r="B4125" s="138">
        <f>'Acct Summary 7-8'!F10</f>
        <v>286926</v>
      </c>
      <c r="C4125" s="2" t="s">
        <v>593</v>
      </c>
      <c r="D4125" s="2" t="str">
        <f t="shared" si="63"/>
        <v>Error?</v>
      </c>
    </row>
    <row r="4126" spans="1:4" x14ac:dyDescent="0.2">
      <c r="A4126" s="5">
        <v>4065</v>
      </c>
      <c r="B4126" s="138">
        <f>'Acct Summary 7-8'!G10</f>
        <v>164274</v>
      </c>
      <c r="C4126" s="2" t="s">
        <v>593</v>
      </c>
      <c r="D4126" s="2" t="str">
        <f t="shared" si="63"/>
        <v>Error?</v>
      </c>
    </row>
    <row r="4127" spans="1:4" x14ac:dyDescent="0.2">
      <c r="A4127" s="5">
        <v>4066</v>
      </c>
      <c r="B4127" s="138">
        <f>'Acct Summary 7-8'!H10</f>
        <v>0</v>
      </c>
      <c r="C4127" s="2" t="s">
        <v>593</v>
      </c>
      <c r="D4127" s="2" t="str">
        <f t="shared" si="63"/>
        <v>Error?</v>
      </c>
    </row>
    <row r="4128" spans="1:4" x14ac:dyDescent="0.2">
      <c r="A4128" s="5">
        <v>4067</v>
      </c>
      <c r="B4128" s="138">
        <f>'Acct Summary 7-8'!I10</f>
        <v>21024</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21070</v>
      </c>
      <c r="C4130" s="2" t="s">
        <v>593</v>
      </c>
      <c r="D4130" s="2" t="str">
        <f t="shared" si="63"/>
        <v>Error?</v>
      </c>
    </row>
    <row r="4131" spans="1:4" x14ac:dyDescent="0.2">
      <c r="A4131" s="5">
        <v>4070</v>
      </c>
      <c r="B4131" s="138">
        <f>'Acct Summary 7-8'!C18</f>
        <v>1303853</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4188472</v>
      </c>
      <c r="C4136" s="2" t="s">
        <v>593</v>
      </c>
      <c r="D4136" s="2" t="str">
        <f t="shared" si="63"/>
        <v>Error?</v>
      </c>
    </row>
    <row r="4137" spans="1:4" x14ac:dyDescent="0.2">
      <c r="A4137" s="5">
        <v>4076</v>
      </c>
      <c r="B4137" s="138">
        <f>'Acct Summary 7-8'!D19</f>
        <v>306225</v>
      </c>
      <c r="C4137" s="2" t="s">
        <v>593</v>
      </c>
      <c r="D4137" s="2" t="str">
        <f t="shared" si="63"/>
        <v>Error?</v>
      </c>
    </row>
    <row r="4138" spans="1:4" x14ac:dyDescent="0.2">
      <c r="A4138" s="5">
        <v>4077</v>
      </c>
      <c r="B4138" s="138">
        <f>'Acct Summary 7-8'!E19</f>
        <v>157625</v>
      </c>
      <c r="C4138" s="2" t="s">
        <v>593</v>
      </c>
      <c r="D4138" s="2" t="str">
        <f t="shared" si="63"/>
        <v>Error?</v>
      </c>
    </row>
    <row r="4139" spans="1:4" x14ac:dyDescent="0.2">
      <c r="A4139" s="5">
        <v>4078</v>
      </c>
      <c r="B4139" s="138">
        <f>'Acct Summary 7-8'!F19</f>
        <v>284210</v>
      </c>
      <c r="C4139" s="2" t="s">
        <v>593</v>
      </c>
      <c r="D4139" s="2" t="str">
        <f t="shared" si="63"/>
        <v>Error?</v>
      </c>
    </row>
    <row r="4140" spans="1:4" x14ac:dyDescent="0.2">
      <c r="A4140" s="5">
        <v>4079</v>
      </c>
      <c r="B4140" s="138">
        <f>'Acct Summary 7-8'!G19</f>
        <v>147302</v>
      </c>
      <c r="C4140" s="2" t="s">
        <v>593</v>
      </c>
      <c r="D4140" s="2" t="str">
        <f t="shared" si="63"/>
        <v>Error?</v>
      </c>
    </row>
    <row r="4141" spans="1:4" x14ac:dyDescent="0.2">
      <c r="A4141" s="5">
        <v>4080</v>
      </c>
      <c r="B4141" s="138">
        <f>'Acct Summary 7-8'!H19</f>
        <v>0</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29455</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773574</v>
      </c>
      <c r="C4171" s="2" t="s">
        <v>593</v>
      </c>
      <c r="D4171" s="2" t="str">
        <f t="shared" si="64"/>
        <v>Error?</v>
      </c>
    </row>
    <row r="4172" spans="1:4" x14ac:dyDescent="0.2">
      <c r="A4172" s="5">
        <v>4111</v>
      </c>
      <c r="B4172" s="138">
        <f>'Short-Term Long-Term Debt 24'!J49</f>
        <v>728056</v>
      </c>
      <c r="C4172" s="2" t="s">
        <v>593</v>
      </c>
      <c r="D4172" s="2" t="str">
        <f t="shared" si="64"/>
        <v>Error?</v>
      </c>
    </row>
    <row r="4173" spans="1:4" x14ac:dyDescent="0.2">
      <c r="A4173" s="5">
        <v>4112</v>
      </c>
      <c r="B4173" s="138">
        <f>'Short-Term Long-Term Debt 24'!H49</f>
        <v>229599</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0</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71950</v>
      </c>
      <c r="D4210" s="2" t="str">
        <f t="shared" si="64"/>
        <v>Error?</v>
      </c>
    </row>
    <row r="4211" spans="1:4" x14ac:dyDescent="0.2">
      <c r="A4211" s="5">
        <v>4150</v>
      </c>
      <c r="B4211" s="138">
        <f>'Expenditures 15-22'!K206</f>
        <v>71950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3198.8500000000004</v>
      </c>
      <c r="C4265" s="2" t="s">
        <v>593</v>
      </c>
      <c r="D4265" s="2" t="str">
        <f t="shared" si="65"/>
        <v>Error?</v>
      </c>
      <c r="E4265" s="128"/>
    </row>
    <row r="4266" spans="1:5" x14ac:dyDescent="0.2">
      <c r="A4266" s="12">
        <v>4205</v>
      </c>
      <c r="B4266" s="138">
        <f>('FP Info 3'!F10)*100000</f>
        <v>673.45</v>
      </c>
      <c r="C4266" s="2" t="s">
        <v>593</v>
      </c>
      <c r="D4266" s="2" t="str">
        <f t="shared" si="65"/>
        <v>Error?</v>
      </c>
      <c r="E4266" s="128"/>
    </row>
    <row r="4267" spans="1:5" x14ac:dyDescent="0.2">
      <c r="A4267" s="12">
        <v>4206</v>
      </c>
      <c r="B4267" s="138">
        <f>('FP Info 3'!H10)*100000</f>
        <v>190.81</v>
      </c>
      <c r="C4267" s="2" t="s">
        <v>593</v>
      </c>
      <c r="D4267" s="2" t="str">
        <f t="shared" si="65"/>
        <v>Error?</v>
      </c>
      <c r="E4267" s="128"/>
    </row>
    <row r="4268" spans="1:5" x14ac:dyDescent="0.2">
      <c r="A4268" s="12">
        <v>4207</v>
      </c>
      <c r="B4268" s="138">
        <f>('FP Info 3'!J10)*100000</f>
        <v>4063</v>
      </c>
      <c r="C4268" s="2" t="s">
        <v>593</v>
      </c>
      <c r="D4268" s="2" t="str">
        <f t="shared" si="65"/>
        <v>Error?</v>
      </c>
    </row>
    <row r="4269" spans="1:5" x14ac:dyDescent="0.2">
      <c r="A4269" s="12">
        <v>4208</v>
      </c>
      <c r="B4269" s="138">
        <f>'FP Info 3'!J16</f>
        <v>1592509</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4672</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23272</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17320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17320</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17800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1744</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17800</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1744</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7809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47.150000000000006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10782</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44547297</v>
      </c>
      <c r="D4995" s="2" t="str">
        <f t="shared" si="77"/>
        <v>Error?</v>
      </c>
    </row>
    <row r="4996" spans="1:4" x14ac:dyDescent="0.2">
      <c r="A4996" s="12">
        <v>4935</v>
      </c>
      <c r="B4996" s="138">
        <f>'FP Info 3'!H31</f>
        <v>6147526.9860000005</v>
      </c>
      <c r="D4996" s="2" t="str">
        <f t="shared" si="77"/>
        <v>Error?</v>
      </c>
    </row>
    <row r="4997" spans="1:4" x14ac:dyDescent="0.2">
      <c r="A4997" s="12">
        <v>4936</v>
      </c>
      <c r="B4997" s="138">
        <f>'FP Info 3'!H37</f>
        <v>773574</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600000</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600000</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20909</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1380316</v>
      </c>
      <c r="D5061" s="2" t="str">
        <f t="shared" si="78"/>
        <v>Error?</v>
      </c>
    </row>
    <row r="5062" spans="1:4" x14ac:dyDescent="0.2">
      <c r="A5062" s="10">
        <v>5001</v>
      </c>
      <c r="D5062" s="2" t="str">
        <f t="shared" si="78"/>
        <v>OK</v>
      </c>
    </row>
    <row r="5063" spans="1:4" x14ac:dyDescent="0.2">
      <c r="A5063" s="5">
        <v>5002</v>
      </c>
      <c r="B5063" s="138">
        <f>'Revenues 9-14'!C7</f>
        <v>16727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1417952</v>
      </c>
      <c r="C5066" s="2" t="s">
        <v>593</v>
      </c>
      <c r="D5066" s="2" t="str">
        <f t="shared" si="78"/>
        <v>Error?</v>
      </c>
    </row>
    <row r="5067" spans="1:4" x14ac:dyDescent="0.2">
      <c r="A5067" s="5">
        <v>5006</v>
      </c>
      <c r="B5067" s="138">
        <f>'Revenues 9-14'!C14</f>
        <v>118</v>
      </c>
      <c r="D5067" s="2" t="str">
        <f t="shared" si="78"/>
        <v>Error?</v>
      </c>
    </row>
    <row r="5068" spans="1:4" x14ac:dyDescent="0.2">
      <c r="A5068" s="5">
        <v>5007</v>
      </c>
      <c r="B5068" s="138">
        <f>'Revenues 9-14'!C15</f>
        <v>0</v>
      </c>
      <c r="D5068" s="2" t="str">
        <f t="shared" si="78"/>
        <v>Error?</v>
      </c>
    </row>
    <row r="5069" spans="1:4" x14ac:dyDescent="0.2">
      <c r="A5069" s="5">
        <v>5008</v>
      </c>
      <c r="B5069" s="138">
        <f>'Revenues 9-14'!C16</f>
        <v>56791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56909</v>
      </c>
      <c r="C5071" s="2" t="s">
        <v>593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593</v>
      </c>
      <c r="D5087" s="2" t="str">
        <f t="shared" si="78"/>
        <v>Error?</v>
      </c>
    </row>
    <row r="5088" spans="1:4" x14ac:dyDescent="0.2">
      <c r="A5088" s="5">
        <v>5027</v>
      </c>
      <c r="B5088" s="138">
        <f>'Revenues 9-14'!C65</f>
        <v>6040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6040</v>
      </c>
      <c r="C5090" s="2" t="s">
        <v>593</v>
      </c>
      <c r="D5090" s="2" t="str">
        <f t="shared" si="78"/>
        <v>Error?</v>
      </c>
    </row>
    <row r="5091" spans="1:4" x14ac:dyDescent="0.2">
      <c r="A5091" s="5">
        <v>5030</v>
      </c>
      <c r="B5091" s="138">
        <f>'Revenues 9-14'!C70</f>
        <v>1804</v>
      </c>
      <c r="D5091" s="2" t="str">
        <f t="shared" si="78"/>
        <v>Error?</v>
      </c>
    </row>
    <row r="5092" spans="1:4" x14ac:dyDescent="0.2">
      <c r="A5092" s="5">
        <v>5031</v>
      </c>
      <c r="B5092" s="138">
        <f>'Revenues 9-14'!C71</f>
        <v>1524</v>
      </c>
      <c r="D5092" s="2" t="str">
        <f t="shared" si="78"/>
        <v>Error?</v>
      </c>
    </row>
    <row r="5093" spans="1:4" x14ac:dyDescent="0.2">
      <c r="A5093" s="5">
        <v>5032</v>
      </c>
      <c r="B5093" s="138">
        <f>'Revenues 9-14'!C72</f>
        <v>0</v>
      </c>
      <c r="D5093" s="2" t="str">
        <f t="shared" si="78"/>
        <v>Error?</v>
      </c>
    </row>
    <row r="5094" spans="1:4" x14ac:dyDescent="0.2">
      <c r="A5094" s="5">
        <v>5033</v>
      </c>
      <c r="B5094" s="138">
        <f>'Revenues 9-14'!C73</f>
        <v>768</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38442</v>
      </c>
      <c r="C5096" s="2" t="s">
        <v>593</v>
      </c>
      <c r="D5096" s="2" t="str">
        <f t="shared" si="78"/>
        <v>Error?</v>
      </c>
    </row>
    <row r="5097" spans="1:4" x14ac:dyDescent="0.2">
      <c r="A5097" s="5">
        <v>5036</v>
      </c>
      <c r="B5097" s="138">
        <f>'Revenues 9-14'!C77</f>
        <v>12532</v>
      </c>
      <c r="D5097" s="2" t="str">
        <f t="shared" si="78"/>
        <v>Error?</v>
      </c>
    </row>
    <row r="5098" spans="1:4" x14ac:dyDescent="0.2">
      <c r="A5098" s="5">
        <v>5037</v>
      </c>
      <c r="B5098" s="138">
        <f>'Revenues 9-14'!C78</f>
        <v>916</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1321</v>
      </c>
      <c r="D5101" s="2" t="str">
        <f t="shared" si="78"/>
        <v>Error?</v>
      </c>
    </row>
    <row r="5102" spans="1:4" x14ac:dyDescent="0.2">
      <c r="A5102" s="5">
        <v>5041</v>
      </c>
      <c r="B5102" s="138">
        <f>'Revenues 9-14'!C82</f>
        <v>14769</v>
      </c>
      <c r="C5102" s="2" t="s">
        <v>593</v>
      </c>
      <c r="D5102" s="2" t="str">
        <f t="shared" si="78"/>
        <v>Error?</v>
      </c>
    </row>
    <row r="5103" spans="1:4" x14ac:dyDescent="0.2">
      <c r="A5103" s="5">
        <v>5042</v>
      </c>
      <c r="B5103" s="138">
        <f>'Revenues 9-14'!C84</f>
        <v>6517</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6517</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10</v>
      </c>
      <c r="D5114" s="2" t="str">
        <f t="shared" si="78"/>
        <v>Error?</v>
      </c>
    </row>
    <row r="5115" spans="1:4" x14ac:dyDescent="0.2">
      <c r="A5115" s="5">
        <v>5054</v>
      </c>
      <c r="B5115" s="138">
        <f>'Revenues 9-14'!C98</f>
        <v>9108</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6190</v>
      </c>
      <c r="D5119" s="2" t="str">
        <f t="shared" ref="D5119:D5182" si="79">IF(ISBLANK(B5119),"OK",IF(A5119-B5119=0,"OK","Error?"))</f>
        <v>Error?</v>
      </c>
    </row>
    <row r="5120" spans="1:4" x14ac:dyDescent="0.2">
      <c r="A5120" s="5">
        <v>5059</v>
      </c>
      <c r="B5120" s="138">
        <f>'Revenues 9-14'!C108</f>
        <v>27008</v>
      </c>
      <c r="C5120" s="2" t="s">
        <v>593</v>
      </c>
      <c r="D5120" s="2" t="str">
        <f t="shared" si="79"/>
        <v>Error?</v>
      </c>
    </row>
    <row r="5121" spans="1:4" x14ac:dyDescent="0.2">
      <c r="A5121" s="5">
        <v>5060</v>
      </c>
      <c r="B5121" s="138">
        <f>'Revenues 9-14'!C109</f>
        <v>1567637</v>
      </c>
      <c r="C5121" s="2" t="s">
        <v>593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593</v>
      </c>
      <c r="D5125" s="2" t="str">
        <f t="shared" si="79"/>
        <v>Error?</v>
      </c>
    </row>
    <row r="5126" spans="1:4" x14ac:dyDescent="0.2">
      <c r="A5126" s="5">
        <v>5065</v>
      </c>
      <c r="B5126" s="138">
        <f>'Revenues 9-14'!C117</f>
        <v>563103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563103</v>
      </c>
      <c r="C5132" s="2" t="s">
        <v>593</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17382</v>
      </c>
      <c r="D5134" s="2" t="str">
        <f t="shared" si="79"/>
        <v>Error?</v>
      </c>
    </row>
    <row r="5135" spans="1:4" x14ac:dyDescent="0.2">
      <c r="A5135" s="5">
        <v>5074</v>
      </c>
      <c r="B5135" s="138">
        <f>'Revenues 9-14'!C126</f>
        <v>51278</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68660</v>
      </c>
      <c r="C5147" s="2" t="s">
        <v>593</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2170</v>
      </c>
      <c r="C5161" s="2" t="s">
        <v>593</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593</v>
      </c>
      <c r="D5165" s="2" t="str">
        <f t="shared" si="79"/>
        <v>Error?</v>
      </c>
    </row>
    <row r="5166" spans="1:4" x14ac:dyDescent="0.2">
      <c r="A5166" s="10">
        <v>5105</v>
      </c>
      <c r="D5166" s="2" t="str">
        <f t="shared" si="79"/>
        <v>OK</v>
      </c>
    </row>
    <row r="5167" spans="1:4" x14ac:dyDescent="0.2">
      <c r="A5167" s="5">
        <v>5106</v>
      </c>
      <c r="B5167" s="138">
        <f>'Revenues 9-14'!C145</f>
        <v>746</v>
      </c>
      <c r="D5167" s="2" t="str">
        <f t="shared" si="79"/>
        <v>Error?</v>
      </c>
    </row>
    <row r="5168" spans="1:4" x14ac:dyDescent="0.2">
      <c r="A5168" s="5">
        <v>5107</v>
      </c>
      <c r="B5168" s="138">
        <f>'Revenues 9-14'!C147</f>
        <v>4888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76464</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639567</v>
      </c>
      <c r="C5223" s="2" t="s">
        <v>593</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49163</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10259</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59422</v>
      </c>
      <c r="C5246" s="2" t="s">
        <v>593</v>
      </c>
      <c r="D5246" s="2" t="str">
        <f t="shared" si="80"/>
        <v>Error?</v>
      </c>
    </row>
    <row r="5247" spans="1:4" x14ac:dyDescent="0.2">
      <c r="A5247" s="5">
        <v>5186</v>
      </c>
      <c r="B5247" s="138">
        <f>'Revenues 9-14'!C203</f>
        <v>66084</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66084</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196379</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196379</v>
      </c>
      <c r="C5326" s="2" t="s">
        <v>593</v>
      </c>
      <c r="D5326" s="2" t="str">
        <f t="shared" si="82"/>
        <v>Error?</v>
      </c>
    </row>
    <row r="5327" spans="1:4" x14ac:dyDescent="0.2">
      <c r="A5327" s="5">
        <v>5266</v>
      </c>
      <c r="B5327" s="138">
        <f>'Revenues 9-14'!C275</f>
        <v>2403583</v>
      </c>
      <c r="C5327" s="2" t="s">
        <v>593</v>
      </c>
      <c r="D5327" s="2" t="str">
        <f t="shared" si="82"/>
        <v>Error?</v>
      </c>
    </row>
    <row r="5328" spans="1:4" x14ac:dyDescent="0.2">
      <c r="A5328" s="5">
        <v>5267</v>
      </c>
      <c r="B5328" s="138">
        <f>'Revenues 9-14'!D5</f>
        <v>292794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292794</v>
      </c>
      <c r="C5334" s="2" t="s">
        <v>593</v>
      </c>
      <c r="D5334" s="2" t="str">
        <f t="shared" si="82"/>
        <v>Error?</v>
      </c>
    </row>
    <row r="5335" spans="1:4" x14ac:dyDescent="0.2">
      <c r="A5335" s="5">
        <v>5274</v>
      </c>
      <c r="B5335" s="138">
        <f>'Revenues 9-14'!D14</f>
        <v>24</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1267</v>
      </c>
      <c r="D5338" s="2" t="str">
        <f t="shared" si="82"/>
        <v>Error?</v>
      </c>
    </row>
    <row r="5339" spans="1:4" x14ac:dyDescent="0.2">
      <c r="A5339" s="5">
        <v>5278</v>
      </c>
      <c r="B5339" s="138">
        <f>'Revenues 9-14'!D18</f>
        <v>1291</v>
      </c>
      <c r="C5339" s="2" t="s">
        <v>593</v>
      </c>
      <c r="D5339" s="2" t="str">
        <f t="shared" si="82"/>
        <v>Error?</v>
      </c>
    </row>
    <row r="5340" spans="1:4" x14ac:dyDescent="0.2">
      <c r="A5340" s="5">
        <v>5279</v>
      </c>
      <c r="B5340" s="138">
        <f>'Revenues 9-14'!D65</f>
        <v>3443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3443</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593</v>
      </c>
      <c r="D5348" s="2" t="str">
        <f t="shared" si="82"/>
        <v>Error?</v>
      </c>
    </row>
    <row r="5349" spans="1:4" x14ac:dyDescent="0.2">
      <c r="A5349" s="5">
        <v>5288</v>
      </c>
      <c r="B5349" s="138">
        <f>'Revenues 9-14'!D95</f>
        <v>640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8115</v>
      </c>
      <c r="D5354" s="2" t="str">
        <f t="shared" si="82"/>
        <v>Error?</v>
      </c>
    </row>
    <row r="5355" spans="1:4" x14ac:dyDescent="0.2">
      <c r="A5355" s="5">
        <v>5294</v>
      </c>
      <c r="B5355" s="138">
        <f>'Revenues 9-14'!D108</f>
        <v>8755</v>
      </c>
      <c r="C5355" s="2" t="s">
        <v>593</v>
      </c>
      <c r="D5355" s="2" t="str">
        <f t="shared" si="82"/>
        <v>Error?</v>
      </c>
    </row>
    <row r="5356" spans="1:4" x14ac:dyDescent="0.2">
      <c r="A5356" s="5">
        <v>5295</v>
      </c>
      <c r="B5356" s="138">
        <f>'Revenues 9-14'!D109</f>
        <v>306283</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306283</v>
      </c>
      <c r="C5508" s="2" t="s">
        <v>593</v>
      </c>
      <c r="D5508" s="2" t="str">
        <f t="shared" si="85"/>
        <v>Error?</v>
      </c>
    </row>
    <row r="5509" spans="1:4" x14ac:dyDescent="0.2">
      <c r="A5509" s="5">
        <v>5448</v>
      </c>
      <c r="B5509" s="138">
        <f>'Revenues 9-14'!E5</f>
        <v>151314</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151314</v>
      </c>
      <c r="C5513" s="2" t="s">
        <v>593</v>
      </c>
      <c r="D5513" s="2" t="str">
        <f t="shared" si="85"/>
        <v>Error?</v>
      </c>
    </row>
    <row r="5514" spans="1:4" x14ac:dyDescent="0.2">
      <c r="A5514" s="5">
        <v>5453</v>
      </c>
      <c r="B5514" s="138">
        <f>'Revenues 9-14'!E14</f>
        <v>13</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13</v>
      </c>
      <c r="C5518" s="2" t="s">
        <v>593</v>
      </c>
      <c r="D5518" s="2" t="str">
        <f t="shared" si="85"/>
        <v>Error?</v>
      </c>
    </row>
    <row r="5519" spans="1:4" x14ac:dyDescent="0.2">
      <c r="A5519" s="5">
        <v>5458</v>
      </c>
      <c r="B5519" s="138">
        <f>'Revenues 9-14'!E65</f>
        <v>340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340</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593</v>
      </c>
      <c r="D5526" s="2" t="str">
        <f t="shared" si="85"/>
        <v>Error?</v>
      </c>
    </row>
    <row r="5527" spans="1:4" x14ac:dyDescent="0.2">
      <c r="A5527" s="5">
        <v>5466</v>
      </c>
      <c r="B5527" s="138">
        <f>'Revenues 9-14'!E109</f>
        <v>151667</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151667</v>
      </c>
      <c r="C5552" s="2" t="s">
        <v>593</v>
      </c>
      <c r="D5552" s="2" t="str">
        <f t="shared" si="85"/>
        <v>Error?</v>
      </c>
    </row>
    <row r="5553" spans="1:4" x14ac:dyDescent="0.2">
      <c r="A5553" s="5">
        <v>5492</v>
      </c>
      <c r="B5553" s="138">
        <f>'Revenues 9-14'!F5</f>
        <v>83654</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83654</v>
      </c>
      <c r="C5557" s="2" t="s">
        <v>593</v>
      </c>
      <c r="D5557" s="2" t="str">
        <f t="shared" si="85"/>
        <v>Error?</v>
      </c>
    </row>
    <row r="5558" spans="1:4" x14ac:dyDescent="0.2">
      <c r="A5558" s="5">
        <v>5497</v>
      </c>
      <c r="B5558" s="138">
        <f>'Revenues 9-14'!F14</f>
        <v>8</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13000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13008</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2512</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2512</v>
      </c>
      <c r="C5579" s="2" t="s">
        <v>593</v>
      </c>
      <c r="D5579" s="2" t="str">
        <f t="shared" si="86"/>
        <v>Error?</v>
      </c>
    </row>
    <row r="5580" spans="1:4" x14ac:dyDescent="0.2">
      <c r="A5580" s="5">
        <v>5519</v>
      </c>
      <c r="B5580" s="138">
        <f>'Revenues 9-14'!F65</f>
        <v>15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15</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705</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705</v>
      </c>
      <c r="C5587" s="2" t="s">
        <v>593</v>
      </c>
      <c r="D5587" s="2" t="str">
        <f t="shared" si="86"/>
        <v>Error?</v>
      </c>
    </row>
    <row r="5588" spans="1:4" x14ac:dyDescent="0.2">
      <c r="A5588" s="5">
        <v>5527</v>
      </c>
      <c r="B5588" s="138">
        <f>'Revenues 9-14'!F109</f>
        <v>99894</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131972</v>
      </c>
      <c r="D5615" s="2" t="str">
        <f t="shared" si="86"/>
        <v>Error?</v>
      </c>
    </row>
    <row r="5616" spans="1:4" x14ac:dyDescent="0.2">
      <c r="A5616" s="10">
        <v>5555</v>
      </c>
      <c r="D5616" s="2" t="str">
        <f t="shared" si="86"/>
        <v>OK</v>
      </c>
    </row>
    <row r="5617" spans="1:4" x14ac:dyDescent="0.2">
      <c r="A5617" s="5">
        <v>5556</v>
      </c>
      <c r="B5617" s="138">
        <f>'Revenues 9-14'!F152</f>
        <v>53316</v>
      </c>
      <c r="D5617" s="2" t="str">
        <f t="shared" si="86"/>
        <v>Error?</v>
      </c>
    </row>
    <row r="5618" spans="1:4" x14ac:dyDescent="0.2">
      <c r="A5618" s="5">
        <v>5557</v>
      </c>
      <c r="B5618" s="138">
        <f>'Revenues 9-14'!F154</f>
        <v>185288</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185288</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185288</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1744</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1744</v>
      </c>
      <c r="C5719" s="2" t="s">
        <v>593</v>
      </c>
      <c r="D5719" s="2" t="str">
        <f t="shared" si="88"/>
        <v>Error?</v>
      </c>
    </row>
    <row r="5720" spans="1:4" x14ac:dyDescent="0.2">
      <c r="A5720" s="5">
        <v>5659</v>
      </c>
      <c r="B5720" s="138">
        <f>'Revenues 9-14'!F275</f>
        <v>286926</v>
      </c>
      <c r="C5720" s="2" t="s">
        <v>593</v>
      </c>
      <c r="D5720" s="2" t="str">
        <f t="shared" si="88"/>
        <v>Error?</v>
      </c>
    </row>
    <row r="5721" spans="1:4" x14ac:dyDescent="0.2">
      <c r="A5721" s="5">
        <v>5660</v>
      </c>
      <c r="B5721" s="138">
        <f>'Revenues 9-14'!G5</f>
        <v>69686</v>
      </c>
      <c r="D5721" s="2" t="str">
        <f t="shared" si="88"/>
        <v>Error?</v>
      </c>
    </row>
    <row r="5722" spans="1:4" x14ac:dyDescent="0.2">
      <c r="A5722" s="5">
        <v>5661</v>
      </c>
      <c r="B5722" s="138">
        <f>'Revenues 9-14'!G7</f>
        <v>0</v>
      </c>
      <c r="D5722" s="2" t="str">
        <f t="shared" si="88"/>
        <v>Error?</v>
      </c>
    </row>
    <row r="5723" spans="1:4" x14ac:dyDescent="0.2">
      <c r="A5723" s="5">
        <v>5662</v>
      </c>
      <c r="B5723" s="138">
        <f>'Revenues 9-14'!G8</f>
        <v>89600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159286</v>
      </c>
      <c r="C5725" s="2" t="s">
        <v>593</v>
      </c>
      <c r="D5725" s="2" t="str">
        <f t="shared" si="88"/>
        <v>Error?</v>
      </c>
    </row>
    <row r="5726" spans="1:4" x14ac:dyDescent="0.2">
      <c r="A5726" s="5">
        <v>5665</v>
      </c>
      <c r="B5726" s="138">
        <f>'Revenues 9-14'!G14</f>
        <v>13</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4650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4663</v>
      </c>
      <c r="C5730" s="2" t="s">
        <v>593</v>
      </c>
      <c r="D5730" s="2" t="str">
        <f t="shared" si="88"/>
        <v>Error?</v>
      </c>
    </row>
    <row r="5731" spans="1:4" x14ac:dyDescent="0.2">
      <c r="A5731" s="5">
        <v>5670</v>
      </c>
      <c r="B5731" s="138">
        <f>'Revenues 9-14'!G65</f>
        <v>325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325</v>
      </c>
      <c r="C5733" s="2" t="s">
        <v>593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593</v>
      </c>
      <c r="D5869" s="2" t="str">
        <f t="shared" si="90"/>
        <v>Error?</v>
      </c>
    </row>
    <row r="5870" spans="1:4" x14ac:dyDescent="0.2">
      <c r="A5870" s="5">
        <v>5809</v>
      </c>
      <c r="B5870" s="138">
        <f>'Revenues 9-14'!G275</f>
        <v>164274</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0</v>
      </c>
      <c r="C5915" s="2" t="s">
        <v>593</v>
      </c>
      <c r="D5915" s="2" t="str">
        <f t="shared" si="91"/>
        <v>Error?</v>
      </c>
    </row>
    <row r="5916" spans="1:4" x14ac:dyDescent="0.2">
      <c r="A5916" s="5">
        <v>5855</v>
      </c>
      <c r="B5916" s="138">
        <f>'Revenues 9-14'!I5</f>
        <v>20909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20909</v>
      </c>
      <c r="C5918" s="2" t="s">
        <v>593</v>
      </c>
      <c r="D5918" s="2" t="str">
        <f t="shared" si="91"/>
        <v>Error?</v>
      </c>
    </row>
    <row r="5919" spans="1:4" x14ac:dyDescent="0.2">
      <c r="A5919" s="5">
        <v>5858</v>
      </c>
      <c r="B5919" s="138">
        <f>'Revenues 9-14'!I14</f>
        <v>2</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2</v>
      </c>
      <c r="C5923" s="2" t="s">
        <v>593</v>
      </c>
      <c r="D5923" s="2" t="str">
        <f t="shared" si="91"/>
        <v>Error?</v>
      </c>
    </row>
    <row r="5924" spans="1:4" x14ac:dyDescent="0.2">
      <c r="A5924" s="5">
        <v>5863</v>
      </c>
      <c r="B5924" s="138">
        <f>'Revenues 9-14'!I65</f>
        <v>113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113</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21024</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20909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20909</v>
      </c>
      <c r="C5987" s="2" t="s">
        <v>593</v>
      </c>
      <c r="D5987" s="2" t="str">
        <f t="shared" si="92"/>
        <v>Error?</v>
      </c>
    </row>
    <row r="5988" spans="1:4" x14ac:dyDescent="0.2">
      <c r="A5988" s="5">
        <v>5927</v>
      </c>
      <c r="B5988" s="138">
        <f>'Revenues 9-14'!K14</f>
        <v>2</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2</v>
      </c>
      <c r="C5992" s="2" t="s">
        <v>593</v>
      </c>
      <c r="D5992" s="2" t="str">
        <f t="shared" si="92"/>
        <v>Error?</v>
      </c>
    </row>
    <row r="5993" spans="1:4" x14ac:dyDescent="0.2">
      <c r="A5993" s="5">
        <v>5932</v>
      </c>
      <c r="B5993" s="138">
        <f>'Revenues 9-14'!K65</f>
        <v>159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159</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21070</v>
      </c>
      <c r="C6023" s="2" t="s">
        <v>593</v>
      </c>
      <c r="D6023" s="2" t="str">
        <f t="shared" si="93"/>
        <v>Error?</v>
      </c>
    </row>
    <row r="6024" spans="1:5" x14ac:dyDescent="0.2">
      <c r="A6024" s="5">
        <v>5963</v>
      </c>
      <c r="B6024" s="138">
        <f>'Revenues 9-14'!G109</f>
        <v>164274</v>
      </c>
      <c r="C6024" s="2" t="s">
        <v>593</v>
      </c>
      <c r="D6024" s="2" t="str">
        <f t="shared" si="93"/>
        <v>Error?</v>
      </c>
    </row>
    <row r="6025" spans="1:5" x14ac:dyDescent="0.2">
      <c r="A6025" s="5">
        <v>5964</v>
      </c>
      <c r="B6025" s="138">
        <f>'Revenues 9-14'!H109</f>
        <v>0</v>
      </c>
      <c r="C6025" s="2" t="s">
        <v>593</v>
      </c>
      <c r="D6025" s="2" t="str">
        <f t="shared" si="93"/>
        <v>Error?</v>
      </c>
    </row>
    <row r="6026" spans="1:5" x14ac:dyDescent="0.2">
      <c r="A6026" s="5">
        <v>5965</v>
      </c>
      <c r="B6026" s="138">
        <f>'Revenues 9-14'!I109</f>
        <v>21024</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21070</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34346</v>
      </c>
      <c r="D6031" s="2" t="str">
        <f t="shared" si="93"/>
        <v>Error?</v>
      </c>
    </row>
    <row r="6032" spans="1:5" x14ac:dyDescent="0.2">
      <c r="A6032" s="5">
        <v>5971</v>
      </c>
      <c r="B6032" s="138">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11423</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207.1</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0</v>
      </c>
      <c r="D6077" s="2" t="str">
        <f t="shared" si="93"/>
        <v>Error?</v>
      </c>
      <c r="E6077" s="2" t="s">
        <v>986</v>
      </c>
    </row>
    <row r="6078" spans="1:5" x14ac:dyDescent="0.2">
      <c r="A6078">
        <v>6017</v>
      </c>
      <c r="B6078" s="138">
        <f>'Short-Term Long-Term Debt 24'!E27</f>
        <v>0</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50076</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50076</v>
      </c>
      <c r="D6215" s="2" t="str">
        <f t="shared" si="96"/>
        <v>Error?</v>
      </c>
      <c r="E6215" s="2" t="s">
        <v>199</v>
      </c>
    </row>
    <row r="6216" spans="1:5" x14ac:dyDescent="0.2">
      <c r="A6216">
        <v>6155</v>
      </c>
      <c r="B6216" s="138">
        <f>'Assets-Liab 5-6'!J41</f>
        <v>50076</v>
      </c>
      <c r="D6216" s="2" t="str">
        <f t="shared" si="96"/>
        <v>Error?</v>
      </c>
      <c r="E6216" s="2" t="s">
        <v>199</v>
      </c>
    </row>
    <row r="6217" spans="1:5" x14ac:dyDescent="0.2">
      <c r="A6217">
        <v>6156</v>
      </c>
      <c r="B6217" s="138">
        <f>'Assets-Liab 5-6'!J4</f>
        <v>50076</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246336</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246336</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246336</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231987</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231987</v>
      </c>
      <c r="D6229" s="2" t="str">
        <f t="shared" si="96"/>
        <v>Error?</v>
      </c>
      <c r="E6229" s="2" t="s">
        <v>199</v>
      </c>
    </row>
    <row r="6230" spans="1:5" x14ac:dyDescent="0.2">
      <c r="A6230">
        <v>6169</v>
      </c>
      <c r="B6230" s="138">
        <f>'Acct Summary 7-8'!J20</f>
        <v>14349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6625</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14349</v>
      </c>
      <c r="D6263" s="2" t="str">
        <f t="shared" si="96"/>
        <v>Error?</v>
      </c>
      <c r="E6263" s="2" t="s">
        <v>199</v>
      </c>
    </row>
    <row r="6264" spans="1:5" x14ac:dyDescent="0.2">
      <c r="A6264">
        <v>6203</v>
      </c>
      <c r="B6264" s="138">
        <f>'Acct Summary 7-8'!J79</f>
        <v>35727</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50076</v>
      </c>
      <c r="D6266" s="2" t="str">
        <f t="shared" si="96"/>
        <v>Error?</v>
      </c>
      <c r="E6266" s="2" t="s">
        <v>199</v>
      </c>
    </row>
    <row r="6267" spans="1:5" x14ac:dyDescent="0.2">
      <c r="A6267">
        <v>6206</v>
      </c>
      <c r="B6267" s="138">
        <f>'Acct Summary 7-8'!C82</f>
        <v>112141</v>
      </c>
      <c r="D6267" s="2" t="str">
        <f t="shared" si="96"/>
        <v>Error?</v>
      </c>
      <c r="E6267" s="2" t="s">
        <v>199</v>
      </c>
    </row>
    <row r="6268" spans="1:5" x14ac:dyDescent="0.2">
      <c r="A6268">
        <v>6207</v>
      </c>
      <c r="B6268" s="138">
        <f>'Acct Summary 7-8'!D82</f>
        <v>-599482</v>
      </c>
      <c r="D6268" s="2" t="str">
        <f t="shared" si="96"/>
        <v>Error?</v>
      </c>
      <c r="E6268" s="2" t="s">
        <v>199</v>
      </c>
    </row>
    <row r="6269" spans="1:5" x14ac:dyDescent="0.2">
      <c r="A6269">
        <v>6208</v>
      </c>
      <c r="B6269" s="138">
        <f>'Acct Summary 7-8'!E82</f>
        <v>667</v>
      </c>
      <c r="D6269" s="2" t="str">
        <f t="shared" si="96"/>
        <v>Error?</v>
      </c>
      <c r="E6269" s="2" t="s">
        <v>199</v>
      </c>
    </row>
    <row r="6270" spans="1:5" x14ac:dyDescent="0.2">
      <c r="A6270">
        <v>6209</v>
      </c>
      <c r="B6270" s="138">
        <f>'Acct Summary 7-8'!F82</f>
        <v>5771</v>
      </c>
      <c r="D6270" s="2" t="str">
        <f t="shared" si="96"/>
        <v>Error?</v>
      </c>
      <c r="E6270" s="2" t="s">
        <v>199</v>
      </c>
    </row>
    <row r="6271" spans="1:5" x14ac:dyDescent="0.2">
      <c r="A6271">
        <v>6210</v>
      </c>
      <c r="B6271" s="138">
        <f>'Acct Summary 7-8'!G82</f>
        <v>16972</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21024</v>
      </c>
      <c r="D6273" s="2" t="str">
        <f t="shared" si="97"/>
        <v>Error?</v>
      </c>
      <c r="E6273" s="2" t="s">
        <v>199</v>
      </c>
    </row>
    <row r="6274" spans="1:5" x14ac:dyDescent="0.2">
      <c r="A6274">
        <v>6213</v>
      </c>
      <c r="B6274" s="138">
        <f>'Acct Summary 7-8'!J82</f>
        <v>14349</v>
      </c>
      <c r="D6274" s="2" t="str">
        <f t="shared" si="97"/>
        <v>Error?</v>
      </c>
      <c r="E6274" s="2" t="s">
        <v>199</v>
      </c>
    </row>
    <row r="6275" spans="1:5" x14ac:dyDescent="0.2">
      <c r="A6275">
        <v>6214</v>
      </c>
      <c r="B6275" s="138">
        <f>'Acct Summary 7-8'!K82</f>
        <v>-8385</v>
      </c>
      <c r="D6275" s="2" t="str">
        <f t="shared" si="97"/>
        <v>Error?</v>
      </c>
      <c r="E6275" s="2" t="s">
        <v>199</v>
      </c>
    </row>
    <row r="6276" spans="1:5" x14ac:dyDescent="0.2">
      <c r="A6276">
        <v>6215</v>
      </c>
      <c r="B6276" s="138">
        <f>'Acct Summary 7-8'!C83</f>
        <v>0.12767626488205364</v>
      </c>
      <c r="D6276" s="2" t="str">
        <f t="shared" si="97"/>
        <v>Error?</v>
      </c>
      <c r="E6276" s="2" t="s">
        <v>199</v>
      </c>
    </row>
    <row r="6277" spans="1:5" x14ac:dyDescent="0.2">
      <c r="A6277">
        <v>6216</v>
      </c>
      <c r="B6277" s="138">
        <f>'Acct Summary 7-8'!D83</f>
        <v>-0.96373700041315735</v>
      </c>
      <c r="D6277" s="2" t="str">
        <f t="shared" si="97"/>
        <v>Error?</v>
      </c>
      <c r="E6277" s="2" t="s">
        <v>199</v>
      </c>
    </row>
    <row r="6278" spans="1:5" x14ac:dyDescent="0.2">
      <c r="A6278">
        <v>6217</v>
      </c>
      <c r="B6278" s="138">
        <f>'Acct Summary 7-8'!E83</f>
        <v>1.4653543653060328E-2</v>
      </c>
      <c r="D6278" s="2" t="str">
        <f t="shared" si="97"/>
        <v>Error?</v>
      </c>
      <c r="E6278" s="2" t="s">
        <v>199</v>
      </c>
    </row>
    <row r="6279" spans="1:5" x14ac:dyDescent="0.2">
      <c r="A6279">
        <v>6218</v>
      </c>
      <c r="B6279" s="138">
        <f>'Acct Summary 7-8'!F83</f>
        <v>8.6106054728298173E-2</v>
      </c>
      <c r="D6279" s="2" t="str">
        <f t="shared" si="97"/>
        <v>Error?</v>
      </c>
      <c r="E6279" s="2" t="s">
        <v>199</v>
      </c>
    </row>
    <row r="6280" spans="1:5" x14ac:dyDescent="0.2">
      <c r="A6280">
        <v>6219</v>
      </c>
      <c r="B6280" s="138">
        <f>'Acct Summary 7-8'!G83</f>
        <v>0.28281953007832028</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0.83677611940298502</v>
      </c>
      <c r="D6282" s="2" t="str">
        <f t="shared" si="97"/>
        <v>Error?</v>
      </c>
      <c r="E6282" s="2" t="s">
        <v>199</v>
      </c>
    </row>
    <row r="6283" spans="1:5" x14ac:dyDescent="0.2">
      <c r="A6283">
        <v>6222</v>
      </c>
      <c r="B6283" s="138">
        <f>'Acct Summary 7-8'!J83</f>
        <v>0.28654445243230292</v>
      </c>
      <c r="D6283" s="2" t="str">
        <f t="shared" si="97"/>
        <v>Error?</v>
      </c>
      <c r="E6283" s="2" t="s">
        <v>199</v>
      </c>
    </row>
    <row r="6284" spans="1:5" x14ac:dyDescent="0.2">
      <c r="A6284">
        <v>6223</v>
      </c>
      <c r="B6284" s="138">
        <f>'Acct Summary 7-8'!K83</f>
        <v>-0.14926037346244905</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6625</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245895</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245895</v>
      </c>
      <c r="D6301" s="2" t="str">
        <f t="shared" si="97"/>
        <v>Error?</v>
      </c>
      <c r="E6301" s="2" t="s">
        <v>199</v>
      </c>
    </row>
    <row r="6302" spans="1:5" x14ac:dyDescent="0.2">
      <c r="A6302">
        <v>6241</v>
      </c>
      <c r="B6302" s="138">
        <f>'Revenues 9-14'!J14</f>
        <v>17</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17</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424</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424</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918</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246336</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2170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9385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98385</v>
      </c>
      <c r="D6880" s="2" t="str">
        <f t="shared" si="106"/>
        <v>Error?</v>
      </c>
    </row>
    <row r="6881" spans="1:4" x14ac:dyDescent="0.2">
      <c r="A6881">
        <v>6820</v>
      </c>
      <c r="B6881" s="138">
        <f>'Expenditures 15-22'!K22</f>
        <v>98385</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15854</v>
      </c>
      <c r="D6983" s="2" t="str">
        <f t="shared" si="108"/>
        <v>Error?</v>
      </c>
    </row>
    <row r="6984" spans="1:4" x14ac:dyDescent="0.2">
      <c r="A6984">
        <v>6923</v>
      </c>
      <c r="B6984" s="138">
        <f>'Expenditures 15-22'!K86</f>
        <v>15854</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14625</v>
      </c>
      <c r="D6987" s="2" t="str">
        <f t="shared" si="108"/>
        <v>Error?</v>
      </c>
    </row>
    <row r="6988" spans="1:4" x14ac:dyDescent="0.2">
      <c r="A6988">
        <v>6927</v>
      </c>
      <c r="B6988" s="138">
        <f>'Expenditures 15-22'!K88</f>
        <v>14625</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30479</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231987</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246336</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6124</v>
      </c>
      <c r="D7067" s="2" t="str">
        <f t="shared" si="109"/>
        <v>Error?</v>
      </c>
    </row>
    <row r="7068" spans="1:4" x14ac:dyDescent="0.2">
      <c r="A7068">
        <v>7007</v>
      </c>
      <c r="B7068" s="138">
        <f>'Expenditures 15-22'!K205</f>
        <v>6124</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101</v>
      </c>
      <c r="D7079" s="2" t="str">
        <f t="shared" si="109"/>
        <v>Error?</v>
      </c>
    </row>
    <row r="7080" spans="1:4" x14ac:dyDescent="0.2">
      <c r="A7080">
        <v>7019</v>
      </c>
      <c r="B7080" s="138">
        <f>'Expenditures 15-22'!K226</f>
        <v>101</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6761</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6761</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73648</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73648</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110851</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23203</v>
      </c>
      <c r="D7174" s="2" t="str">
        <f t="shared" si="111"/>
        <v>Error?</v>
      </c>
    </row>
    <row r="7175" spans="1:4" x14ac:dyDescent="0.2">
      <c r="A7175">
        <v>7114</v>
      </c>
      <c r="B7175" s="138">
        <f>'Expenditures 15-22'!F325</f>
        <v>4273</v>
      </c>
      <c r="D7175" s="2" t="str">
        <f t="shared" si="111"/>
        <v>Error?</v>
      </c>
    </row>
    <row r="7176" spans="1:4" x14ac:dyDescent="0.2">
      <c r="A7176">
        <v>7115</v>
      </c>
      <c r="B7176" s="138">
        <f>'Expenditures 15-22'!G325</f>
        <v>13251</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151578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110851</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103612</v>
      </c>
      <c r="D7201" s="2" t="str">
        <f t="shared" si="111"/>
        <v>Error?</v>
      </c>
    </row>
    <row r="7202" spans="1:4" x14ac:dyDescent="0.2">
      <c r="A7202">
        <v>7141</v>
      </c>
      <c r="B7202" s="138">
        <f>'Expenditures 15-22'!F330</f>
        <v>4273</v>
      </c>
      <c r="D7202" s="2" t="str">
        <f t="shared" si="111"/>
        <v>Error?</v>
      </c>
    </row>
    <row r="7203" spans="1:4" x14ac:dyDescent="0.2">
      <c r="A7203">
        <v>7142</v>
      </c>
      <c r="B7203" s="138">
        <f>'Expenditures 15-22'!G330</f>
        <v>13251</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231987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110851</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103612</v>
      </c>
      <c r="D7218" s="2" t="str">
        <f t="shared" si="111"/>
        <v>Error?</v>
      </c>
    </row>
    <row r="7219" spans="1:4" x14ac:dyDescent="0.2">
      <c r="A7219">
        <v>7158</v>
      </c>
      <c r="B7219" s="138">
        <f>'Expenditures 15-22'!F342</f>
        <v>4273</v>
      </c>
      <c r="D7219" s="2" t="str">
        <f t="shared" si="111"/>
        <v>Error?</v>
      </c>
    </row>
    <row r="7220" spans="1:4" x14ac:dyDescent="0.2">
      <c r="A7220">
        <v>7159</v>
      </c>
      <c r="B7220" s="138">
        <f>'Expenditures 15-22'!G342</f>
        <v>13251</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231987</v>
      </c>
      <c r="D7224" s="2" t="str">
        <f t="shared" si="111"/>
        <v>Error?</v>
      </c>
    </row>
    <row r="7225" spans="1:4" x14ac:dyDescent="0.2">
      <c r="A7225">
        <v>7164</v>
      </c>
      <c r="B7225" s="138">
        <f>'Expenditures 15-22'!K343</f>
        <v>14349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6972</v>
      </c>
      <c r="D7263" s="2" t="str">
        <f t="shared" si="112"/>
        <v>Error?</v>
      </c>
    </row>
    <row r="7264" spans="1:4" x14ac:dyDescent="0.2">
      <c r="A7264">
        <f t="shared" si="113"/>
        <v>7203</v>
      </c>
      <c r="B7264" s="138">
        <f>'Expenditures 15-22'!D17</f>
        <v>100</v>
      </c>
      <c r="D7264" s="2" t="str">
        <f t="shared" si="112"/>
        <v>Error?</v>
      </c>
    </row>
    <row r="7265" spans="1:5" x14ac:dyDescent="0.2">
      <c r="A7265">
        <f t="shared" si="113"/>
        <v>7204</v>
      </c>
      <c r="B7265" s="138">
        <f>'Expenditures 15-22'!E17</f>
        <v>2303</v>
      </c>
      <c r="D7265" s="2" t="str">
        <f t="shared" si="112"/>
        <v>Error?</v>
      </c>
    </row>
    <row r="7266" spans="1:5" x14ac:dyDescent="0.2">
      <c r="A7266">
        <f t="shared" si="113"/>
        <v>7205</v>
      </c>
      <c r="B7266" s="138">
        <f>'Expenditures 15-22'!F17</f>
        <v>10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248163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0</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0</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0</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0</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0</v>
      </c>
      <c r="D7708" s="2" t="str">
        <f t="shared" si="126"/>
        <v>Error?</v>
      </c>
      <c r="E7708" s="2" t="s">
        <v>880</v>
      </c>
    </row>
    <row r="7709" spans="1:5" x14ac:dyDescent="0.2">
      <c r="A7709">
        <v>7648</v>
      </c>
      <c r="B7709" s="138">
        <f>'Rest Tax Levies-Tort Im 25'!K3</f>
        <v>0</v>
      </c>
      <c r="D7709" s="2" t="str">
        <f t="shared" si="126"/>
        <v>Error?</v>
      </c>
      <c r="E7709" s="2" t="s">
        <v>880</v>
      </c>
    </row>
    <row r="7710" spans="1:5" x14ac:dyDescent="0.2">
      <c r="A7710">
        <v>7649</v>
      </c>
      <c r="B7710" s="138">
        <f>'Rest Tax Levies-Tort Im 25'!J6</f>
        <v>0</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918</v>
      </c>
      <c r="D7712" s="2" t="str">
        <f t="shared" si="126"/>
        <v>Error?</v>
      </c>
      <c r="E7712" s="2" t="s">
        <v>880</v>
      </c>
    </row>
    <row r="7713" spans="1:6" x14ac:dyDescent="0.2">
      <c r="A7713">
        <v>7652</v>
      </c>
      <c r="B7713" s="138">
        <f>'Rest Tax Levies-Tort Im 25'!J8</f>
        <v>0</v>
      </c>
      <c r="D7713" s="2" t="str">
        <f t="shared" si="126"/>
        <v>Error?</v>
      </c>
      <c r="E7713" s="2" t="s">
        <v>880</v>
      </c>
    </row>
    <row r="7714" spans="1:6" x14ac:dyDescent="0.2">
      <c r="A7714">
        <v>7653</v>
      </c>
      <c r="B7714" s="138">
        <f>'Rest Tax Levies-Tort Im 25'!K9</f>
        <v>4888</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0</v>
      </c>
      <c r="D7718" s="2" t="str">
        <f t="shared" si="126"/>
        <v>Error?</v>
      </c>
      <c r="E7718" s="2" t="s">
        <v>880</v>
      </c>
    </row>
    <row r="7719" spans="1:6" x14ac:dyDescent="0.2">
      <c r="A7719">
        <v>7658</v>
      </c>
      <c r="B7719" s="138">
        <f>'Rest Tax Levies-Tort Im 25'!K12</f>
        <v>5806</v>
      </c>
      <c r="D7719" s="2" t="str">
        <f t="shared" si="126"/>
        <v>Error?</v>
      </c>
      <c r="E7719" s="2" t="s">
        <v>880</v>
      </c>
    </row>
    <row r="7720" spans="1:6" x14ac:dyDescent="0.2">
      <c r="A7720">
        <v>7659</v>
      </c>
      <c r="B7720" s="138">
        <f>'Rest Tax Levies-Tort Im 25'!H14</f>
        <v>16727</v>
      </c>
      <c r="D7720" s="2" t="str">
        <f t="shared" si="126"/>
        <v>Error?</v>
      </c>
      <c r="E7720" s="2" t="s">
        <v>880</v>
      </c>
    </row>
    <row r="7721" spans="1:6" x14ac:dyDescent="0.2">
      <c r="A7721">
        <v>7660</v>
      </c>
      <c r="B7721" s="138">
        <f>'Rest Tax Levies-Tort Im 25'!K14</f>
        <v>5806</v>
      </c>
      <c r="D7721" s="2" t="str">
        <f t="shared" si="126"/>
        <v>Error?</v>
      </c>
      <c r="E7721" s="2" t="s">
        <v>880</v>
      </c>
    </row>
    <row r="7722" spans="1:6" x14ac:dyDescent="0.2">
      <c r="A7722">
        <v>7661</v>
      </c>
      <c r="B7722" s="138">
        <f>'Rest Tax Levies-Tort Im 25'!J15</f>
        <v>0</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0</v>
      </c>
      <c r="D7730" s="2" t="str">
        <f t="shared" si="126"/>
        <v>Error?</v>
      </c>
      <c r="E7730" s="2" t="s">
        <v>880</v>
      </c>
    </row>
    <row r="7731" spans="1:6" x14ac:dyDescent="0.2">
      <c r="A7731">
        <v>7670</v>
      </c>
      <c r="B7731" s="138">
        <f>'Revenues 9-14'!H103</f>
        <v>0</v>
      </c>
      <c r="D7731" s="2" t="str">
        <f t="shared" si="126"/>
        <v>Error?</v>
      </c>
      <c r="E7731" s="2" t="s">
        <v>880</v>
      </c>
    </row>
    <row r="7732" spans="1:6" x14ac:dyDescent="0.2">
      <c r="A7732">
        <v>7671</v>
      </c>
      <c r="B7732" s="138">
        <f>'Rest Tax Levies-Tort Im 25'!J24</f>
        <v>0</v>
      </c>
      <c r="D7732" s="2" t="str">
        <f t="shared" si="126"/>
        <v>Error?</v>
      </c>
      <c r="E7732" s="2" t="s">
        <v>880</v>
      </c>
    </row>
    <row r="7733" spans="1:6" x14ac:dyDescent="0.2">
      <c r="A7733">
        <v>7672</v>
      </c>
      <c r="B7733" s="138">
        <f>'Rest Tax Levies-Tort Im 25'!K24</f>
        <v>0</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0</v>
      </c>
      <c r="D7742" s="2" t="str">
        <f t="shared" si="126"/>
        <v>Error?</v>
      </c>
      <c r="E7742" s="2" t="s">
        <v>880</v>
      </c>
    </row>
    <row r="7743" spans="1:6" x14ac:dyDescent="0.2">
      <c r="A7743">
        <v>7682</v>
      </c>
      <c r="B7743" s="138">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0</v>
      </c>
      <c r="D7750" s="2" t="str">
        <f t="shared" si="127"/>
        <v>Error?</v>
      </c>
      <c r="E7750" s="4" t="s">
        <v>1399</v>
      </c>
    </row>
    <row r="7751" spans="1:6" x14ac:dyDescent="0.2">
      <c r="A7751">
        <v>7690</v>
      </c>
      <c r="B7751" s="138">
        <f>'Acct Summary 7-8'!F25</f>
        <v>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1</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1</v>
      </c>
      <c r="D7760" s="2" t="str">
        <f t="shared" si="127"/>
        <v>Error?</v>
      </c>
      <c r="E7760" s="4" t="s">
        <v>1399</v>
      </c>
    </row>
    <row r="7761" spans="1:5" x14ac:dyDescent="0.2">
      <c r="A7761">
        <v>7700</v>
      </c>
      <c r="B7761" s="138">
        <f>'Revenues 9-14'!C260</f>
        <v>0</v>
      </c>
      <c r="D7761" s="2" t="str">
        <f t="shared" si="127"/>
        <v>Error?</v>
      </c>
      <c r="E7761" s="4" t="s">
        <v>1493</v>
      </c>
    </row>
    <row r="7762" spans="1:5" x14ac:dyDescent="0.2">
      <c r="A7762">
        <v>7701</v>
      </c>
      <c r="B7762" s="138">
        <f>'Expenditures 15-22'!E6</f>
        <v>0</v>
      </c>
      <c r="D7762" s="2" t="str">
        <f t="shared" si="127"/>
        <v>Error?</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6559</v>
      </c>
      <c r="D7777" s="2" t="str">
        <f t="shared" si="127"/>
        <v>Error?</v>
      </c>
      <c r="E7777" s="4" t="s">
        <v>1966</v>
      </c>
    </row>
    <row r="7778" spans="1:5" x14ac:dyDescent="0.2">
      <c r="A7778">
        <v>7717</v>
      </c>
      <c r="B7778" s="138">
        <f>'Expenditures 15-22'!K157</f>
        <v>6559</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33806</v>
      </c>
      <c r="D7797" s="2" t="str">
        <f t="shared" si="127"/>
        <v>Error?</v>
      </c>
      <c r="E7797" s="4" t="s">
        <v>2019</v>
      </c>
    </row>
    <row r="7798" spans="1:5" x14ac:dyDescent="0.2">
      <c r="A7798">
        <v>7737</v>
      </c>
      <c r="B7798" s="138">
        <f>'Contracts Paid in CY 29'!F141</f>
        <v>33806</v>
      </c>
      <c r="D7798" s="2" t="str">
        <f t="shared" si="127"/>
        <v>Error?</v>
      </c>
      <c r="E7798" s="4" t="s">
        <v>2019</v>
      </c>
    </row>
    <row r="7799" spans="1:5" x14ac:dyDescent="0.2">
      <c r="A7799">
        <v>7738</v>
      </c>
      <c r="B7799" s="138">
        <f>'Contracts Paid in CY 29'!G141</f>
        <v>0</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1" t="s">
        <v>1252</v>
      </c>
      <c r="B2" s="2421"/>
      <c r="C2" s="2421"/>
      <c r="D2" s="2421"/>
      <c r="E2" s="2421"/>
      <c r="F2" s="2421"/>
      <c r="G2" s="2421"/>
      <c r="H2" s="2421"/>
      <c r="I2" s="2421"/>
      <c r="J2" s="2421"/>
      <c r="K2" s="2421"/>
      <c r="L2" s="2421"/>
    </row>
    <row r="3" spans="1:29" ht="13.5" customHeight="1" x14ac:dyDescent="0.2">
      <c r="A3" s="2407" t="s">
        <v>1251</v>
      </c>
      <c r="B3" s="2407"/>
      <c r="C3" s="2407"/>
      <c r="D3" s="2407"/>
      <c r="E3" s="2407"/>
      <c r="F3" s="2407"/>
      <c r="G3" s="2407"/>
      <c r="H3" s="2407"/>
      <c r="I3" s="2407"/>
      <c r="J3" s="2407"/>
      <c r="K3" s="2407"/>
      <c r="L3" s="2407"/>
    </row>
    <row r="4" spans="1:29" ht="13.5" customHeight="1" x14ac:dyDescent="0.2">
      <c r="A4" s="2421" t="s">
        <v>1798</v>
      </c>
      <c r="B4" s="2438"/>
      <c r="C4" s="2438"/>
      <c r="D4" s="2438"/>
      <c r="E4" s="2438"/>
      <c r="F4" s="2438"/>
      <c r="G4" s="2438"/>
      <c r="H4" s="2438"/>
      <c r="I4" s="2438"/>
      <c r="J4" s="2438"/>
      <c r="K4" s="2438"/>
      <c r="L4" s="2438"/>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1250</v>
      </c>
      <c r="B6" s="1186"/>
      <c r="C6" s="1187"/>
      <c r="D6" s="1187"/>
      <c r="E6" s="1188" t="s">
        <v>1249</v>
      </c>
      <c r="F6" s="1189"/>
      <c r="G6" s="1190" t="s">
        <v>1248</v>
      </c>
      <c r="H6" s="1187"/>
      <c r="I6" s="1187"/>
      <c r="J6" s="1187"/>
      <c r="K6" s="1187"/>
      <c r="L6" s="1191"/>
      <c r="V6" s="1184"/>
      <c r="W6" s="1184"/>
      <c r="X6" s="1184"/>
      <c r="Y6" s="1184"/>
      <c r="Z6" s="1184"/>
      <c r="AA6" s="1184"/>
      <c r="AB6" s="1184"/>
      <c r="AC6" s="1184"/>
    </row>
    <row r="7" spans="1:29" ht="16.5" customHeight="1" x14ac:dyDescent="0.2">
      <c r="A7" s="2401" t="str">
        <f>COVER!A17</f>
        <v>La Moille CUSD 303</v>
      </c>
      <c r="B7" s="2402"/>
      <c r="C7" s="2402"/>
      <c r="D7" s="2439"/>
      <c r="E7" s="2440">
        <f>COVER!A13</f>
        <v>28006303026</v>
      </c>
      <c r="F7" s="2441"/>
      <c r="G7" s="2408">
        <f>COVER!T23</f>
        <v>66.004501000000005</v>
      </c>
      <c r="H7" s="2409"/>
      <c r="I7" s="2409"/>
      <c r="J7" s="2409"/>
      <c r="K7" s="2409"/>
      <c r="L7" s="2410"/>
    </row>
    <row r="8" spans="1:29" ht="13.5" customHeight="1" x14ac:dyDescent="0.2">
      <c r="A8" s="1185" t="s">
        <v>1596</v>
      </c>
      <c r="B8" s="1186"/>
      <c r="C8" s="1187"/>
      <c r="D8" s="1187"/>
      <c r="E8" s="1192"/>
      <c r="F8" s="1191"/>
      <c r="G8" s="1193" t="s">
        <v>1247</v>
      </c>
      <c r="H8" s="1194"/>
      <c r="I8" s="1194"/>
      <c r="J8" s="1194"/>
      <c r="K8" s="1194"/>
      <c r="L8" s="1195"/>
    </row>
    <row r="9" spans="1:29" ht="13.5" customHeight="1" x14ac:dyDescent="0.2">
      <c r="A9" s="2411"/>
      <c r="B9" s="2412"/>
      <c r="C9" s="2412"/>
      <c r="D9" s="2412"/>
      <c r="E9" s="2412"/>
      <c r="F9" s="2413"/>
      <c r="G9" s="2414" t="str">
        <f>COVER!T13</f>
        <v>HOPKINS &amp; ASSOCIATES, CPAS, INC.</v>
      </c>
      <c r="H9" s="2415"/>
      <c r="I9" s="2415"/>
      <c r="J9" s="2415"/>
      <c r="K9" s="2415"/>
      <c r="L9" s="2416"/>
    </row>
    <row r="10" spans="1:29" ht="13.5" customHeight="1" x14ac:dyDescent="0.2">
      <c r="A10" s="2398" t="str">
        <f>COVER!A38</f>
        <v>JAY MCCRACKEN</v>
      </c>
      <c r="B10" s="2399"/>
      <c r="C10" s="2399"/>
      <c r="D10" s="2399"/>
      <c r="E10" s="2399"/>
      <c r="F10" s="2400"/>
      <c r="G10" s="2414" t="str">
        <f>COVER!T17</f>
        <v>314 S. MCCOY ST.</v>
      </c>
      <c r="H10" s="2427"/>
      <c r="I10" s="2427"/>
      <c r="J10" s="2427"/>
      <c r="K10" s="2427"/>
      <c r="L10" s="2428"/>
    </row>
    <row r="11" spans="1:29" ht="13.5" customHeight="1" x14ac:dyDescent="0.2">
      <c r="A11" s="1185" t="s">
        <v>1598</v>
      </c>
      <c r="B11" s="1186"/>
      <c r="C11" s="1187"/>
      <c r="D11" s="1192"/>
      <c r="E11" s="1187"/>
      <c r="F11" s="1191"/>
      <c r="G11" s="2414" t="str">
        <f>COVER!T19</f>
        <v>GRANVILLE</v>
      </c>
      <c r="H11" s="2427"/>
      <c r="I11" s="2427"/>
      <c r="J11" s="2427"/>
      <c r="K11" s="2427"/>
      <c r="L11" s="2428"/>
    </row>
    <row r="12" spans="1:29" ht="13.5" customHeight="1" x14ac:dyDescent="0.2">
      <c r="A12" s="2432" t="s">
        <v>1597</v>
      </c>
      <c r="B12" s="2433"/>
      <c r="C12" s="2433"/>
      <c r="D12" s="2433"/>
      <c r="E12" s="2433"/>
      <c r="F12" s="2434"/>
      <c r="G12" s="2429"/>
      <c r="H12" s="2430"/>
      <c r="I12" s="2430"/>
      <c r="J12" s="2430"/>
      <c r="K12" s="2430"/>
      <c r="L12" s="2431"/>
    </row>
    <row r="13" spans="1:29" ht="13.5" customHeight="1" x14ac:dyDescent="0.2">
      <c r="A13" s="2414"/>
      <c r="B13" s="2427"/>
      <c r="C13" s="2427"/>
      <c r="D13" s="2427"/>
      <c r="E13" s="2427"/>
      <c r="F13" s="2428"/>
      <c r="G13" s="2422" t="s">
        <v>1599</v>
      </c>
      <c r="H13" s="2423"/>
      <c r="I13" s="2435" t="str">
        <f>COVER!T25</f>
        <v>joel@hopkinsoffice.com</v>
      </c>
      <c r="J13" s="2436"/>
      <c r="K13" s="2436"/>
      <c r="L13" s="2437"/>
    </row>
    <row r="14" spans="1:29" ht="13.5" customHeight="1" x14ac:dyDescent="0.2">
      <c r="A14" s="2414" t="str">
        <f>COVER!A19</f>
        <v>801 S. MAIN ST.</v>
      </c>
      <c r="B14" s="2427"/>
      <c r="C14" s="2427"/>
      <c r="D14" s="2427"/>
      <c r="E14" s="2427"/>
      <c r="F14" s="2428"/>
      <c r="G14" s="1196" t="s">
        <v>1246</v>
      </c>
      <c r="H14" s="1194"/>
      <c r="I14" s="1194"/>
      <c r="J14" s="1194"/>
      <c r="K14" s="1194"/>
      <c r="L14" s="1195"/>
    </row>
    <row r="15" spans="1:29" ht="13.5" customHeight="1" x14ac:dyDescent="0.2">
      <c r="A15" s="2414" t="str">
        <f>COVER!A21</f>
        <v>LA MOILLE</v>
      </c>
      <c r="B15" s="2427"/>
      <c r="C15" s="2427"/>
      <c r="D15" s="2427"/>
      <c r="E15" s="2427"/>
      <c r="F15" s="2428"/>
      <c r="G15" s="2424" t="str">
        <f>COVER!T15</f>
        <v>JOEL HOPKINS</v>
      </c>
      <c r="H15" s="2425"/>
      <c r="I15" s="2425"/>
      <c r="J15" s="2425"/>
      <c r="K15" s="2425"/>
      <c r="L15" s="2426"/>
    </row>
    <row r="16" spans="1:29" ht="12.2" customHeight="1" x14ac:dyDescent="0.2">
      <c r="A16" s="2404">
        <f>COVER!A25</f>
        <v>61330</v>
      </c>
      <c r="B16" s="2405"/>
      <c r="C16" s="2405"/>
      <c r="D16" s="2405"/>
      <c r="E16" s="2405"/>
      <c r="F16" s="2406"/>
      <c r="G16" s="2417"/>
      <c r="H16" s="2418"/>
      <c r="I16" s="2418"/>
      <c r="J16" s="2418"/>
      <c r="K16" s="2418"/>
      <c r="L16" s="2419"/>
    </row>
    <row r="17" spans="1:13" ht="12.2" customHeight="1" x14ac:dyDescent="0.2">
      <c r="A17" s="2420"/>
      <c r="B17" s="2405"/>
      <c r="C17" s="2405"/>
      <c r="D17" s="2405"/>
      <c r="E17" s="2405"/>
      <c r="F17" s="2406"/>
      <c r="G17" s="1196" t="s">
        <v>1245</v>
      </c>
      <c r="H17" s="1194"/>
      <c r="I17" s="1194"/>
      <c r="J17" s="1194"/>
      <c r="K17" s="1198" t="s">
        <v>1244</v>
      </c>
      <c r="L17" s="1191"/>
      <c r="M17" s="1184"/>
    </row>
    <row r="18" spans="1:13" ht="12.2" customHeight="1" x14ac:dyDescent="0.2">
      <c r="A18" s="2398"/>
      <c r="B18" s="2399"/>
      <c r="C18" s="2399"/>
      <c r="D18" s="2399"/>
      <c r="E18" s="2399"/>
      <c r="F18" s="2400"/>
      <c r="G18" s="2401" t="str">
        <f>COVER!T21</f>
        <v>815-339-6630</v>
      </c>
      <c r="H18" s="2402"/>
      <c r="I18" s="2402"/>
      <c r="J18" s="2402"/>
      <c r="K18" s="2401" t="str">
        <f>COVER!X21</f>
        <v>815-339-6643</v>
      </c>
      <c r="L18" s="2403"/>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1230</v>
      </c>
      <c r="K20" s="1177" t="s">
        <v>1230</v>
      </c>
    </row>
    <row r="21" spans="1:13" ht="12.2" customHeight="1" x14ac:dyDescent="0.2">
      <c r="A21" s="1200" t="s">
        <v>1799</v>
      </c>
    </row>
    <row r="22" spans="1:13" ht="12.2" customHeight="1" x14ac:dyDescent="0.2">
      <c r="A22" s="1201"/>
    </row>
    <row r="23" spans="1:13" ht="12.2" customHeight="1" x14ac:dyDescent="0.2">
      <c r="A23" s="1201"/>
      <c r="B23" s="1202"/>
      <c r="C23" s="1203" t="s">
        <v>1243</v>
      </c>
    </row>
    <row r="24" spans="1:13" ht="10.15" customHeight="1" x14ac:dyDescent="0.2">
      <c r="A24" s="1201"/>
      <c r="C24" s="1203" t="s">
        <v>1242</v>
      </c>
    </row>
    <row r="25" spans="1:13" ht="9" customHeight="1" x14ac:dyDescent="0.2">
      <c r="B25" s="1204" t="s">
        <v>1230</v>
      </c>
      <c r="C25" s="1205"/>
    </row>
    <row r="26" spans="1:13" s="1199" customFormat="1" ht="12.2" customHeight="1" x14ac:dyDescent="0.2">
      <c r="B26" s="1202"/>
      <c r="C26" s="1203" t="s">
        <v>1800</v>
      </c>
    </row>
    <row r="27" spans="1:13" s="1199" customFormat="1" ht="9" customHeight="1" x14ac:dyDescent="0.2">
      <c r="B27" s="1204"/>
      <c r="C27" s="1203"/>
    </row>
    <row r="28" spans="1:13" s="1199" customFormat="1" ht="12.2" customHeight="1" x14ac:dyDescent="0.2">
      <c r="A28" s="1206"/>
      <c r="B28" s="1202"/>
      <c r="C28" s="1203" t="s">
        <v>1801</v>
      </c>
    </row>
    <row r="29" spans="1:13" s="1199" customFormat="1" ht="9" customHeight="1" x14ac:dyDescent="0.2">
      <c r="A29" s="1206"/>
      <c r="B29" s="1204"/>
      <c r="C29" s="1203"/>
    </row>
    <row r="30" spans="1:13" s="1199" customFormat="1" ht="12.2" customHeight="1" x14ac:dyDescent="0.2">
      <c r="B30" s="1202"/>
      <c r="C30" s="1203" t="s">
        <v>1642</v>
      </c>
      <c r="D30" s="1197"/>
      <c r="E30" s="1197"/>
    </row>
    <row r="31" spans="1:13" s="1199" customFormat="1" ht="9" customHeight="1" x14ac:dyDescent="0.2">
      <c r="B31" s="1204"/>
      <c r="C31" s="1203"/>
      <c r="D31" s="1197"/>
      <c r="E31" s="1197"/>
    </row>
    <row r="32" spans="1:13" s="1199" customFormat="1" ht="12.2" customHeight="1" x14ac:dyDescent="0.2">
      <c r="B32" s="1202"/>
      <c r="C32" s="1203" t="s">
        <v>1643</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c r="C35" s="1203" t="s">
        <v>1644</v>
      </c>
    </row>
    <row r="36" spans="1:8" s="1199" customFormat="1" ht="10.9" customHeight="1" x14ac:dyDescent="0.2">
      <c r="B36" s="1204"/>
      <c r="C36" s="1207" t="s">
        <v>1645</v>
      </c>
    </row>
    <row r="37" spans="1:8" ht="9" customHeight="1" x14ac:dyDescent="0.2">
      <c r="B37" s="1204"/>
      <c r="C37" s="1207"/>
    </row>
    <row r="38" spans="1:8" s="1199" customFormat="1" ht="12.2" customHeight="1" x14ac:dyDescent="0.2">
      <c r="B38" s="1202"/>
      <c r="C38" s="1203" t="s">
        <v>1646</v>
      </c>
    </row>
    <row r="39" spans="1:8" ht="9" customHeight="1" x14ac:dyDescent="0.2">
      <c r="B39" s="1204"/>
      <c r="C39" s="1207"/>
    </row>
    <row r="40" spans="1:8" s="1199" customFormat="1" ht="13.5" customHeight="1" x14ac:dyDescent="0.2">
      <c r="B40" s="1202"/>
      <c r="C40" s="1203" t="s">
        <v>1647</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1241</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1648</v>
      </c>
      <c r="D46" s="1197"/>
      <c r="E46" s="1197"/>
      <c r="F46" s="1197"/>
      <c r="G46" s="1197"/>
      <c r="H46" s="1197"/>
    </row>
    <row r="47" spans="1:8" ht="9" customHeight="1" x14ac:dyDescent="0.2"/>
    <row r="48" spans="1:8" ht="12.2" customHeight="1" x14ac:dyDescent="0.2">
      <c r="B48" s="1211"/>
      <c r="C48" s="1212" t="s">
        <v>1649</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2" t="str">
        <f>'Single Audit Cover'!A7</f>
        <v>La Moille CUSD 303</v>
      </c>
      <c r="B1" s="2438"/>
      <c r="C1" s="2438"/>
      <c r="D1" s="2438"/>
    </row>
    <row r="2" spans="1:11" s="1215" customFormat="1" ht="12.75" x14ac:dyDescent="0.2">
      <c r="A2" s="2443">
        <f>'Single Audit Cover'!E7</f>
        <v>28006303026</v>
      </c>
      <c r="B2" s="2444"/>
      <c r="C2" s="2444"/>
      <c r="D2" s="2444"/>
    </row>
    <row r="3" spans="1:11" s="1215" customFormat="1" ht="12.75" x14ac:dyDescent="0.2">
      <c r="A3" s="2442" t="s">
        <v>1592</v>
      </c>
      <c r="B3" s="2438"/>
      <c r="C3" s="2438"/>
      <c r="D3" s="2438"/>
    </row>
    <row r="4" spans="1:11" s="1215" customFormat="1" ht="4.5" customHeight="1" x14ac:dyDescent="0.2">
      <c r="A4" s="1216"/>
      <c r="B4" s="1217"/>
      <c r="C4" s="1217"/>
      <c r="D4" s="1217"/>
    </row>
    <row r="5" spans="1:11" x14ac:dyDescent="0.2">
      <c r="B5" s="1219" t="s">
        <v>1593</v>
      </c>
      <c r="C5" s="1220"/>
      <c r="D5" s="1221"/>
    </row>
    <row r="6" spans="1:11" x14ac:dyDescent="0.2">
      <c r="B6" s="1219" t="s">
        <v>1286</v>
      </c>
      <c r="C6" s="1220"/>
      <c r="D6" s="1221"/>
    </row>
    <row r="7" spans="1:11" x14ac:dyDescent="0.2">
      <c r="B7" s="1219" t="s">
        <v>1594</v>
      </c>
      <c r="C7" s="1220"/>
      <c r="D7" s="1221"/>
    </row>
    <row r="8" spans="1:11" ht="4.5" customHeight="1" x14ac:dyDescent="0.2">
      <c r="B8" s="1219"/>
      <c r="C8" s="1220"/>
      <c r="D8" s="1221"/>
    </row>
    <row r="9" spans="1:11" x14ac:dyDescent="0.2">
      <c r="B9" s="1223" t="s">
        <v>1285</v>
      </c>
      <c r="C9" s="1224"/>
      <c r="D9" s="1221"/>
    </row>
    <row r="10" spans="1:11" ht="4.5" customHeight="1" x14ac:dyDescent="0.2">
      <c r="B10" s="1223"/>
      <c r="C10" s="1224"/>
      <c r="D10" s="1221"/>
    </row>
    <row r="11" spans="1:11" x14ac:dyDescent="0.2">
      <c r="B11" s="1225"/>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1806</v>
      </c>
      <c r="E15" s="1228"/>
      <c r="F15" s="1228"/>
      <c r="G15" s="1228"/>
      <c r="H15" s="1228"/>
      <c r="I15" s="1228"/>
      <c r="J15" s="1228"/>
      <c r="K15" s="1228"/>
    </row>
    <row r="16" spans="1:11" ht="10.5" customHeight="1" x14ac:dyDescent="0.2">
      <c r="B16" s="1231"/>
      <c r="D16" s="1230" t="s">
        <v>1284</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1807</v>
      </c>
      <c r="E18" s="1228"/>
      <c r="F18" s="1228"/>
      <c r="G18" s="1228"/>
      <c r="H18" s="1228"/>
      <c r="I18" s="1228"/>
      <c r="J18" s="1228"/>
      <c r="K18" s="1228"/>
    </row>
    <row r="19" spans="1:11" ht="9.75" customHeight="1" x14ac:dyDescent="0.2">
      <c r="A19" s="1222"/>
      <c r="B19" s="1231"/>
      <c r="D19" s="1230" t="s">
        <v>1283</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1282</v>
      </c>
      <c r="E21" s="1228"/>
      <c r="F21" s="1228"/>
      <c r="G21" s="1228"/>
      <c r="H21" s="1228"/>
      <c r="I21" s="1228"/>
      <c r="J21" s="1228"/>
      <c r="K21" s="1228"/>
    </row>
    <row r="22" spans="1:11" ht="10.5" customHeight="1" x14ac:dyDescent="0.2">
      <c r="A22" s="1222"/>
      <c r="B22" s="1231"/>
      <c r="D22" s="1230" t="s">
        <v>1281</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1650</v>
      </c>
      <c r="E28" s="1228"/>
      <c r="F28" s="1228"/>
      <c r="G28" s="1228"/>
      <c r="H28" s="1228"/>
      <c r="I28" s="1228"/>
      <c r="J28" s="1228"/>
      <c r="K28" s="1228"/>
    </row>
    <row r="29" spans="1:11" ht="10.5" customHeight="1" x14ac:dyDescent="0.2">
      <c r="A29" s="1222"/>
      <c r="D29" s="1236" t="s">
        <v>1651</v>
      </c>
    </row>
    <row r="30" spans="1:11" ht="6" customHeight="1" x14ac:dyDescent="0.2">
      <c r="A30" s="1222"/>
      <c r="D30" s="1221"/>
    </row>
    <row r="31" spans="1:11" x14ac:dyDescent="0.2">
      <c r="A31" s="1222"/>
      <c r="B31" s="1223" t="s">
        <v>1280</v>
      </c>
      <c r="C31" s="1224"/>
      <c r="D31" s="1221"/>
    </row>
    <row r="32" spans="1:11" ht="4.5" customHeight="1" x14ac:dyDescent="0.2">
      <c r="A32" s="1222"/>
      <c r="B32" s="1223"/>
      <c r="C32" s="1224"/>
      <c r="D32" s="1221"/>
    </row>
    <row r="33" spans="1:5" x14ac:dyDescent="0.2">
      <c r="A33" s="1222"/>
      <c r="B33" s="1225"/>
      <c r="C33" s="1226">
        <v>8</v>
      </c>
      <c r="D33" s="1237" t="s">
        <v>1279</v>
      </c>
    </row>
    <row r="34" spans="1:5" ht="10.5" customHeight="1" x14ac:dyDescent="0.2">
      <c r="A34" s="1222"/>
      <c r="B34" s="1238"/>
      <c r="C34" s="1226"/>
      <c r="D34" s="1237" t="s">
        <v>1652</v>
      </c>
    </row>
    <row r="35" spans="1:5" ht="3" customHeight="1" x14ac:dyDescent="0.2">
      <c r="A35" s="1222"/>
      <c r="B35" s="1231"/>
      <c r="D35" s="1221"/>
    </row>
    <row r="36" spans="1:5" x14ac:dyDescent="0.2">
      <c r="A36" s="1222"/>
      <c r="B36" s="1225"/>
      <c r="C36" s="1226">
        <f>C33+1</f>
        <v>9</v>
      </c>
      <c r="D36" s="1237" t="s">
        <v>1278</v>
      </c>
    </row>
    <row r="37" spans="1:5" ht="10.5" customHeight="1" x14ac:dyDescent="0.2">
      <c r="A37" s="1222"/>
      <c r="B37" s="1231"/>
      <c r="D37" s="1237" t="s">
        <v>1652</v>
      </c>
    </row>
    <row r="38" spans="1:5" ht="3" customHeight="1" x14ac:dyDescent="0.2">
      <c r="A38" s="1222"/>
      <c r="B38" s="1239"/>
      <c r="C38" s="1240"/>
      <c r="D38" s="1221"/>
    </row>
    <row r="39" spans="1:5" x14ac:dyDescent="0.2">
      <c r="A39" s="1222"/>
      <c r="B39" s="1241"/>
      <c r="C39" s="1232">
        <f>C36+1</f>
        <v>10</v>
      </c>
      <c r="D39" s="1221" t="s">
        <v>1277</v>
      </c>
    </row>
    <row r="40" spans="1:5" ht="10.5" customHeight="1" x14ac:dyDescent="0.2">
      <c r="A40" s="1222"/>
      <c r="B40" s="1242"/>
      <c r="C40" s="1240"/>
      <c r="D40" s="1221" t="s">
        <v>1653</v>
      </c>
    </row>
    <row r="41" spans="1:5" ht="3" customHeight="1" x14ac:dyDescent="0.2">
      <c r="A41" s="1222"/>
      <c r="B41" s="1239"/>
      <c r="C41" s="1240"/>
      <c r="D41" s="1221"/>
    </row>
    <row r="42" spans="1:5" ht="10.5" customHeight="1" x14ac:dyDescent="0.2">
      <c r="A42" s="1222"/>
      <c r="B42" s="1241"/>
      <c r="C42" s="1232">
        <v>11</v>
      </c>
      <c r="D42" s="1243" t="s">
        <v>1654</v>
      </c>
      <c r="E42" s="312"/>
    </row>
    <row r="43" spans="1:5" ht="3" customHeight="1" x14ac:dyDescent="0.2">
      <c r="A43" s="1222"/>
      <c r="B43" s="1239"/>
      <c r="C43" s="1240"/>
      <c r="D43" s="1221"/>
    </row>
    <row r="44" spans="1:5" x14ac:dyDescent="0.2">
      <c r="A44" s="1222"/>
      <c r="B44" s="1225"/>
      <c r="C44" s="1226">
        <f>C42+1</f>
        <v>12</v>
      </c>
      <c r="D44" s="1237" t="s">
        <v>1276</v>
      </c>
    </row>
    <row r="45" spans="1:5" ht="10.5" customHeight="1" x14ac:dyDescent="0.2">
      <c r="A45" s="1222"/>
      <c r="B45" s="1238"/>
      <c r="C45" s="1226"/>
      <c r="D45" s="1237" t="s">
        <v>1275</v>
      </c>
    </row>
    <row r="46" spans="1:5" ht="10.5" customHeight="1" x14ac:dyDescent="0.2">
      <c r="A46" s="1222"/>
      <c r="B46" s="1239"/>
      <c r="C46" s="1240"/>
      <c r="D46" s="1237" t="s">
        <v>1274</v>
      </c>
    </row>
    <row r="47" spans="1:5" ht="3" customHeight="1" x14ac:dyDescent="0.2">
      <c r="A47" s="1222"/>
      <c r="B47" s="1239"/>
      <c r="C47" s="1240"/>
      <c r="D47" s="1237"/>
    </row>
    <row r="48" spans="1:5" x14ac:dyDescent="0.2">
      <c r="A48" s="1222"/>
      <c r="B48" s="1225"/>
      <c r="C48" s="1226">
        <f>C44+1</f>
        <v>13</v>
      </c>
      <c r="D48" s="1237" t="s">
        <v>1655</v>
      </c>
    </row>
    <row r="49" spans="1:4" ht="3" customHeight="1" x14ac:dyDescent="0.2">
      <c r="A49" s="1222"/>
      <c r="B49" s="1229"/>
      <c r="C49" s="1226"/>
      <c r="D49" s="1237"/>
    </row>
    <row r="50" spans="1:4" x14ac:dyDescent="0.2">
      <c r="A50" s="1222"/>
      <c r="B50" s="1225"/>
      <c r="C50" s="1226">
        <f>C48+1</f>
        <v>14</v>
      </c>
      <c r="D50" s="1237" t="s">
        <v>1273</v>
      </c>
    </row>
    <row r="51" spans="1:4" ht="3" customHeight="1" x14ac:dyDescent="0.2">
      <c r="A51" s="1222"/>
      <c r="B51" s="1229"/>
      <c r="C51" s="1226"/>
      <c r="D51" s="1237"/>
    </row>
    <row r="52" spans="1:4" x14ac:dyDescent="0.2">
      <c r="A52" s="1222"/>
      <c r="B52" s="1225"/>
      <c r="C52" s="1226">
        <f>C50+1</f>
        <v>15</v>
      </c>
      <c r="D52" s="1237" t="s">
        <v>1272</v>
      </c>
    </row>
    <row r="53" spans="1:4" ht="3" customHeight="1" x14ac:dyDescent="0.2">
      <c r="A53" s="1222"/>
      <c r="B53" s="1229"/>
      <c r="C53" s="1226"/>
      <c r="D53" s="1237"/>
    </row>
    <row r="54" spans="1:4" x14ac:dyDescent="0.2">
      <c r="A54" s="1222"/>
      <c r="B54" s="1225"/>
      <c r="C54" s="1226">
        <f>C52+1</f>
        <v>16</v>
      </c>
      <c r="D54" s="1237" t="s">
        <v>1271</v>
      </c>
    </row>
    <row r="55" spans="1:4" ht="3" customHeight="1" x14ac:dyDescent="0.2">
      <c r="A55" s="1222"/>
      <c r="B55" s="1229"/>
      <c r="C55" s="1226"/>
      <c r="D55" s="1237"/>
    </row>
    <row r="56" spans="1:4" x14ac:dyDescent="0.2">
      <c r="A56" s="1222"/>
      <c r="B56" s="1225"/>
      <c r="C56" s="1226">
        <f>C54+1</f>
        <v>17</v>
      </c>
      <c r="D56" s="1221" t="s">
        <v>1810</v>
      </c>
    </row>
    <row r="57" spans="1:4" ht="10.5" customHeight="1" x14ac:dyDescent="0.2">
      <c r="A57" s="1222"/>
      <c r="D57" s="1237" t="s">
        <v>1811</v>
      </c>
    </row>
    <row r="58" spans="1:4" x14ac:dyDescent="0.2">
      <c r="A58" s="1222"/>
      <c r="C58" s="1244"/>
      <c r="D58" s="1237" t="s">
        <v>1812</v>
      </c>
    </row>
    <row r="59" spans="1:4" ht="10.5" customHeight="1" x14ac:dyDescent="0.2">
      <c r="A59" s="1222"/>
      <c r="D59" s="1221" t="s">
        <v>1270</v>
      </c>
    </row>
    <row r="60" spans="1:4" ht="10.5" customHeight="1" x14ac:dyDescent="0.2">
      <c r="A60" s="1222"/>
      <c r="D60" s="1245" t="s">
        <v>1680</v>
      </c>
    </row>
    <row r="61" spans="1:4" ht="10.5" customHeight="1" x14ac:dyDescent="0.2">
      <c r="A61" s="1222"/>
      <c r="C61" s="1244"/>
      <c r="D61" s="1237" t="s">
        <v>1813</v>
      </c>
    </row>
    <row r="62" spans="1:4" ht="10.5" customHeight="1" x14ac:dyDescent="0.2">
      <c r="A62" s="1222"/>
      <c r="D62" s="1246" t="s">
        <v>1269</v>
      </c>
    </row>
    <row r="63" spans="1:4" ht="10.5" customHeight="1" x14ac:dyDescent="0.2">
      <c r="A63" s="1222"/>
      <c r="D63" s="1221" t="s">
        <v>1656</v>
      </c>
    </row>
    <row r="64" spans="1:4" ht="10.5" customHeight="1" x14ac:dyDescent="0.2">
      <c r="A64" s="1222"/>
      <c r="D64" s="1245" t="s">
        <v>1679</v>
      </c>
    </row>
    <row r="65" spans="1:4" x14ac:dyDescent="0.2">
      <c r="A65" s="1222"/>
      <c r="C65" s="1244"/>
      <c r="D65" s="1237" t="s">
        <v>1814</v>
      </c>
    </row>
    <row r="66" spans="1:4" ht="10.5" customHeight="1" x14ac:dyDescent="0.2">
      <c r="A66" s="1222"/>
      <c r="D66" s="1247" t="s">
        <v>1268</v>
      </c>
    </row>
    <row r="67" spans="1:4" ht="10.5" customHeight="1" x14ac:dyDescent="0.2">
      <c r="A67" s="1222"/>
      <c r="D67" s="1221" t="s">
        <v>1657</v>
      </c>
    </row>
    <row r="68" spans="1:4" ht="10.5" customHeight="1" x14ac:dyDescent="0.2">
      <c r="A68" s="1222"/>
      <c r="D68" s="1245" t="s">
        <v>1679</v>
      </c>
    </row>
    <row r="69" spans="1:4" ht="10.5" customHeight="1" x14ac:dyDescent="0.2">
      <c r="A69" s="1222"/>
      <c r="C69" s="1244"/>
      <c r="D69" s="1237" t="s">
        <v>1815</v>
      </c>
    </row>
    <row r="70" spans="1:4" x14ac:dyDescent="0.2">
      <c r="A70" s="1222"/>
      <c r="D70" s="1246" t="s">
        <v>1267</v>
      </c>
    </row>
    <row r="71" spans="1:4" ht="3" customHeight="1" x14ac:dyDescent="0.2">
      <c r="A71" s="1222"/>
      <c r="D71" s="1221"/>
    </row>
    <row r="72" spans="1:4" x14ac:dyDescent="0.2">
      <c r="A72" s="1222"/>
      <c r="B72" s="1225"/>
      <c r="C72" s="1226">
        <f>C56+1</f>
        <v>18</v>
      </c>
      <c r="D72" s="1247" t="s">
        <v>1816</v>
      </c>
    </row>
    <row r="73" spans="1:4" ht="3" customHeight="1" x14ac:dyDescent="0.2">
      <c r="A73" s="1222"/>
      <c r="B73" s="1229"/>
      <c r="C73" s="1226"/>
      <c r="D73" s="1247"/>
    </row>
    <row r="74" spans="1:4" x14ac:dyDescent="0.2">
      <c r="A74" s="1222"/>
      <c r="B74" s="1225"/>
      <c r="C74" s="1226">
        <f>C72+1</f>
        <v>19</v>
      </c>
      <c r="D74" s="1237" t="s">
        <v>1266</v>
      </c>
    </row>
    <row r="75" spans="1:4" ht="3" customHeight="1" x14ac:dyDescent="0.2">
      <c r="A75" s="1222"/>
      <c r="B75" s="1229"/>
      <c r="C75" s="1226"/>
      <c r="D75" s="1237"/>
    </row>
    <row r="76" spans="1:4" x14ac:dyDescent="0.2">
      <c r="A76" s="1222"/>
      <c r="B76" s="1225"/>
      <c r="C76" s="1226">
        <f>C74+1</f>
        <v>20</v>
      </c>
      <c r="D76" s="1248" t="s">
        <v>1817</v>
      </c>
    </row>
    <row r="77" spans="1:4" ht="3" customHeight="1" x14ac:dyDescent="0.2">
      <c r="A77" s="1222"/>
      <c r="B77" s="1229"/>
      <c r="C77" s="1226"/>
      <c r="D77" s="1248"/>
    </row>
    <row r="78" spans="1:4" x14ac:dyDescent="0.2">
      <c r="A78" s="1222"/>
      <c r="B78" s="1225"/>
      <c r="C78" s="1226">
        <f>C76+1</f>
        <v>21</v>
      </c>
      <c r="D78" s="1221" t="s">
        <v>1818</v>
      </c>
    </row>
    <row r="79" spans="1:4" ht="3" customHeight="1" x14ac:dyDescent="0.2">
      <c r="A79" s="1222"/>
      <c r="B79" s="1229"/>
      <c r="C79" s="1226"/>
      <c r="D79" s="1221"/>
    </row>
    <row r="80" spans="1:4" x14ac:dyDescent="0.2">
      <c r="A80" s="1222"/>
      <c r="B80" s="1225"/>
      <c r="C80" s="1226">
        <f>C78+1</f>
        <v>22</v>
      </c>
      <c r="D80" s="1249" t="s">
        <v>1819</v>
      </c>
    </row>
    <row r="81" spans="1:4" ht="3" customHeight="1" x14ac:dyDescent="0.2">
      <c r="A81" s="1222"/>
      <c r="B81" s="1229"/>
      <c r="C81" s="1226"/>
      <c r="D81" s="1249"/>
    </row>
    <row r="82" spans="1:4" x14ac:dyDescent="0.2">
      <c r="A82" s="1222"/>
      <c r="B82" s="1225"/>
      <c r="C82" s="1226">
        <f>C80+1</f>
        <v>23</v>
      </c>
      <c r="D82" s="1248" t="s">
        <v>1820</v>
      </c>
    </row>
    <row r="83" spans="1:4" ht="10.5" customHeight="1" x14ac:dyDescent="0.2">
      <c r="A83" s="1222"/>
      <c r="B83" s="1231"/>
      <c r="D83" s="1237" t="s">
        <v>1265</v>
      </c>
    </row>
    <row r="84" spans="1:4" ht="3" customHeight="1" x14ac:dyDescent="0.2">
      <c r="A84" s="1222"/>
      <c r="B84" s="1231"/>
      <c r="D84" s="1237"/>
    </row>
    <row r="85" spans="1:4" x14ac:dyDescent="0.2">
      <c r="A85" s="1222"/>
      <c r="B85" s="1225"/>
      <c r="C85" s="1226">
        <f>C82+1</f>
        <v>24</v>
      </c>
      <c r="D85" s="1237" t="s">
        <v>1264</v>
      </c>
    </row>
    <row r="86" spans="1:4" ht="3" customHeight="1" x14ac:dyDescent="0.2">
      <c r="A86" s="1222"/>
      <c r="B86" s="1229"/>
      <c r="C86" s="1226"/>
      <c r="D86" s="1237"/>
    </row>
    <row r="87" spans="1:4" x14ac:dyDescent="0.2">
      <c r="A87" s="1222"/>
      <c r="B87" s="1225"/>
      <c r="C87" s="1226">
        <f>C85+1</f>
        <v>25</v>
      </c>
      <c r="D87" s="1237" t="s">
        <v>1263</v>
      </c>
    </row>
    <row r="88" spans="1:4" ht="3" customHeight="1" x14ac:dyDescent="0.2">
      <c r="A88" s="1222"/>
      <c r="B88" s="1229"/>
      <c r="C88" s="1226"/>
      <c r="D88" s="1237"/>
    </row>
    <row r="89" spans="1:4" x14ac:dyDescent="0.2">
      <c r="A89" s="1222"/>
      <c r="B89" s="1225"/>
      <c r="C89" s="1226">
        <f>C87+1</f>
        <v>26</v>
      </c>
      <c r="D89" s="1237" t="s">
        <v>1262</v>
      </c>
    </row>
    <row r="90" spans="1:4" ht="3" customHeight="1" x14ac:dyDescent="0.2">
      <c r="A90" s="1222"/>
      <c r="B90" s="1229"/>
      <c r="C90" s="1226"/>
      <c r="D90" s="1237"/>
    </row>
    <row r="91" spans="1:4" x14ac:dyDescent="0.2">
      <c r="A91" s="1222"/>
      <c r="B91" s="1225"/>
      <c r="C91" s="1226">
        <f>C89+1</f>
        <v>27</v>
      </c>
      <c r="D91" s="1237" t="s">
        <v>1821</v>
      </c>
    </row>
    <row r="92" spans="1:4" x14ac:dyDescent="0.2">
      <c r="A92" s="1222"/>
      <c r="B92" s="1250"/>
      <c r="C92" s="1244"/>
      <c r="D92" s="1237" t="s">
        <v>1261</v>
      </c>
    </row>
    <row r="93" spans="1:4" ht="4.5" customHeight="1" x14ac:dyDescent="0.2">
      <c r="A93" s="1222"/>
      <c r="D93" s="1221"/>
    </row>
    <row r="94" spans="1:4" x14ac:dyDescent="0.2">
      <c r="A94" s="1222"/>
      <c r="B94" s="1223" t="s">
        <v>1658</v>
      </c>
      <c r="C94" s="1224"/>
      <c r="D94" s="1221"/>
    </row>
    <row r="95" spans="1:4" ht="4.5" customHeight="1" x14ac:dyDescent="0.2">
      <c r="A95" s="1222"/>
      <c r="B95" s="1223"/>
      <c r="C95" s="1224"/>
      <c r="D95" s="1221"/>
    </row>
    <row r="96" spans="1:4" x14ac:dyDescent="0.2">
      <c r="A96" s="1222"/>
      <c r="B96" s="1225"/>
      <c r="C96" s="1226">
        <f>C91+1</f>
        <v>28</v>
      </c>
      <c r="D96" s="1237" t="s">
        <v>1822</v>
      </c>
    </row>
    <row r="97" spans="1:4" ht="3" customHeight="1" x14ac:dyDescent="0.2">
      <c r="A97" s="1222"/>
      <c r="B97" s="1229"/>
      <c r="C97" s="1226"/>
      <c r="D97" s="1237"/>
    </row>
    <row r="98" spans="1:4" x14ac:dyDescent="0.2">
      <c r="A98" s="1222"/>
      <c r="B98" s="1225"/>
      <c r="C98" s="1226">
        <f>C96+1</f>
        <v>29</v>
      </c>
      <c r="D98" s="1251" t="s">
        <v>1823</v>
      </c>
    </row>
    <row r="99" spans="1:4" ht="3" customHeight="1" x14ac:dyDescent="0.2">
      <c r="A99" s="1222"/>
      <c r="B99" s="1229"/>
      <c r="C99" s="1226"/>
      <c r="D99" s="1251"/>
    </row>
    <row r="100" spans="1:4" x14ac:dyDescent="0.2">
      <c r="A100" s="1222"/>
      <c r="B100" s="1225"/>
      <c r="C100" s="1226">
        <f>C98+1</f>
        <v>30</v>
      </c>
      <c r="D100" s="1237" t="s">
        <v>1824</v>
      </c>
    </row>
    <row r="101" spans="1:4" ht="3" customHeight="1" x14ac:dyDescent="0.2">
      <c r="A101" s="1222"/>
      <c r="B101" s="1229"/>
      <c r="C101" s="1226"/>
      <c r="D101" s="1252"/>
    </row>
    <row r="102" spans="1:4" x14ac:dyDescent="0.2">
      <c r="A102" s="1222"/>
      <c r="B102" s="1225"/>
      <c r="C102" s="1226">
        <f>C100+1</f>
        <v>31</v>
      </c>
      <c r="D102" s="1237" t="s">
        <v>1659</v>
      </c>
    </row>
    <row r="103" spans="1:4" ht="4.5" customHeight="1" x14ac:dyDescent="0.2">
      <c r="A103" s="1222"/>
      <c r="B103" s="312"/>
      <c r="C103" s="1226"/>
      <c r="D103" s="1237"/>
    </row>
    <row r="104" spans="1:4" ht="14.1" customHeight="1" x14ac:dyDescent="0.2">
      <c r="A104" s="1222"/>
      <c r="B104" s="1253" t="s">
        <v>1260</v>
      </c>
    </row>
    <row r="105" spans="1:4" ht="4.5" customHeight="1" x14ac:dyDescent="0.2">
      <c r="A105" s="1222"/>
      <c r="B105" s="1253"/>
    </row>
    <row r="106" spans="1:4" x14ac:dyDescent="0.2">
      <c r="A106" s="1222"/>
      <c r="B106" s="1225"/>
      <c r="C106" s="1226">
        <f>C102+1</f>
        <v>32</v>
      </c>
      <c r="D106" s="1221" t="s">
        <v>1660</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1259</v>
      </c>
    </row>
    <row r="111" spans="1:4" ht="3" customHeight="1" x14ac:dyDescent="0.2">
      <c r="A111" s="1222"/>
      <c r="B111" s="1229"/>
      <c r="C111" s="1226"/>
      <c r="D111" s="1221"/>
    </row>
    <row r="112" spans="1:4" x14ac:dyDescent="0.2">
      <c r="A112" s="1222"/>
      <c r="B112" s="1225"/>
      <c r="C112" s="1226">
        <f>C110+1</f>
        <v>35</v>
      </c>
      <c r="D112" s="1221" t="s">
        <v>1258</v>
      </c>
    </row>
    <row r="113" spans="1:4" ht="11.25" customHeight="1" x14ac:dyDescent="0.2">
      <c r="A113" s="1222"/>
      <c r="B113" s="1254"/>
      <c r="C113" s="1226"/>
      <c r="D113" s="1255" t="s">
        <v>1257</v>
      </c>
    </row>
    <row r="114" spans="1:4" ht="3" customHeight="1" x14ac:dyDescent="0.2">
      <c r="A114" s="1222"/>
      <c r="B114" s="1256"/>
      <c r="C114" s="1226"/>
      <c r="D114" s="1255"/>
    </row>
    <row r="115" spans="1:4" x14ac:dyDescent="0.2">
      <c r="A115" s="1222"/>
      <c r="B115" s="1225"/>
      <c r="C115" s="1226">
        <f>C112+1</f>
        <v>36</v>
      </c>
      <c r="D115" s="1237" t="s">
        <v>1256</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1255</v>
      </c>
    </row>
    <row r="121" spans="1:4" ht="10.5" customHeight="1" x14ac:dyDescent="0.2">
      <c r="A121" s="1222"/>
      <c r="B121" s="1250"/>
      <c r="C121" s="1226"/>
      <c r="D121" s="1237" t="s">
        <v>1254</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1253</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abSelected="1" topLeftCell="A4"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6" t="str">
        <f>'Single Audit Cover'!A7</f>
        <v>La Moille CUSD 303</v>
      </c>
      <c r="B1" s="2446"/>
      <c r="C1" s="2446"/>
      <c r="D1" s="2446"/>
      <c r="E1" s="2446"/>
    </row>
    <row r="2" spans="1:5" x14ac:dyDescent="0.2">
      <c r="A2" s="2447">
        <f>'Single Audit Cover'!E7</f>
        <v>28006303026</v>
      </c>
      <c r="B2" s="2447"/>
      <c r="C2" s="2447"/>
      <c r="D2" s="2447"/>
      <c r="E2" s="2447"/>
    </row>
    <row r="3" spans="1:5" ht="4.5" customHeight="1" x14ac:dyDescent="0.2"/>
    <row r="4" spans="1:5" x14ac:dyDescent="0.2">
      <c r="A4" s="2446" t="s">
        <v>1306</v>
      </c>
      <c r="B4" s="2446"/>
      <c r="C4" s="2446"/>
      <c r="D4" s="2446"/>
      <c r="E4" s="2446"/>
    </row>
    <row r="5" spans="1:5" x14ac:dyDescent="0.2">
      <c r="A5" s="2449" t="str">
        <f>'Single Audit Cover'!A4</f>
        <v>Year Ending June 30, 2018</v>
      </c>
      <c r="B5" s="2449"/>
      <c r="C5" s="2449"/>
      <c r="D5" s="2449"/>
      <c r="E5" s="2449"/>
    </row>
    <row r="6" spans="1:5" x14ac:dyDescent="0.2">
      <c r="A6" s="2446" t="s">
        <v>1305</v>
      </c>
      <c r="B6" s="2446"/>
      <c r="C6" s="2446"/>
      <c r="D6" s="2446"/>
      <c r="E6" s="2446"/>
    </row>
    <row r="8" spans="1:5" x14ac:dyDescent="0.2">
      <c r="A8" s="1260" t="s">
        <v>1304</v>
      </c>
    </row>
    <row r="10" spans="1:5" x14ac:dyDescent="0.2">
      <c r="A10" s="1261" t="s">
        <v>1303</v>
      </c>
      <c r="B10" s="1262" t="s">
        <v>1302</v>
      </c>
      <c r="C10" s="1262"/>
      <c r="D10" s="1263">
        <f>SUM('Acct Summary 7-8'!C7:K7)</f>
        <v>198123</v>
      </c>
    </row>
    <row r="11" spans="1:5" ht="18" customHeight="1" x14ac:dyDescent="0.2">
      <c r="A11" s="1261" t="s">
        <v>1301</v>
      </c>
      <c r="B11" s="1262"/>
      <c r="C11" s="1262"/>
    </row>
    <row r="12" spans="1:5" x14ac:dyDescent="0.2">
      <c r="A12" s="1261" t="s">
        <v>1300</v>
      </c>
      <c r="B12" s="1262" t="s">
        <v>1299</v>
      </c>
      <c r="C12" s="1262"/>
      <c r="D12" s="1264">
        <f>SUM('Revenues 9-14'!C112:D112,'Revenues 9-14'!F112:G112)</f>
        <v>0</v>
      </c>
    </row>
    <row r="13" spans="1:5" x14ac:dyDescent="0.2">
      <c r="A13" s="1261" t="s">
        <v>1298</v>
      </c>
      <c r="B13" s="1262"/>
      <c r="C13" s="1262"/>
    </row>
    <row r="14" spans="1:5" x14ac:dyDescent="0.2">
      <c r="A14" s="1261" t="s">
        <v>1829</v>
      </c>
      <c r="B14" s="1262"/>
      <c r="C14" s="1262"/>
      <c r="D14" s="1264">
        <f>'ICR Computation 30'!E11</f>
        <v>11423</v>
      </c>
    </row>
    <row r="15" spans="1:5" x14ac:dyDescent="0.2">
      <c r="A15" s="1261"/>
      <c r="B15" s="1262"/>
      <c r="C15" s="1262"/>
    </row>
    <row r="16" spans="1:5" x14ac:dyDescent="0.2">
      <c r="A16" s="1261" t="s">
        <v>1955</v>
      </c>
      <c r="B16" s="1262"/>
      <c r="C16" s="1262"/>
    </row>
    <row r="17" spans="1:4" x14ac:dyDescent="0.2">
      <c r="A17" s="1261" t="s">
        <v>1600</v>
      </c>
      <c r="B17" s="1262" t="s">
        <v>1297</v>
      </c>
      <c r="C17" s="1262"/>
      <c r="D17" s="1264">
        <f>-SUM('Revenues 9-14'!C271:D271,'Revenues 9-14'!F271:G271)</f>
        <v>-23272</v>
      </c>
    </row>
    <row r="19" spans="1:4" ht="13.5" thickBot="1" x14ac:dyDescent="0.25">
      <c r="A19" s="1265" t="s">
        <v>1296</v>
      </c>
      <c r="D19" s="1266">
        <f>SUM(D10:D17)</f>
        <v>186274</v>
      </c>
    </row>
    <row r="20" spans="1:4" ht="21.75" customHeight="1" thickTop="1" x14ac:dyDescent="0.2"/>
    <row r="21" spans="1:4" x14ac:dyDescent="0.2">
      <c r="A21" s="1260" t="s">
        <v>1295</v>
      </c>
    </row>
    <row r="22" spans="1:4" ht="8.25" customHeight="1" x14ac:dyDescent="0.2"/>
    <row r="23" spans="1:4" x14ac:dyDescent="0.2">
      <c r="A23" s="1267" t="s">
        <v>1289</v>
      </c>
    </row>
    <row r="24" spans="1:4" x14ac:dyDescent="0.2">
      <c r="A24" s="2448"/>
      <c r="B24" s="2448"/>
      <c r="D24" s="1268"/>
    </row>
    <row r="25" spans="1:4" x14ac:dyDescent="0.2">
      <c r="A25" s="2445"/>
      <c r="B25" s="2445"/>
      <c r="D25" s="1268"/>
    </row>
    <row r="26" spans="1:4" x14ac:dyDescent="0.2">
      <c r="A26" s="2445"/>
      <c r="B26" s="2445"/>
      <c r="D26" s="1268"/>
    </row>
    <row r="27" spans="1:4" x14ac:dyDescent="0.2">
      <c r="A27" s="2445"/>
      <c r="B27" s="2445"/>
      <c r="D27" s="1268"/>
    </row>
    <row r="28" spans="1:4" x14ac:dyDescent="0.2">
      <c r="A28" s="2445"/>
      <c r="B28" s="2445"/>
      <c r="D28" s="1268"/>
    </row>
    <row r="29" spans="1:4" x14ac:dyDescent="0.2">
      <c r="A29" s="2445"/>
      <c r="B29" s="2445"/>
      <c r="D29" s="1268"/>
    </row>
    <row r="30" spans="1:4" x14ac:dyDescent="0.2">
      <c r="A30" s="2445"/>
      <c r="B30" s="2445"/>
      <c r="D30" s="1268"/>
    </row>
    <row r="32" spans="1:4" x14ac:dyDescent="0.2">
      <c r="A32" s="1260" t="s">
        <v>1294</v>
      </c>
      <c r="D32" s="1263">
        <f>SUM(D19:D30)</f>
        <v>186274</v>
      </c>
    </row>
    <row r="33" spans="1:4" x14ac:dyDescent="0.2">
      <c r="D33" s="1269"/>
    </row>
    <row r="34" spans="1:4" x14ac:dyDescent="0.2">
      <c r="A34" s="317" t="s">
        <v>1293</v>
      </c>
    </row>
    <row r="35" spans="1:4" x14ac:dyDescent="0.2">
      <c r="A35" s="317" t="s">
        <v>1292</v>
      </c>
      <c r="B35" s="1258" t="s">
        <v>1291</v>
      </c>
      <c r="D35" s="1270"/>
    </row>
    <row r="37" spans="1:4" x14ac:dyDescent="0.2">
      <c r="A37" s="1260" t="s">
        <v>1290</v>
      </c>
    </row>
    <row r="39" spans="1:4" ht="13.35" customHeight="1" x14ac:dyDescent="0.2">
      <c r="A39" s="1267" t="s">
        <v>1289</v>
      </c>
    </row>
    <row r="40" spans="1:4" x14ac:dyDescent="0.2">
      <c r="A40" s="2445"/>
      <c r="B40" s="2445"/>
      <c r="D40" s="1268"/>
    </row>
    <row r="41" spans="1:4" x14ac:dyDescent="0.2">
      <c r="A41" s="2445"/>
      <c r="B41" s="2445"/>
      <c r="D41" s="1271"/>
    </row>
    <row r="42" spans="1:4" x14ac:dyDescent="0.2">
      <c r="A42" s="2445"/>
      <c r="B42" s="2445"/>
      <c r="D42" s="1271"/>
    </row>
    <row r="43" spans="1:4" x14ac:dyDescent="0.2">
      <c r="A43" s="2445"/>
      <c r="B43" s="2445"/>
      <c r="D43" s="1271"/>
    </row>
    <row r="44" spans="1:4" x14ac:dyDescent="0.2">
      <c r="A44" s="2445"/>
      <c r="B44" s="2445"/>
      <c r="D44" s="1271"/>
    </row>
    <row r="45" spans="1:4" x14ac:dyDescent="0.2">
      <c r="A45" s="2445"/>
      <c r="B45" s="2445"/>
      <c r="D45" s="1271"/>
    </row>
    <row r="47" spans="1:4" x14ac:dyDescent="0.2">
      <c r="B47" s="1272" t="s">
        <v>1288</v>
      </c>
      <c r="C47" s="1272"/>
      <c r="D47" s="1273">
        <f>SUM(D35:D45)</f>
        <v>0</v>
      </c>
    </row>
    <row r="49" spans="2:4" x14ac:dyDescent="0.2">
      <c r="B49" s="1272" t="s">
        <v>1287</v>
      </c>
      <c r="C49" s="1272"/>
      <c r="D49" s="1273">
        <f>D32-D47</f>
        <v>186274</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La Moille CUSD 303</v>
      </c>
      <c r="B1" s="2451"/>
      <c r="C1" s="2451"/>
      <c r="D1" s="2451"/>
      <c r="E1" s="2451"/>
      <c r="F1" s="2451"/>
    </row>
    <row r="2" spans="1:7" ht="13.5" customHeight="1" x14ac:dyDescent="0.2">
      <c r="A2" s="2452">
        <f>'Single Audit Cover'!E7</f>
        <v>28006303026</v>
      </c>
      <c r="B2" s="2452"/>
      <c r="C2" s="2452"/>
      <c r="D2" s="2452"/>
      <c r="E2" s="2452"/>
      <c r="F2" s="2452"/>
      <c r="G2" s="1275"/>
    </row>
    <row r="3" spans="1:7" ht="15.75" customHeight="1" x14ac:dyDescent="0.2">
      <c r="A3" s="2453" t="s">
        <v>1332</v>
      </c>
      <c r="B3" s="2453"/>
      <c r="C3" s="2453"/>
      <c r="D3" s="2453"/>
      <c r="E3" s="2453"/>
      <c r="F3" s="2453"/>
    </row>
    <row r="4" spans="1:7" ht="13.5" customHeight="1" x14ac:dyDescent="0.2">
      <c r="A4" s="2454" t="str">
        <f>'Single Audit Cover'!A4</f>
        <v>Year Ending June 30, 2018</v>
      </c>
      <c r="B4" s="2454"/>
      <c r="C4" s="2454"/>
      <c r="D4" s="2454"/>
      <c r="E4" s="2454"/>
      <c r="F4" s="2454"/>
    </row>
    <row r="5" spans="1:7" ht="8.25" customHeight="1" x14ac:dyDescent="0.2">
      <c r="C5" s="317"/>
      <c r="D5" s="317"/>
    </row>
    <row r="6" spans="1:7" ht="13.5" customHeight="1" x14ac:dyDescent="0.2">
      <c r="A6" s="1276" t="s">
        <v>1830</v>
      </c>
      <c r="C6" s="317"/>
      <c r="D6" s="317"/>
    </row>
    <row r="7" spans="1:7" ht="60.95" customHeight="1" x14ac:dyDescent="0.2">
      <c r="A7" s="2450" t="s">
        <v>1831</v>
      </c>
      <c r="B7" s="2450"/>
      <c r="C7" s="2450"/>
      <c r="D7" s="2450"/>
      <c r="E7" s="2450"/>
      <c r="F7" s="2450"/>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1627</v>
      </c>
      <c r="B10" s="1280"/>
      <c r="C10" s="1281"/>
      <c r="D10" s="1280" t="s">
        <v>1628</v>
      </c>
      <c r="E10" s="1281"/>
      <c r="F10" s="1280" t="s">
        <v>101</v>
      </c>
      <c r="G10" s="1278"/>
    </row>
    <row r="11" spans="1:7" ht="12" customHeight="1" x14ac:dyDescent="0.2">
      <c r="A11" s="1279"/>
      <c r="B11" s="1280"/>
      <c r="C11" s="1923"/>
      <c r="D11" s="1280"/>
      <c r="E11" s="1923"/>
      <c r="F11" s="1280"/>
      <c r="G11" s="1278"/>
    </row>
    <row r="12" spans="1:7" x14ac:dyDescent="0.2">
      <c r="A12" s="1276" t="s">
        <v>1668</v>
      </c>
      <c r="C12" s="1260"/>
      <c r="D12" s="1260"/>
    </row>
    <row r="13" spans="1:7" ht="15" customHeight="1" x14ac:dyDescent="0.2">
      <c r="A13" s="2450" t="s">
        <v>1833</v>
      </c>
      <c r="B13" s="2450"/>
      <c r="C13" s="2450"/>
      <c r="D13" s="2450"/>
      <c r="E13" s="2450"/>
      <c r="F13" s="2450"/>
    </row>
    <row r="14" spans="1:7" ht="9.75" customHeight="1" x14ac:dyDescent="0.2">
      <c r="C14" s="1260"/>
      <c r="D14" s="1260"/>
    </row>
    <row r="15" spans="1:7" ht="13.5" customHeight="1" x14ac:dyDescent="0.2">
      <c r="C15" s="1870" t="s">
        <v>1331</v>
      </c>
      <c r="D15" s="2456" t="s">
        <v>1330</v>
      </c>
      <c r="E15" s="2456"/>
      <c r="F15" s="2456"/>
    </row>
    <row r="16" spans="1:7" ht="13.5" customHeight="1" x14ac:dyDescent="0.2">
      <c r="A16" s="1282"/>
      <c r="B16" s="1276" t="s">
        <v>1329</v>
      </c>
      <c r="C16" s="1870" t="s">
        <v>1328</v>
      </c>
      <c r="D16" s="2457" t="s">
        <v>1669</v>
      </c>
      <c r="E16" s="2457"/>
      <c r="F16" s="2457"/>
    </row>
    <row r="17" spans="1:6" ht="20.45" customHeight="1" x14ac:dyDescent="0.2">
      <c r="A17" s="1283"/>
      <c r="B17" s="1284"/>
      <c r="C17" s="1285"/>
      <c r="D17" s="2455"/>
      <c r="E17" s="2455"/>
      <c r="F17" s="2455"/>
    </row>
    <row r="18" spans="1:6" ht="20.65" customHeight="1" x14ac:dyDescent="0.2">
      <c r="A18" s="1283"/>
      <c r="B18" s="1284"/>
      <c r="C18" s="1285"/>
      <c r="D18" s="2455"/>
      <c r="E18" s="2455"/>
      <c r="F18" s="2455"/>
    </row>
    <row r="19" spans="1:6" ht="20.65" customHeight="1" x14ac:dyDescent="0.2">
      <c r="A19" s="1283"/>
      <c r="B19" s="1284"/>
      <c r="C19" s="1285"/>
      <c r="D19" s="2455"/>
      <c r="E19" s="2455"/>
      <c r="F19" s="2455"/>
    </row>
    <row r="20" spans="1:6" ht="20.65" customHeight="1" x14ac:dyDescent="0.2">
      <c r="A20" s="1283"/>
      <c r="B20" s="1284"/>
      <c r="C20" s="1285"/>
      <c r="D20" s="2455"/>
      <c r="E20" s="2455"/>
      <c r="F20" s="2455"/>
    </row>
    <row r="21" spans="1:6" ht="20.65" customHeight="1" x14ac:dyDescent="0.2">
      <c r="A21" s="1283"/>
      <c r="B21" s="1284"/>
      <c r="C21" s="1285"/>
      <c r="D21" s="2455"/>
      <c r="E21" s="2455"/>
      <c r="F21" s="2455"/>
    </row>
    <row r="22" spans="1:6" ht="20.65" customHeight="1" x14ac:dyDescent="0.2">
      <c r="A22" s="1283"/>
      <c r="B22" s="1284"/>
      <c r="C22" s="1285"/>
      <c r="D22" s="2455"/>
      <c r="E22" s="2455"/>
      <c r="F22" s="2455"/>
    </row>
    <row r="23" spans="1:6" ht="20.65" customHeight="1" x14ac:dyDescent="0.2">
      <c r="A23" s="1283"/>
      <c r="B23" s="1284"/>
      <c r="C23" s="1285"/>
      <c r="D23" s="2455"/>
      <c r="E23" s="2455"/>
      <c r="F23" s="2455"/>
    </row>
    <row r="24" spans="1:6" ht="20.65" customHeight="1" x14ac:dyDescent="0.2">
      <c r="A24" s="1283"/>
      <c r="B24" s="1284"/>
      <c r="C24" s="1285"/>
      <c r="D24" s="2455"/>
      <c r="E24" s="2455"/>
      <c r="F24" s="2455"/>
    </row>
    <row r="25" spans="1:6" ht="20.65" customHeight="1" x14ac:dyDescent="0.2">
      <c r="A25" s="1283"/>
      <c r="B25" s="1284"/>
      <c r="C25" s="1285"/>
      <c r="D25" s="2455"/>
      <c r="E25" s="2455"/>
      <c r="F25" s="2455"/>
    </row>
    <row r="26" spans="1:6" ht="20.65" customHeight="1" x14ac:dyDescent="0.2">
      <c r="A26" s="1283"/>
      <c r="B26" s="1284"/>
      <c r="C26" s="1285"/>
      <c r="D26" s="2455"/>
      <c r="E26" s="2455"/>
      <c r="F26" s="2455"/>
    </row>
    <row r="27" spans="1:6" ht="20.65" customHeight="1" x14ac:dyDescent="0.2">
      <c r="A27" s="1283"/>
      <c r="B27" s="1284"/>
      <c r="C27" s="1285"/>
      <c r="D27" s="2455"/>
      <c r="E27" s="2455"/>
      <c r="F27" s="2455"/>
    </row>
    <row r="28" spans="1:6" ht="20.65" customHeight="1" x14ac:dyDescent="0.2">
      <c r="A28" s="1283"/>
      <c r="B28" s="1284"/>
      <c r="C28" s="1285"/>
      <c r="D28" s="2455"/>
      <c r="E28" s="2455"/>
      <c r="F28" s="2455"/>
    </row>
    <row r="29" spans="1:6" ht="20.65" customHeight="1" x14ac:dyDescent="0.2">
      <c r="A29" s="1283"/>
      <c r="B29" s="1284"/>
      <c r="C29" s="1285"/>
      <c r="D29" s="2455"/>
      <c r="E29" s="2455"/>
      <c r="F29" s="2455"/>
    </row>
    <row r="30" spans="1:6" ht="12" customHeight="1" x14ac:dyDescent="0.2">
      <c r="A30" s="328"/>
      <c r="B30" s="328"/>
      <c r="C30" s="1478"/>
      <c r="D30" s="1924"/>
      <c r="E30" s="1286"/>
    </row>
    <row r="31" spans="1:6" ht="12" customHeight="1" x14ac:dyDescent="0.2">
      <c r="A31" s="1287" t="s">
        <v>1629</v>
      </c>
      <c r="B31" s="328"/>
      <c r="C31" s="1478"/>
      <c r="D31" s="1924"/>
      <c r="E31" s="1286"/>
    </row>
    <row r="32" spans="1:6" ht="30" customHeight="1" x14ac:dyDescent="0.2">
      <c r="A32" s="2459" t="s">
        <v>1834</v>
      </c>
      <c r="B32" s="2459"/>
      <c r="C32" s="2459"/>
      <c r="D32" s="2459"/>
      <c r="E32" s="2459"/>
      <c r="F32" s="2459"/>
    </row>
    <row r="33" spans="1:6" ht="13.5" customHeight="1" x14ac:dyDescent="0.2">
      <c r="A33" s="328" t="s">
        <v>1508</v>
      </c>
      <c r="B33" s="328"/>
      <c r="C33" s="1288">
        <v>0</v>
      </c>
      <c r="D33" s="1924"/>
      <c r="E33" s="1286"/>
    </row>
    <row r="34" spans="1:6" ht="13.5" customHeight="1" x14ac:dyDescent="0.2">
      <c r="A34" s="328" t="s">
        <v>1948</v>
      </c>
      <c r="B34" s="328"/>
      <c r="C34" s="1289">
        <v>0</v>
      </c>
      <c r="D34" s="1924" t="s">
        <v>1670</v>
      </c>
      <c r="E34" s="2460">
        <f>+C33+C34</f>
        <v>0</v>
      </c>
      <c r="F34" s="2461"/>
    </row>
    <row r="35" spans="1:6" ht="12" customHeight="1" x14ac:dyDescent="0.2">
      <c r="A35" s="328"/>
      <c r="B35" s="328"/>
      <c r="C35" s="1925"/>
      <c r="D35" s="1924"/>
      <c r="E35" s="1290"/>
      <c r="F35" s="1291"/>
    </row>
    <row r="36" spans="1:6" ht="13.5" customHeight="1" x14ac:dyDescent="0.2">
      <c r="A36" s="1287" t="s">
        <v>1630</v>
      </c>
      <c r="B36" s="328"/>
      <c r="C36" s="1478"/>
      <c r="D36" s="1924"/>
      <c r="E36" s="1286"/>
    </row>
    <row r="37" spans="1:6" ht="14.25" customHeight="1" x14ac:dyDescent="0.2">
      <c r="A37" s="328" t="s">
        <v>1562</v>
      </c>
      <c r="B37" s="328"/>
      <c r="C37" s="1926"/>
      <c r="D37" s="1924"/>
      <c r="E37" s="1286"/>
    </row>
    <row r="38" spans="1:6" ht="14.25" customHeight="1" x14ac:dyDescent="0.2">
      <c r="A38" s="328"/>
      <c r="B38" s="328" t="s">
        <v>1509</v>
      </c>
      <c r="C38" s="1292"/>
      <c r="D38" s="1924"/>
      <c r="E38" s="1286"/>
    </row>
    <row r="39" spans="1:6" ht="14.25" customHeight="1" x14ac:dyDescent="0.2">
      <c r="A39" s="328"/>
      <c r="B39" s="328" t="s">
        <v>1510</v>
      </c>
      <c r="C39" s="1292"/>
      <c r="D39" s="1924"/>
      <c r="E39" s="1286"/>
    </row>
    <row r="40" spans="1:6" ht="14.25" customHeight="1" x14ac:dyDescent="0.2">
      <c r="A40" s="328"/>
      <c r="B40" s="328" t="s">
        <v>1511</v>
      </c>
      <c r="C40" s="1292"/>
      <c r="D40" s="1924"/>
      <c r="E40" s="1286"/>
    </row>
    <row r="41" spans="1:6" ht="14.25" customHeight="1" x14ac:dyDescent="0.2">
      <c r="A41" s="328"/>
      <c r="B41" s="328" t="s">
        <v>1512</v>
      </c>
      <c r="C41" s="1292"/>
      <c r="D41" s="1924"/>
      <c r="E41" s="1286"/>
    </row>
    <row r="42" spans="1:6" ht="14.25" customHeight="1" x14ac:dyDescent="0.2">
      <c r="A42" s="328" t="s">
        <v>1513</v>
      </c>
      <c r="B42" s="328"/>
      <c r="C42" s="1922"/>
      <c r="D42" s="1924"/>
      <c r="E42" s="1286"/>
    </row>
    <row r="43" spans="1:6" ht="14.25" customHeight="1" x14ac:dyDescent="0.2">
      <c r="A43" s="328" t="s">
        <v>1514</v>
      </c>
      <c r="B43" s="328"/>
      <c r="C43" s="1293"/>
      <c r="D43" s="1924"/>
      <c r="E43" s="1286"/>
    </row>
    <row r="44" spans="1:6" ht="14.25" customHeight="1" x14ac:dyDescent="0.2">
      <c r="A44" s="328"/>
      <c r="B44" s="328"/>
      <c r="C44" s="1926" t="s">
        <v>1515</v>
      </c>
      <c r="D44" s="1924"/>
      <c r="E44" s="1286"/>
    </row>
    <row r="45" spans="1:6" ht="13.5" customHeight="1" x14ac:dyDescent="0.2">
      <c r="B45" s="322"/>
      <c r="C45" s="1294"/>
      <c r="D45" s="1294"/>
    </row>
    <row r="46" spans="1:6" x14ac:dyDescent="0.2">
      <c r="A46" s="1295" t="s">
        <v>1835</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2" t="s">
        <v>1671</v>
      </c>
      <c r="C49" s="2462"/>
      <c r="D49" s="2462"/>
      <c r="E49" s="1399"/>
    </row>
    <row r="50" spans="1:5" s="1300" customFormat="1" ht="3.75" customHeight="1" x14ac:dyDescent="0.2">
      <c r="A50" s="1299"/>
      <c r="B50" s="1869"/>
      <c r="C50" s="1869"/>
      <c r="D50" s="1869"/>
      <c r="E50" s="1399"/>
    </row>
    <row r="51" spans="1:5" s="1300" customFormat="1" ht="20.25" customHeight="1" x14ac:dyDescent="0.2">
      <c r="A51" s="1301">
        <v>6</v>
      </c>
      <c r="B51" s="2458" t="s">
        <v>1631</v>
      </c>
      <c r="C51" s="2458"/>
      <c r="D51" s="2458"/>
    </row>
    <row r="52" spans="1:5" ht="14.25" customHeight="1" x14ac:dyDescent="0.2">
      <c r="A52" s="1301"/>
      <c r="B52" s="2458"/>
      <c r="C52" s="2458"/>
      <c r="D52" s="245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La Moille CUSD 303</v>
      </c>
      <c r="C1" s="2463"/>
      <c r="D1" s="2463"/>
      <c r="E1" s="2463"/>
      <c r="F1" s="2463"/>
      <c r="G1" s="2463"/>
      <c r="H1" s="2463"/>
      <c r="I1" s="2463"/>
      <c r="J1" s="2463"/>
      <c r="K1" s="2463"/>
      <c r="L1" s="2463"/>
      <c r="M1" s="2463"/>
    </row>
    <row r="2" spans="2:14" ht="15" x14ac:dyDescent="0.2">
      <c r="B2" s="2452">
        <f>'Single Audit Cover'!E7</f>
        <v>28006303026</v>
      </c>
      <c r="C2" s="2452"/>
      <c r="D2" s="2452"/>
      <c r="E2" s="2452"/>
      <c r="F2" s="2452"/>
      <c r="G2" s="2452"/>
      <c r="H2" s="2452"/>
      <c r="I2" s="2452"/>
      <c r="J2" s="2452"/>
      <c r="K2" s="2452"/>
      <c r="L2" s="2452"/>
      <c r="M2" s="2452"/>
      <c r="N2" s="1302"/>
    </row>
    <row r="3" spans="2:14" ht="15" x14ac:dyDescent="0.2">
      <c r="B3" s="2464" t="s">
        <v>1280</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1326</v>
      </c>
      <c r="E6" s="1306" t="s">
        <v>547</v>
      </c>
      <c r="F6" s="1307"/>
      <c r="G6" s="1308" t="s">
        <v>1836</v>
      </c>
      <c r="H6" s="1306"/>
      <c r="I6" s="1306"/>
      <c r="J6" s="1306"/>
      <c r="K6" s="1309"/>
      <c r="L6" s="1310"/>
      <c r="M6" s="1311"/>
    </row>
    <row r="7" spans="2:14" x14ac:dyDescent="0.2">
      <c r="B7" s="1312" t="s">
        <v>1661</v>
      </c>
      <c r="C7" s="1313"/>
      <c r="D7" s="1314"/>
      <c r="E7" s="1315"/>
      <c r="F7" s="1316"/>
      <c r="G7" s="1315"/>
      <c r="H7" s="1317" t="s">
        <v>1323</v>
      </c>
      <c r="I7" s="1315"/>
      <c r="J7" s="1318" t="s">
        <v>1323</v>
      </c>
      <c r="K7" s="1319"/>
      <c r="L7" s="1320" t="s">
        <v>1321</v>
      </c>
      <c r="M7" s="1321"/>
    </row>
    <row r="8" spans="2:14" x14ac:dyDescent="0.2">
      <c r="B8" s="1687"/>
      <c r="C8" s="1313" t="s">
        <v>1325</v>
      </c>
      <c r="D8" s="1314" t="s">
        <v>1324</v>
      </c>
      <c r="E8" s="1322" t="s">
        <v>1323</v>
      </c>
      <c r="F8" s="1323" t="s">
        <v>1323</v>
      </c>
      <c r="G8" s="1324" t="s">
        <v>1323</v>
      </c>
      <c r="H8" s="1317" t="s">
        <v>1662</v>
      </c>
      <c r="I8" s="1319" t="s">
        <v>1323</v>
      </c>
      <c r="J8" s="1318" t="s">
        <v>1949</v>
      </c>
      <c r="K8" s="1319" t="s">
        <v>1322</v>
      </c>
      <c r="L8" s="1320" t="s">
        <v>1318</v>
      </c>
      <c r="M8" s="1321" t="s">
        <v>30</v>
      </c>
    </row>
    <row r="9" spans="2:14" ht="14.25" x14ac:dyDescent="0.2">
      <c r="B9" s="1325" t="s">
        <v>1320</v>
      </c>
      <c r="C9" s="1313" t="s">
        <v>1837</v>
      </c>
      <c r="D9" s="1314" t="s">
        <v>1838</v>
      </c>
      <c r="E9" s="1322" t="s">
        <v>1662</v>
      </c>
      <c r="F9" s="1323" t="s">
        <v>1949</v>
      </c>
      <c r="G9" s="1324" t="s">
        <v>1662</v>
      </c>
      <c r="H9" s="1317" t="s">
        <v>1663</v>
      </c>
      <c r="I9" s="1319" t="s">
        <v>1949</v>
      </c>
      <c r="J9" s="1318" t="s">
        <v>1663</v>
      </c>
      <c r="K9" s="1319" t="s">
        <v>1319</v>
      </c>
      <c r="L9" s="1326" t="s">
        <v>1664</v>
      </c>
      <c r="M9" s="1321"/>
    </row>
    <row r="10" spans="2:14" ht="11.85" customHeight="1" x14ac:dyDescent="0.2">
      <c r="B10" s="1325" t="s">
        <v>1317</v>
      </c>
      <c r="C10" s="1327" t="s">
        <v>1316</v>
      </c>
      <c r="D10" s="1328" t="s">
        <v>1315</v>
      </c>
      <c r="E10" s="1329" t="s">
        <v>1314</v>
      </c>
      <c r="F10" s="1330" t="s">
        <v>1313</v>
      </c>
      <c r="G10" s="1331" t="s">
        <v>1312</v>
      </c>
      <c r="H10" s="1332" t="s">
        <v>1327</v>
      </c>
      <c r="I10" s="1333" t="s">
        <v>1311</v>
      </c>
      <c r="J10" s="1334" t="s">
        <v>1327</v>
      </c>
      <c r="K10" s="1335" t="s">
        <v>1310</v>
      </c>
      <c r="L10" s="1335" t="s">
        <v>1309</v>
      </c>
      <c r="M10" s="1336" t="s">
        <v>1308</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1230</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1839</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1307</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1840</v>
      </c>
      <c r="C37" s="1365"/>
      <c r="D37" s="1365"/>
      <c r="E37" s="1365"/>
      <c r="F37" s="1365"/>
      <c r="G37" s="1365"/>
      <c r="H37" s="1365"/>
      <c r="I37" s="1366"/>
      <c r="J37" s="1366"/>
      <c r="K37" s="1366"/>
      <c r="L37" s="1366"/>
      <c r="M37" s="1366"/>
    </row>
    <row r="38" spans="2:13" ht="11.25" customHeight="1" x14ac:dyDescent="0.2">
      <c r="B38" s="1367" t="s">
        <v>1665</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1841</v>
      </c>
      <c r="C40" s="1366"/>
      <c r="D40" s="1366"/>
      <c r="E40" s="1366"/>
      <c r="F40" s="1366"/>
      <c r="G40" s="1366"/>
      <c r="H40" s="1366"/>
      <c r="I40" s="1366"/>
      <c r="J40" s="1366"/>
      <c r="K40" s="1366"/>
      <c r="L40" s="1366"/>
      <c r="M40" s="1366"/>
    </row>
    <row r="41" spans="2:13" ht="11.25" customHeight="1" x14ac:dyDescent="0.2">
      <c r="B41" s="1300" t="s">
        <v>1666</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1842</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1843</v>
      </c>
      <c r="C45" s="1368"/>
      <c r="D45" s="1369"/>
      <c r="E45" s="1300"/>
      <c r="F45" s="1300"/>
      <c r="G45" s="1300"/>
      <c r="H45" s="1300"/>
      <c r="I45" s="1300"/>
      <c r="J45" s="1300"/>
      <c r="K45" s="1370"/>
      <c r="L45" s="1370"/>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6" colorId="8" zoomScale="80" zoomScaleNormal="8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9" t="s">
        <v>1229</v>
      </c>
      <c r="B2" s="2069"/>
      <c r="C2" s="2069"/>
      <c r="D2" s="2069"/>
      <c r="E2" s="2069"/>
      <c r="F2" s="2069"/>
      <c r="G2" s="2069"/>
      <c r="H2" s="2069"/>
      <c r="I2" s="2069"/>
      <c r="J2" s="2069"/>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1895</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083" t="s">
        <v>1730</v>
      </c>
      <c r="B35" s="2084"/>
      <c r="C35" s="2084"/>
      <c r="D35" s="2084"/>
      <c r="E35" s="2085"/>
      <c r="F35" s="2085"/>
      <c r="G35" s="2085"/>
      <c r="H35" s="2085"/>
      <c r="I35" s="2085"/>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3" t="s">
        <v>330</v>
      </c>
      <c r="B47" s="2086"/>
      <c r="C47" s="2086"/>
      <c r="D47" s="2086"/>
      <c r="E47" s="2087"/>
      <c r="F47" s="2087"/>
      <c r="G47" s="2087"/>
      <c r="H47" s="2087"/>
      <c r="I47" s="2087"/>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t="s">
        <v>2076</v>
      </c>
      <c r="C54" s="179">
        <v>23</v>
      </c>
      <c r="D54" s="243" t="s">
        <v>1428</v>
      </c>
      <c r="E54" s="248"/>
      <c r="F54" s="249"/>
    </row>
    <row r="55" spans="1:10" s="181" customFormat="1" x14ac:dyDescent="0.2">
      <c r="A55" s="214"/>
      <c r="B55" s="251"/>
      <c r="C55" s="251"/>
      <c r="D55" s="231" t="s">
        <v>1894</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0" t="s">
        <v>2123</v>
      </c>
      <c r="C57" s="2091"/>
      <c r="D57" s="2091"/>
      <c r="E57" s="2091"/>
      <c r="F57" s="2091"/>
      <c r="G57" s="2091"/>
      <c r="H57" s="2091"/>
      <c r="I57" s="2091"/>
      <c r="J57" s="2092"/>
    </row>
    <row r="58" spans="1:10" s="181" customFormat="1" x14ac:dyDescent="0.2">
      <c r="A58" s="253"/>
      <c r="B58" s="2093"/>
      <c r="C58" s="2094"/>
      <c r="D58" s="2094"/>
      <c r="E58" s="2094"/>
      <c r="F58" s="2094"/>
      <c r="G58" s="2094"/>
      <c r="H58" s="2094"/>
      <c r="I58" s="2094"/>
      <c r="J58" s="2095"/>
    </row>
    <row r="59" spans="1:10" s="181" customFormat="1" x14ac:dyDescent="0.2">
      <c r="A59" s="253"/>
      <c r="B59" s="2093"/>
      <c r="C59" s="2094"/>
      <c r="D59" s="2094"/>
      <c r="E59" s="2094"/>
      <c r="F59" s="2094"/>
      <c r="G59" s="2094"/>
      <c r="H59" s="2094"/>
      <c r="I59" s="2094"/>
      <c r="J59" s="2095"/>
    </row>
    <row r="60" spans="1:10" s="181" customFormat="1" x14ac:dyDescent="0.2">
      <c r="A60" s="253"/>
      <c r="B60" s="2093"/>
      <c r="C60" s="2094"/>
      <c r="D60" s="2094"/>
      <c r="E60" s="2094"/>
      <c r="F60" s="2094"/>
      <c r="G60" s="2094"/>
      <c r="H60" s="2094"/>
      <c r="I60" s="2094"/>
      <c r="J60" s="2095"/>
    </row>
    <row r="61" spans="1:10" s="181" customFormat="1" x14ac:dyDescent="0.2">
      <c r="A61" s="253"/>
      <c r="B61" s="2093"/>
      <c r="C61" s="2094"/>
      <c r="D61" s="2094"/>
      <c r="E61" s="2094"/>
      <c r="F61" s="2094"/>
      <c r="G61" s="2094"/>
      <c r="H61" s="2094"/>
      <c r="I61" s="2094"/>
      <c r="J61" s="2095"/>
    </row>
    <row r="62" spans="1:10" s="181" customFormat="1" x14ac:dyDescent="0.2">
      <c r="A62" s="253"/>
      <c r="B62" s="2093"/>
      <c r="C62" s="2094"/>
      <c r="D62" s="2094"/>
      <c r="E62" s="2094"/>
      <c r="F62" s="2094"/>
      <c r="G62" s="2094"/>
      <c r="H62" s="2094"/>
      <c r="I62" s="2094"/>
      <c r="J62" s="2095"/>
    </row>
    <row r="63" spans="1:10" s="181" customFormat="1" x14ac:dyDescent="0.2">
      <c r="A63" s="253"/>
      <c r="B63" s="2093"/>
      <c r="C63" s="2094"/>
      <c r="D63" s="2094"/>
      <c r="E63" s="2094"/>
      <c r="F63" s="2094"/>
      <c r="G63" s="2094"/>
      <c r="H63" s="2094"/>
      <c r="I63" s="2094"/>
      <c r="J63" s="2095"/>
    </row>
    <row r="64" spans="1:10" s="181" customFormat="1" x14ac:dyDescent="0.2">
      <c r="A64" s="253"/>
      <c r="B64" s="2093"/>
      <c r="C64" s="2094"/>
      <c r="D64" s="2094"/>
      <c r="E64" s="2094"/>
      <c r="F64" s="2094"/>
      <c r="G64" s="2094"/>
      <c r="H64" s="2094"/>
      <c r="I64" s="2094"/>
      <c r="J64" s="2095"/>
    </row>
    <row r="65" spans="1:10" s="181" customFormat="1" x14ac:dyDescent="0.2">
      <c r="A65" s="253"/>
      <c r="B65" s="2093"/>
      <c r="C65" s="2094"/>
      <c r="D65" s="2094"/>
      <c r="E65" s="2094"/>
      <c r="F65" s="2094"/>
      <c r="G65" s="2094"/>
      <c r="H65" s="2094"/>
      <c r="I65" s="2094"/>
      <c r="J65" s="2095"/>
    </row>
    <row r="66" spans="1:10" s="181" customFormat="1" x14ac:dyDescent="0.2">
      <c r="A66" s="253"/>
      <c r="B66" s="2093"/>
      <c r="C66" s="2094"/>
      <c r="D66" s="2094"/>
      <c r="E66" s="2094"/>
      <c r="F66" s="2094"/>
      <c r="G66" s="2094"/>
      <c r="H66" s="2094"/>
      <c r="I66" s="2094"/>
      <c r="J66" s="2095"/>
    </row>
    <row r="67" spans="1:10" s="181" customFormat="1" ht="9" customHeight="1" x14ac:dyDescent="0.2">
      <c r="A67" s="254"/>
      <c r="B67" s="2096"/>
      <c r="C67" s="2097"/>
      <c r="D67" s="2097"/>
      <c r="E67" s="2097"/>
      <c r="F67" s="2097"/>
      <c r="G67" s="2097"/>
      <c r="H67" s="2097"/>
      <c r="I67" s="2097"/>
      <c r="J67" s="209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3" t="s">
        <v>1389</v>
      </c>
      <c r="B70" s="2086"/>
      <c r="C70" s="2086"/>
      <c r="D70" s="2086"/>
      <c r="E70" s="2087"/>
      <c r="F70" s="2087"/>
      <c r="G70" s="2087"/>
      <c r="H70" s="2087"/>
      <c r="I70" s="2087"/>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2070</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2020</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8" t="s">
        <v>1386</v>
      </c>
      <c r="B83" s="2088"/>
      <c r="C83" s="2088"/>
      <c r="D83" s="2089"/>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2068</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2069</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070"/>
      <c r="C102" s="2071"/>
      <c r="D102" s="2071"/>
      <c r="E102" s="2071"/>
      <c r="F102" s="2071"/>
      <c r="G102" s="2071"/>
      <c r="H102" s="2071"/>
      <c r="I102" s="2072"/>
    </row>
    <row r="103" spans="1:9" s="181" customFormat="1" ht="11.25" customHeight="1" x14ac:dyDescent="0.2">
      <c r="A103" s="316"/>
      <c r="B103" s="2073"/>
      <c r="C103" s="2074"/>
      <c r="D103" s="2074"/>
      <c r="E103" s="2074"/>
      <c r="F103" s="2074"/>
      <c r="G103" s="2074"/>
      <c r="H103" s="2074"/>
      <c r="I103" s="2075"/>
    </row>
    <row r="104" spans="1:9" s="181" customFormat="1" ht="11.25" customHeight="1" x14ac:dyDescent="0.2">
      <c r="A104" s="316"/>
      <c r="B104" s="2073"/>
      <c r="C104" s="2074"/>
      <c r="D104" s="2074"/>
      <c r="E104" s="2074"/>
      <c r="F104" s="2074"/>
      <c r="G104" s="2074"/>
      <c r="H104" s="2074"/>
      <c r="I104" s="2075"/>
    </row>
    <row r="105" spans="1:9" s="181" customFormat="1" x14ac:dyDescent="0.2">
      <c r="A105" s="316"/>
      <c r="B105" s="2073"/>
      <c r="C105" s="2074"/>
      <c r="D105" s="2074"/>
      <c r="E105" s="2074"/>
      <c r="F105" s="2074"/>
      <c r="G105" s="2074"/>
      <c r="H105" s="2074"/>
      <c r="I105" s="2075"/>
    </row>
    <row r="106" spans="1:9" s="181" customFormat="1" ht="11.25" customHeight="1" x14ac:dyDescent="0.2">
      <c r="A106" s="316"/>
      <c r="B106" s="2073"/>
      <c r="C106" s="2074"/>
      <c r="D106" s="2074"/>
      <c r="E106" s="2074"/>
      <c r="F106" s="2074"/>
      <c r="G106" s="2074"/>
      <c r="H106" s="2074"/>
      <c r="I106" s="2075"/>
    </row>
    <row r="107" spans="1:9" s="181" customFormat="1" ht="11.25" customHeight="1" x14ac:dyDescent="0.2">
      <c r="A107" s="316"/>
      <c r="B107" s="2073"/>
      <c r="C107" s="2074"/>
      <c r="D107" s="2074"/>
      <c r="E107" s="2074"/>
      <c r="F107" s="2074"/>
      <c r="G107" s="2074"/>
      <c r="H107" s="2074"/>
      <c r="I107" s="2075"/>
    </row>
    <row r="108" spans="1:9" s="181" customFormat="1" ht="11.25" customHeight="1" x14ac:dyDescent="0.2">
      <c r="A108" s="316"/>
      <c r="B108" s="2073"/>
      <c r="C108" s="2074"/>
      <c r="D108" s="2074"/>
      <c r="E108" s="2074"/>
      <c r="F108" s="2074"/>
      <c r="G108" s="2074"/>
      <c r="H108" s="2074"/>
      <c r="I108" s="2075"/>
    </row>
    <row r="109" spans="1:9" s="181" customFormat="1" ht="11.25" customHeight="1" x14ac:dyDescent="0.2">
      <c r="A109" s="316"/>
      <c r="B109" s="2073"/>
      <c r="C109" s="2074"/>
      <c r="D109" s="2074"/>
      <c r="E109" s="2074"/>
      <c r="F109" s="2074"/>
      <c r="G109" s="2074"/>
      <c r="H109" s="2074"/>
      <c r="I109" s="2075"/>
    </row>
    <row r="110" spans="1:9" s="181" customFormat="1" ht="11.25" customHeight="1" x14ac:dyDescent="0.2">
      <c r="A110" s="316"/>
      <c r="B110" s="2073"/>
      <c r="C110" s="2074"/>
      <c r="D110" s="2074"/>
      <c r="E110" s="2074"/>
      <c r="F110" s="2074"/>
      <c r="G110" s="2074"/>
      <c r="H110" s="2074"/>
      <c r="I110" s="2075"/>
    </row>
    <row r="111" spans="1:9" s="181" customFormat="1" ht="11.25" customHeight="1" x14ac:dyDescent="0.2">
      <c r="A111" s="316"/>
      <c r="B111" s="2073"/>
      <c r="C111" s="2074"/>
      <c r="D111" s="2074"/>
      <c r="E111" s="2074"/>
      <c r="F111" s="2074"/>
      <c r="G111" s="2074"/>
      <c r="H111" s="2074"/>
      <c r="I111" s="2075"/>
    </row>
    <row r="112" spans="1:9" s="181" customFormat="1" ht="11.25" customHeight="1" x14ac:dyDescent="0.2">
      <c r="A112" s="316"/>
      <c r="B112" s="2076"/>
      <c r="C112" s="2077"/>
      <c r="D112" s="2077"/>
      <c r="E112" s="2077"/>
      <c r="F112" s="2077"/>
      <c r="G112" s="2077"/>
      <c r="H112" s="2077"/>
      <c r="I112" s="207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9" t="s">
        <v>2092</v>
      </c>
      <c r="D114" s="2079"/>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0" t="s">
        <v>1396</v>
      </c>
      <c r="D117" s="2081"/>
      <c r="E117" s="2082"/>
      <c r="F117" s="2082"/>
      <c r="G117" s="2082"/>
      <c r="H117" s="2082"/>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378</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0" t="str">
        <f>'Single Audit Cover'!A7</f>
        <v>La Moille CUSD 303</v>
      </c>
      <c r="C1" s="2471"/>
      <c r="D1" s="2471"/>
      <c r="E1" s="2471"/>
      <c r="F1" s="2471"/>
      <c r="G1" s="2471"/>
      <c r="H1" s="2471"/>
      <c r="I1" s="2471"/>
      <c r="J1" s="1422"/>
    </row>
    <row r="2" spans="2:10" s="317" customFormat="1" ht="12.75" customHeight="1" x14ac:dyDescent="0.2">
      <c r="B2" s="2472">
        <f>'Single Audit Cover'!E7</f>
        <v>28006303026</v>
      </c>
      <c r="C2" s="2473"/>
      <c r="D2" s="2473"/>
      <c r="E2" s="2473"/>
      <c r="F2" s="2473"/>
      <c r="G2" s="2473"/>
      <c r="H2" s="2473"/>
      <c r="I2" s="2473"/>
      <c r="J2" s="1422"/>
    </row>
    <row r="3" spans="2:10" s="317" customFormat="1" ht="12.75" customHeight="1" x14ac:dyDescent="0.2">
      <c r="B3" s="2474" t="s">
        <v>1346</v>
      </c>
      <c r="C3" s="2475"/>
      <c r="D3" s="2475"/>
      <c r="E3" s="2475"/>
      <c r="F3" s="2475"/>
      <c r="G3" s="2475"/>
      <c r="H3" s="2475"/>
      <c r="I3" s="2475"/>
      <c r="J3" s="1423"/>
    </row>
    <row r="4" spans="2:10" s="317" customFormat="1" ht="12.75" customHeight="1" x14ac:dyDescent="0.2">
      <c r="B4" s="2474" t="str">
        <f>'Single Audit Cover'!A4</f>
        <v>Year Ending June 30, 2018</v>
      </c>
      <c r="C4" s="2475"/>
      <c r="D4" s="2475"/>
      <c r="E4" s="2475"/>
      <c r="F4" s="2475"/>
      <c r="G4" s="2475"/>
      <c r="H4" s="2475"/>
      <c r="I4" s="2475"/>
    </row>
    <row r="5" spans="2:10" s="317" customFormat="1" ht="6.2" customHeight="1" x14ac:dyDescent="0.2">
      <c r="B5" s="1424" t="s">
        <v>1230</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4" t="s">
        <v>1345</v>
      </c>
      <c r="C7" s="2475"/>
      <c r="D7" s="2475"/>
      <c r="E7" s="2475"/>
      <c r="F7" s="2475"/>
      <c r="G7" s="2475"/>
      <c r="H7" s="2475"/>
      <c r="I7" s="2475"/>
    </row>
    <row r="8" spans="2:10" s="317" customFormat="1" ht="6.2" customHeight="1" x14ac:dyDescent="0.2">
      <c r="B8" s="1426" t="s">
        <v>1230</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1344</v>
      </c>
      <c r="C10" s="1431"/>
      <c r="D10" s="1431"/>
      <c r="E10" s="1258"/>
    </row>
    <row r="11" spans="2:10" s="317" customFormat="1" ht="13.5" customHeight="1" x14ac:dyDescent="0.2">
      <c r="B11" s="1349" t="s">
        <v>1343</v>
      </c>
      <c r="C11" s="2476"/>
      <c r="D11" s="2476"/>
      <c r="E11" s="1432"/>
      <c r="F11" s="1432"/>
      <c r="G11" s="1432"/>
    </row>
    <row r="12" spans="2:10" s="317" customFormat="1" ht="11.45" customHeight="1" x14ac:dyDescent="0.2">
      <c r="B12" s="1357"/>
      <c r="C12" s="1433" t="s">
        <v>1516</v>
      </c>
      <c r="D12" s="1434"/>
      <c r="E12" s="1258"/>
    </row>
    <row r="13" spans="2:10" s="317" customFormat="1" ht="12.75" customHeight="1" x14ac:dyDescent="0.2">
      <c r="B13" s="1435"/>
      <c r="C13" s="1387"/>
      <c r="D13" s="1387"/>
      <c r="E13" s="1258"/>
    </row>
    <row r="14" spans="2:10" s="317" customFormat="1" ht="12.75" customHeight="1" x14ac:dyDescent="0.2">
      <c r="B14" s="1368" t="s">
        <v>1342</v>
      </c>
      <c r="C14" s="1282"/>
      <c r="E14" s="1258"/>
    </row>
    <row r="15" spans="2:10" s="317" customFormat="1" ht="13.5" customHeight="1" x14ac:dyDescent="0.2">
      <c r="B15" s="1436" t="s">
        <v>1339</v>
      </c>
      <c r="C15" s="1437"/>
      <c r="D15" s="1398"/>
      <c r="E15" s="1438"/>
      <c r="F15" s="1300" t="s">
        <v>939</v>
      </c>
      <c r="G15" s="1438"/>
      <c r="H15" s="1300" t="s">
        <v>1337</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1338</v>
      </c>
      <c r="C17" s="1437"/>
      <c r="D17" s="1398"/>
      <c r="E17" s="1439"/>
      <c r="F17" s="1257"/>
      <c r="G17" s="1439"/>
      <c r="H17" s="1300"/>
      <c r="I17" s="1300"/>
    </row>
    <row r="18" spans="2:9" s="317" customFormat="1" ht="12.75" customHeight="1" x14ac:dyDescent="0.2">
      <c r="B18" s="1436" t="s">
        <v>1517</v>
      </c>
      <c r="C18" s="1437"/>
      <c r="D18" s="1398"/>
      <c r="E18" s="1438"/>
      <c r="F18" s="1300" t="s">
        <v>939</v>
      </c>
      <c r="G18" s="1438"/>
      <c r="H18" s="1300" t="s">
        <v>1337</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1672</v>
      </c>
      <c r="C20" s="1437"/>
      <c r="D20" s="1398"/>
      <c r="E20" s="1438"/>
      <c r="F20" s="1300" t="s">
        <v>939</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1341</v>
      </c>
      <c r="C22" s="1440"/>
      <c r="D22" s="1431"/>
      <c r="E22" s="1383"/>
      <c r="F22" s="1300"/>
      <c r="G22" s="322"/>
      <c r="H22" s="1300"/>
      <c r="I22" s="1300"/>
    </row>
    <row r="23" spans="2:9" s="317" customFormat="1" ht="12.75" customHeight="1" x14ac:dyDescent="0.2">
      <c r="B23" s="1368" t="s">
        <v>1340</v>
      </c>
      <c r="C23" s="1282"/>
      <c r="E23" s="1383"/>
      <c r="F23" s="1300"/>
      <c r="G23" s="322"/>
      <c r="H23" s="1300"/>
      <c r="I23" s="1300"/>
    </row>
    <row r="24" spans="2:9" s="317" customFormat="1" ht="13.5" customHeight="1" x14ac:dyDescent="0.2">
      <c r="B24" s="1436" t="s">
        <v>1339</v>
      </c>
      <c r="C24" s="1437"/>
      <c r="D24" s="1398"/>
      <c r="E24" s="1438"/>
      <c r="F24" s="1300" t="s">
        <v>939</v>
      </c>
      <c r="G24" s="1438"/>
      <c r="H24" s="1300" t="s">
        <v>1337</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1338</v>
      </c>
      <c r="C26" s="1437"/>
      <c r="D26" s="1398"/>
      <c r="E26" s="1439"/>
      <c r="F26" s="1257"/>
      <c r="G26" s="1439"/>
      <c r="H26" s="1300"/>
      <c r="I26" s="1300"/>
    </row>
    <row r="27" spans="2:9" s="317" customFormat="1" ht="12.75" customHeight="1" x14ac:dyDescent="0.2">
      <c r="B27" s="1436" t="s">
        <v>1517</v>
      </c>
      <c r="C27" s="1437"/>
      <c r="D27" s="1398"/>
      <c r="E27" s="1438"/>
      <c r="F27" s="1300" t="s">
        <v>939</v>
      </c>
      <c r="G27" s="1438"/>
      <c r="H27" s="1300" t="s">
        <v>1337</v>
      </c>
      <c r="I27" s="1300"/>
    </row>
    <row r="28" spans="2:9" s="317" customFormat="1" ht="12.75" customHeight="1" x14ac:dyDescent="0.2">
      <c r="B28" s="1368"/>
      <c r="C28" s="1282"/>
      <c r="E28" s="1258"/>
    </row>
    <row r="29" spans="2:9" s="317" customFormat="1" ht="12.75" customHeight="1" x14ac:dyDescent="0.2">
      <c r="B29" s="1368" t="s">
        <v>1336</v>
      </c>
      <c r="C29" s="1282"/>
      <c r="D29" s="2477"/>
      <c r="E29" s="2477"/>
      <c r="F29" s="2477"/>
      <c r="G29" s="2477"/>
      <c r="H29" s="2477"/>
      <c r="I29" s="2477"/>
    </row>
    <row r="30" spans="2:9" s="317" customFormat="1" x14ac:dyDescent="0.2">
      <c r="B30" s="1368"/>
      <c r="C30" s="322"/>
      <c r="D30" s="1433" t="s">
        <v>1850</v>
      </c>
      <c r="E30" s="1434"/>
      <c r="F30" s="1434"/>
      <c r="G30" s="1434"/>
      <c r="H30" s="1434"/>
      <c r="I30" s="1434"/>
    </row>
    <row r="31" spans="2:9" s="317" customFormat="1" ht="9.9499999999999993" customHeight="1" x14ac:dyDescent="0.2">
      <c r="B31" s="1368"/>
      <c r="E31" s="1258"/>
    </row>
    <row r="32" spans="2:9" s="317" customFormat="1" x14ac:dyDescent="0.2">
      <c r="B32" s="1368" t="s">
        <v>1335</v>
      </c>
      <c r="C32" s="1282"/>
      <c r="E32" s="1258"/>
    </row>
    <row r="33" spans="2:9" ht="13.5" customHeight="1" x14ac:dyDescent="0.2">
      <c r="B33" s="1368" t="s">
        <v>1632</v>
      </c>
      <c r="C33" s="1282"/>
      <c r="E33" s="1438"/>
      <c r="F33" s="1300" t="s">
        <v>939</v>
      </c>
      <c r="G33" s="1438"/>
      <c r="H33" s="1300" t="s">
        <v>101</v>
      </c>
    </row>
    <row r="35" spans="2:9" x14ac:dyDescent="0.2">
      <c r="B35" s="1441" t="s">
        <v>1851</v>
      </c>
      <c r="C35" s="1442"/>
      <c r="D35" s="1267"/>
    </row>
    <row r="36" spans="2:9" ht="6" customHeight="1" x14ac:dyDescent="0.2">
      <c r="B36" s="1441"/>
      <c r="C36" s="1442"/>
      <c r="D36" s="1267"/>
    </row>
    <row r="37" spans="2:9" ht="17.25" customHeight="1" x14ac:dyDescent="0.2">
      <c r="B37" s="1443" t="s">
        <v>1852</v>
      </c>
      <c r="C37" s="2478" t="s">
        <v>1853</v>
      </c>
      <c r="D37" s="2479"/>
      <c r="E37" s="2479"/>
      <c r="F37" s="2480"/>
      <c r="G37" s="2478" t="s">
        <v>1673</v>
      </c>
      <c r="H37" s="2479"/>
      <c r="I37" s="2480"/>
    </row>
    <row r="38" spans="2:9" ht="16.5" customHeight="1" x14ac:dyDescent="0.2">
      <c r="B38" s="1444"/>
      <c r="C38" s="2466"/>
      <c r="D38" s="2467"/>
      <c r="E38" s="2467"/>
      <c r="F38" s="2468"/>
      <c r="G38" s="2481"/>
      <c r="H38" s="2482"/>
      <c r="I38" s="2483"/>
    </row>
    <row r="39" spans="2:9" ht="16.5" customHeight="1" x14ac:dyDescent="0.2">
      <c r="B39" s="1444"/>
      <c r="C39" s="2466"/>
      <c r="D39" s="2467"/>
      <c r="E39" s="2467"/>
      <c r="F39" s="2468"/>
      <c r="G39" s="2469"/>
      <c r="H39" s="2469"/>
      <c r="I39" s="2469"/>
    </row>
    <row r="40" spans="2:9" ht="16.5" customHeight="1" x14ac:dyDescent="0.2">
      <c r="B40" s="1444"/>
      <c r="C40" s="2466"/>
      <c r="D40" s="2467"/>
      <c r="E40" s="2467"/>
      <c r="F40" s="2468"/>
      <c r="G40" s="2469"/>
      <c r="H40" s="2469"/>
      <c r="I40" s="2469"/>
    </row>
    <row r="41" spans="2:9" ht="16.5" customHeight="1" x14ac:dyDescent="0.2">
      <c r="B41" s="1444"/>
      <c r="C41" s="2466"/>
      <c r="D41" s="2467"/>
      <c r="E41" s="2467"/>
      <c r="F41" s="2468"/>
      <c r="G41" s="2469"/>
      <c r="H41" s="2469"/>
      <c r="I41" s="2469"/>
    </row>
    <row r="42" spans="2:9" ht="16.5" customHeight="1" x14ac:dyDescent="0.2">
      <c r="B42" s="1444"/>
      <c r="C42" s="2466"/>
      <c r="D42" s="2467"/>
      <c r="E42" s="2467"/>
      <c r="F42" s="2468"/>
      <c r="G42" s="2469"/>
      <c r="H42" s="2469"/>
      <c r="I42" s="2469"/>
    </row>
    <row r="43" spans="2:9" ht="16.5" customHeight="1" x14ac:dyDescent="0.2">
      <c r="B43" s="1444"/>
      <c r="C43" s="2484" t="s">
        <v>1674</v>
      </c>
      <c r="D43" s="2485"/>
      <c r="E43" s="2485"/>
      <c r="F43" s="2486"/>
      <c r="G43" s="2487">
        <f>SUM(G38:I42)</f>
        <v>0</v>
      </c>
      <c r="H43" s="2487"/>
      <c r="I43" s="2487"/>
    </row>
    <row r="44" spans="2:9" ht="12.75" customHeight="1" x14ac:dyDescent="0.2"/>
    <row r="45" spans="2:9" ht="12.75" customHeight="1" x14ac:dyDescent="0.2">
      <c r="B45" s="1435" t="s">
        <v>1951</v>
      </c>
      <c r="D45" s="2488">
        <v>0</v>
      </c>
      <c r="E45" s="2489"/>
    </row>
    <row r="46" spans="2:9" ht="5.25" customHeight="1" x14ac:dyDescent="0.2">
      <c r="B46" s="1445"/>
      <c r="D46" s="1446"/>
      <c r="E46" s="1447"/>
    </row>
    <row r="47" spans="2:9" ht="12.75" customHeight="1" x14ac:dyDescent="0.2">
      <c r="B47" s="1300" t="s">
        <v>1675</v>
      </c>
      <c r="C47" s="1300"/>
      <c r="D47" s="1448" t="e">
        <f>+G43/D45</f>
        <v>#DIV/0!</v>
      </c>
      <c r="E47" s="1449"/>
      <c r="F47" s="1450"/>
      <c r="I47" s="1451"/>
    </row>
    <row r="48" spans="2:9" ht="9.9499999999999993" customHeight="1" x14ac:dyDescent="0.2"/>
    <row r="49" spans="1:9" x14ac:dyDescent="0.2">
      <c r="B49" s="1368" t="s">
        <v>1334</v>
      </c>
      <c r="C49" s="1282"/>
      <c r="D49" s="1282"/>
      <c r="E49" s="2490"/>
      <c r="F49" s="2490"/>
      <c r="G49" s="2490"/>
      <c r="H49" s="322"/>
    </row>
    <row r="51" spans="1:9" ht="13.5" customHeight="1" x14ac:dyDescent="0.2">
      <c r="B51" s="1368" t="s">
        <v>1333</v>
      </c>
      <c r="C51" s="1282"/>
      <c r="E51" s="1438"/>
      <c r="F51" s="1300" t="s">
        <v>939</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1854</v>
      </c>
      <c r="C54" s="1460"/>
      <c r="D54" s="1460"/>
    </row>
    <row r="55" spans="1:9" s="1461" customFormat="1" ht="12.75" customHeight="1" x14ac:dyDescent="0.2">
      <c r="A55" s="1458"/>
      <c r="B55" s="1462" t="s">
        <v>1676</v>
      </c>
      <c r="C55" s="1458"/>
      <c r="D55" s="1458"/>
    </row>
    <row r="56" spans="1:9" s="1461" customFormat="1" ht="12.75" customHeight="1" x14ac:dyDescent="0.2">
      <c r="A56" s="1458"/>
      <c r="B56" s="1462" t="s">
        <v>1677</v>
      </c>
      <c r="C56" s="1458"/>
      <c r="D56" s="1458"/>
    </row>
    <row r="57" spans="1:9" s="1461" customFormat="1" ht="3.95" customHeight="1" x14ac:dyDescent="0.2">
      <c r="A57" s="1458"/>
      <c r="B57" s="1462"/>
      <c r="C57" s="1458"/>
      <c r="D57" s="1458"/>
    </row>
    <row r="58" spans="1:9" s="1461" customFormat="1" ht="13.5" customHeight="1" x14ac:dyDescent="0.2">
      <c r="A58" s="1458"/>
      <c r="B58" s="1463" t="s">
        <v>1855</v>
      </c>
      <c r="C58" s="1464"/>
      <c r="D58" s="1464"/>
    </row>
    <row r="59" spans="1:9" s="1461" customFormat="1" ht="3.95" customHeight="1" x14ac:dyDescent="0.2">
      <c r="A59" s="1458"/>
      <c r="B59" s="1463"/>
      <c r="C59" s="1464"/>
      <c r="D59" s="1464"/>
    </row>
    <row r="60" spans="1:9" s="1461" customFormat="1" ht="13.5" customHeight="1" x14ac:dyDescent="0.2">
      <c r="A60" s="1458"/>
      <c r="B60" s="1463" t="s">
        <v>1856</v>
      </c>
      <c r="C60" s="1464"/>
      <c r="D60" s="1464"/>
    </row>
    <row r="61" spans="1:9" s="1461" customFormat="1" ht="3.95" customHeight="1" x14ac:dyDescent="0.2">
      <c r="A61" s="1458"/>
      <c r="B61" s="1463"/>
      <c r="C61" s="1464"/>
      <c r="D61" s="1464"/>
    </row>
    <row r="62" spans="1:9" s="1461" customFormat="1" ht="12.75" customHeight="1" x14ac:dyDescent="0.2">
      <c r="A62" s="1458"/>
      <c r="B62" s="1463" t="s">
        <v>1857</v>
      </c>
      <c r="C62" s="1464"/>
      <c r="D62" s="1464"/>
    </row>
    <row r="63" spans="1:9" s="1461" customFormat="1" ht="13.5" customHeight="1" x14ac:dyDescent="0.2">
      <c r="A63" s="1458"/>
      <c r="B63" s="1462" t="s">
        <v>1678</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0" t="str">
        <f>'Single Audit Cover'!A7</f>
        <v>La Moille CUSD 303</v>
      </c>
      <c r="C1" s="2470"/>
      <c r="D1" s="2470"/>
      <c r="E1" s="2470"/>
      <c r="F1" s="2470"/>
      <c r="G1" s="2470"/>
      <c r="H1" s="2470"/>
      <c r="I1" s="2470"/>
      <c r="J1" s="2470"/>
      <c r="K1" s="2470"/>
      <c r="L1" s="1374"/>
      <c r="M1" s="1374"/>
    </row>
    <row r="2" spans="1:13" ht="12" customHeight="1" x14ac:dyDescent="0.2">
      <c r="B2" s="2472">
        <f>'Single Audit Cover'!E7</f>
        <v>28006303026</v>
      </c>
      <c r="C2" s="2472"/>
      <c r="D2" s="2472"/>
      <c r="E2" s="2472"/>
      <c r="F2" s="2472"/>
      <c r="G2" s="2472"/>
      <c r="H2" s="2472"/>
      <c r="I2" s="2472"/>
      <c r="J2" s="2472"/>
      <c r="K2" s="2472"/>
      <c r="L2" s="1375"/>
      <c r="M2" s="1376"/>
    </row>
    <row r="3" spans="1:13" ht="10.35" customHeight="1" x14ac:dyDescent="0.2">
      <c r="B3" s="2493" t="s">
        <v>1346</v>
      </c>
      <c r="C3" s="2493"/>
      <c r="D3" s="2493"/>
      <c r="E3" s="2493"/>
      <c r="F3" s="2493"/>
      <c r="G3" s="2493"/>
      <c r="H3" s="2493"/>
      <c r="I3" s="2493"/>
      <c r="J3" s="2493"/>
      <c r="K3" s="2493"/>
      <c r="L3" s="1377"/>
      <c r="M3" s="1377"/>
    </row>
    <row r="4" spans="1:13" ht="14.25" customHeight="1" x14ac:dyDescent="0.2">
      <c r="B4" s="2494" t="str">
        <f>'Single Audit Cover'!A4</f>
        <v>Year Ending June 30, 2018</v>
      </c>
      <c r="C4" s="2494"/>
      <c r="D4" s="2494"/>
      <c r="E4" s="2494"/>
      <c r="F4" s="2494"/>
      <c r="G4" s="2494"/>
      <c r="H4" s="2494"/>
      <c r="I4" s="2494"/>
      <c r="J4" s="2494"/>
      <c r="K4" s="2494"/>
      <c r="L4" s="313"/>
      <c r="M4" s="313"/>
    </row>
    <row r="5" spans="1:13" ht="7.5" customHeight="1" x14ac:dyDescent="0.2">
      <c r="B5" s="1260" t="s">
        <v>1230</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4" t="s">
        <v>1362</v>
      </c>
      <c r="C7" s="2494"/>
      <c r="D7" s="2495"/>
      <c r="E7" s="2495"/>
      <c r="F7" s="2495"/>
      <c r="G7" s="2495"/>
      <c r="H7" s="2495"/>
      <c r="I7" s="2495"/>
      <c r="J7" s="2495"/>
      <c r="K7" s="2495"/>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1844</v>
      </c>
      <c r="C10" s="1385" t="s">
        <v>1952</v>
      </c>
      <c r="D10" s="1386"/>
      <c r="E10" s="322"/>
      <c r="F10" s="1387" t="s">
        <v>1361</v>
      </c>
      <c r="G10" s="1388"/>
      <c r="H10" s="1389" t="s">
        <v>1360</v>
      </c>
      <c r="I10" s="1388"/>
      <c r="J10" s="1390" t="s">
        <v>1359</v>
      </c>
      <c r="K10" s="322"/>
      <c r="L10" s="1381"/>
    </row>
    <row r="11" spans="1:13" ht="13.5" customHeight="1" x14ac:dyDescent="0.2">
      <c r="B11" s="322"/>
      <c r="C11" s="322"/>
      <c r="D11" s="322"/>
      <c r="E11" s="322"/>
      <c r="F11" s="322"/>
      <c r="G11" s="1383"/>
      <c r="H11" s="322"/>
      <c r="I11" s="1391" t="s">
        <v>1358</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1357</v>
      </c>
      <c r="C13" s="1393"/>
      <c r="D13" s="1394"/>
      <c r="E13" s="1394"/>
      <c r="F13" s="1394"/>
      <c r="G13" s="1395"/>
      <c r="H13" s="1394"/>
      <c r="I13" s="1395"/>
      <c r="J13" s="1394"/>
      <c r="K13" s="1394"/>
      <c r="L13" s="1396"/>
    </row>
    <row r="14" spans="1:13" ht="45.75" customHeight="1" x14ac:dyDescent="0.2">
      <c r="B14" s="2492"/>
      <c r="C14" s="2492"/>
      <c r="D14" s="2492"/>
      <c r="E14" s="2492"/>
      <c r="F14" s="2492"/>
      <c r="G14" s="2492"/>
      <c r="H14" s="2492"/>
      <c r="I14" s="2492"/>
      <c r="J14" s="2492"/>
      <c r="K14" s="2492"/>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1356</v>
      </c>
      <c r="C16" s="1393"/>
      <c r="D16" s="1394"/>
      <c r="E16" s="1394"/>
      <c r="F16" s="1394"/>
      <c r="G16" s="1395"/>
      <c r="H16" s="1394"/>
      <c r="I16" s="1395"/>
      <c r="J16" s="1394"/>
      <c r="K16" s="1394"/>
      <c r="L16" s="1396"/>
    </row>
    <row r="17" spans="2:12" ht="45.75" customHeight="1" x14ac:dyDescent="0.2">
      <c r="B17" s="2492"/>
      <c r="C17" s="2492"/>
      <c r="D17" s="2492"/>
      <c r="E17" s="2492"/>
      <c r="F17" s="2492"/>
      <c r="G17" s="2492"/>
      <c r="H17" s="2492"/>
      <c r="I17" s="2492"/>
      <c r="J17" s="2492"/>
      <c r="K17" s="2492"/>
      <c r="L17" s="1381"/>
    </row>
    <row r="18" spans="2:12" ht="4.5" customHeight="1" x14ac:dyDescent="0.2">
      <c r="B18" s="1398"/>
      <c r="C18" s="1398"/>
      <c r="L18" s="1381"/>
    </row>
    <row r="19" spans="2:12" s="1282" customFormat="1" ht="13.5" customHeight="1" x14ac:dyDescent="0.2">
      <c r="B19" s="1393" t="s">
        <v>1845</v>
      </c>
      <c r="C19" s="1393"/>
      <c r="D19" s="1394"/>
      <c r="E19" s="1394"/>
      <c r="F19" s="1394"/>
      <c r="G19" s="1395"/>
      <c r="H19" s="1394"/>
      <c r="I19" s="1395"/>
      <c r="J19" s="1394"/>
      <c r="K19" s="1394"/>
      <c r="L19" s="1396"/>
    </row>
    <row r="20" spans="2:12" ht="45.75" customHeight="1" x14ac:dyDescent="0.2">
      <c r="B20" s="2496"/>
      <c r="C20" s="2496"/>
      <c r="D20" s="2492"/>
      <c r="E20" s="2492"/>
      <c r="F20" s="2492"/>
      <c r="G20" s="2492"/>
      <c r="H20" s="2492"/>
      <c r="I20" s="2492"/>
      <c r="J20" s="2492"/>
      <c r="K20" s="2492"/>
      <c r="L20" s="1381"/>
    </row>
    <row r="21" spans="2:12" ht="4.5" customHeight="1" x14ac:dyDescent="0.2">
      <c r="B21" s="1400"/>
      <c r="C21" s="1400"/>
      <c r="L21" s="1381"/>
    </row>
    <row r="22" spans="2:12" ht="13.5" customHeight="1" x14ac:dyDescent="0.2">
      <c r="B22" s="1393" t="s">
        <v>1355</v>
      </c>
      <c r="C22" s="1393"/>
      <c r="D22" s="1379"/>
      <c r="E22" s="1379"/>
      <c r="F22" s="1379"/>
      <c r="G22" s="1380"/>
      <c r="H22" s="1379"/>
      <c r="I22" s="1380"/>
      <c r="J22" s="1379"/>
      <c r="K22" s="1379"/>
      <c r="L22" s="1381"/>
    </row>
    <row r="23" spans="2:12" ht="45" customHeight="1" x14ac:dyDescent="0.2">
      <c r="B23" s="2492"/>
      <c r="C23" s="2492"/>
      <c r="D23" s="2492"/>
      <c r="E23" s="2492"/>
      <c r="F23" s="2492"/>
      <c r="G23" s="2492"/>
      <c r="H23" s="2492"/>
      <c r="I23" s="2492"/>
      <c r="J23" s="2492"/>
      <c r="K23" s="2492"/>
      <c r="L23" s="1381"/>
    </row>
    <row r="24" spans="2:12" ht="4.5" customHeight="1" x14ac:dyDescent="0.2">
      <c r="B24" s="1398"/>
      <c r="C24" s="1398"/>
      <c r="L24" s="1381"/>
    </row>
    <row r="25" spans="2:12" ht="13.5" customHeight="1" x14ac:dyDescent="0.2">
      <c r="B25" s="1393" t="s">
        <v>1354</v>
      </c>
      <c r="C25" s="1393"/>
      <c r="D25" s="1379"/>
      <c r="E25" s="1379"/>
      <c r="F25" s="1379"/>
      <c r="G25" s="1380"/>
      <c r="H25" s="1379"/>
      <c r="I25" s="1380"/>
      <c r="J25" s="1379"/>
      <c r="K25" s="1379"/>
      <c r="L25" s="1381"/>
    </row>
    <row r="26" spans="2:12" ht="45.75" customHeight="1" x14ac:dyDescent="0.2">
      <c r="B26" s="2492"/>
      <c r="C26" s="2492"/>
      <c r="D26" s="2492"/>
      <c r="E26" s="2492"/>
      <c r="F26" s="2492"/>
      <c r="G26" s="2492"/>
      <c r="H26" s="2492"/>
      <c r="I26" s="2492"/>
      <c r="J26" s="2492"/>
      <c r="K26" s="2492"/>
      <c r="L26" s="1381"/>
    </row>
    <row r="27" spans="2:12" ht="4.5" customHeight="1" x14ac:dyDescent="0.2">
      <c r="B27" s="1398"/>
      <c r="C27" s="1398"/>
      <c r="L27" s="1381"/>
    </row>
    <row r="28" spans="2:12" ht="13.5" customHeight="1" x14ac:dyDescent="0.2">
      <c r="B28" s="1401" t="s">
        <v>1353</v>
      </c>
      <c r="C28" s="1401"/>
      <c r="D28" s="1379"/>
      <c r="E28" s="1379"/>
      <c r="F28" s="1379"/>
      <c r="G28" s="1380"/>
      <c r="H28" s="1379"/>
      <c r="I28" s="1380"/>
      <c r="J28" s="1379"/>
      <c r="K28" s="1379"/>
      <c r="L28" s="1381"/>
    </row>
    <row r="29" spans="2:12" ht="45.75" customHeight="1" x14ac:dyDescent="0.2">
      <c r="B29" s="2491"/>
      <c r="C29" s="2491"/>
      <c r="D29" s="2492"/>
      <c r="E29" s="2492"/>
      <c r="F29" s="2492"/>
      <c r="G29" s="2492"/>
      <c r="H29" s="2492"/>
      <c r="I29" s="2492"/>
      <c r="J29" s="2492"/>
      <c r="K29" s="2492"/>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1846</v>
      </c>
      <c r="C31" s="1403"/>
      <c r="D31" s="1378"/>
      <c r="E31" s="1379"/>
      <c r="F31" s="1379"/>
      <c r="G31" s="1380"/>
      <c r="H31" s="1379"/>
      <c r="I31" s="1380"/>
      <c r="J31" s="1379"/>
      <c r="K31" s="1379"/>
      <c r="L31" s="1381"/>
    </row>
    <row r="32" spans="2:12" s="322" customFormat="1" ht="44.25" customHeight="1" x14ac:dyDescent="0.2">
      <c r="B32" s="2491"/>
      <c r="C32" s="2491"/>
      <c r="D32" s="2492"/>
      <c r="E32" s="2492"/>
      <c r="F32" s="2492"/>
      <c r="G32" s="2492"/>
      <c r="H32" s="2492"/>
      <c r="I32" s="2492"/>
      <c r="J32" s="2492"/>
      <c r="K32" s="2492"/>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1847</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1848</v>
      </c>
      <c r="C38" s="1420"/>
    </row>
    <row r="39" spans="1:13" ht="9.6" customHeight="1" x14ac:dyDescent="0.2">
      <c r="B39" s="1300" t="s">
        <v>1347</v>
      </c>
      <c r="C39" s="1300"/>
      <c r="M39" s="1421"/>
    </row>
    <row r="40" spans="1:13" ht="12.6" customHeight="1" x14ac:dyDescent="0.2">
      <c r="B40" s="1420" t="s">
        <v>1849</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7" t="str">
        <f>'Single Audit Cover'!A7</f>
        <v>La Moille CUSD 303</v>
      </c>
      <c r="C1" s="2497"/>
      <c r="D1" s="2497"/>
      <c r="E1" s="2497"/>
      <c r="F1" s="2497"/>
      <c r="G1" s="2497"/>
      <c r="H1" s="2497"/>
      <c r="I1" s="2497"/>
      <c r="J1" s="2497"/>
      <c r="K1" s="2497"/>
      <c r="L1" s="1465"/>
    </row>
    <row r="2" spans="1:12" ht="12.75" customHeight="1" x14ac:dyDescent="0.2">
      <c r="B2" s="2498">
        <f>'Single Audit Cover'!E7</f>
        <v>28006303026</v>
      </c>
      <c r="C2" s="2498"/>
      <c r="D2" s="2498"/>
      <c r="E2" s="2498"/>
      <c r="F2" s="2498"/>
      <c r="G2" s="2498"/>
      <c r="H2" s="2498"/>
      <c r="I2" s="2498"/>
      <c r="J2" s="2498"/>
      <c r="K2" s="2498"/>
      <c r="L2" s="1466"/>
    </row>
    <row r="3" spans="1:12" ht="12.75" customHeight="1" x14ac:dyDescent="0.2">
      <c r="B3" s="2493" t="s">
        <v>1346</v>
      </c>
      <c r="C3" s="2493"/>
      <c r="D3" s="2493"/>
      <c r="E3" s="2493"/>
      <c r="F3" s="2493"/>
      <c r="G3" s="2493"/>
      <c r="H3" s="2493"/>
      <c r="I3" s="2493"/>
      <c r="J3" s="2493"/>
      <c r="K3" s="2493"/>
      <c r="L3" s="1377"/>
    </row>
    <row r="4" spans="1:12" ht="12.75" customHeight="1" x14ac:dyDescent="0.2">
      <c r="B4" s="2493" t="str">
        <f>'Single Audit Cover'!A4</f>
        <v>Year Ending June 30, 2018</v>
      </c>
      <c r="C4" s="2493"/>
      <c r="D4" s="2493"/>
      <c r="E4" s="2493"/>
      <c r="F4" s="2493"/>
      <c r="G4" s="2493"/>
      <c r="H4" s="2493"/>
      <c r="I4" s="2493"/>
      <c r="J4" s="2493"/>
      <c r="K4" s="2493"/>
      <c r="L4" s="1377"/>
    </row>
    <row r="5" spans="1:12" ht="5.25" customHeight="1" x14ac:dyDescent="0.2">
      <c r="B5" s="1260" t="s">
        <v>1230</v>
      </c>
      <c r="C5" s="1260"/>
      <c r="L5" s="322"/>
    </row>
    <row r="6" spans="1:12" ht="30.75" customHeight="1" x14ac:dyDescent="0.2">
      <c r="A6" s="322"/>
      <c r="B6" s="2499" t="s">
        <v>1374</v>
      </c>
      <c r="C6" s="2499"/>
      <c r="D6" s="2499"/>
      <c r="E6" s="2499"/>
      <c r="F6" s="2499"/>
      <c r="G6" s="2499"/>
      <c r="H6" s="2499"/>
      <c r="I6" s="2499"/>
      <c r="J6" s="2499"/>
      <c r="K6" s="2499"/>
      <c r="L6" s="322"/>
    </row>
    <row r="7" spans="1:12" ht="4.5" customHeight="1" x14ac:dyDescent="0.2">
      <c r="B7" s="1379"/>
      <c r="C7" s="1379"/>
      <c r="D7" s="1379"/>
      <c r="E7" s="1379"/>
      <c r="F7" s="1379"/>
      <c r="G7" s="1380"/>
      <c r="H7" s="1379"/>
      <c r="I7" s="1380"/>
      <c r="J7" s="1379"/>
      <c r="K7" s="1379"/>
      <c r="L7" s="322"/>
    </row>
    <row r="8" spans="1:12" ht="13.5" customHeight="1" x14ac:dyDescent="0.2">
      <c r="B8" s="1387" t="s">
        <v>1858</v>
      </c>
      <c r="C8" s="1467" t="s">
        <v>1952</v>
      </c>
      <c r="D8" s="1468"/>
      <c r="E8" s="322"/>
      <c r="F8" s="1384" t="s">
        <v>1361</v>
      </c>
      <c r="G8" s="1469"/>
      <c r="H8" s="1470" t="s">
        <v>1373</v>
      </c>
      <c r="I8" s="1469"/>
      <c r="J8" s="1471" t="s">
        <v>1372</v>
      </c>
      <c r="L8" s="322"/>
    </row>
    <row r="9" spans="1:12" ht="13.5" customHeight="1" x14ac:dyDescent="0.2">
      <c r="D9" s="322"/>
      <c r="E9" s="322"/>
      <c r="F9" s="322"/>
      <c r="G9" s="1383"/>
      <c r="H9" s="322"/>
      <c r="I9" s="1472" t="s">
        <v>1358</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1371</v>
      </c>
      <c r="C12" s="1384"/>
      <c r="D12" s="304"/>
      <c r="E12" s="322"/>
      <c r="F12" s="2477"/>
      <c r="G12" s="2477"/>
      <c r="H12" s="2477"/>
      <c r="I12" s="2477"/>
      <c r="J12" s="2477"/>
      <c r="K12" s="2477"/>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1370</v>
      </c>
      <c r="C14" s="1387"/>
      <c r="D14" s="2500"/>
      <c r="E14" s="2500"/>
      <c r="F14" s="2500"/>
      <c r="H14" s="1475" t="s">
        <v>1369</v>
      </c>
      <c r="I14" s="2501"/>
      <c r="J14" s="2501"/>
      <c r="K14" s="2501"/>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1368</v>
      </c>
      <c r="C16" s="1387"/>
      <c r="D16" s="2501"/>
      <c r="E16" s="2501"/>
      <c r="F16" s="2501"/>
      <c r="G16" s="2501"/>
      <c r="H16" s="2501"/>
      <c r="I16" s="2501"/>
      <c r="J16" s="2501"/>
      <c r="K16" s="2501"/>
      <c r="L16" s="322"/>
    </row>
    <row r="17" spans="2:12" ht="13.5" customHeight="1" x14ac:dyDescent="0.2">
      <c r="B17" s="1387" t="s">
        <v>1367</v>
      </c>
      <c r="C17" s="1387"/>
      <c r="D17" s="2502"/>
      <c r="E17" s="2502"/>
      <c r="F17" s="2502"/>
      <c r="G17" s="2502"/>
      <c r="H17" s="2502"/>
      <c r="I17" s="2502"/>
      <c r="J17" s="2502"/>
      <c r="K17" s="2502"/>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1366</v>
      </c>
      <c r="C19" s="1477"/>
      <c r="D19" s="328"/>
      <c r="E19" s="328"/>
      <c r="F19" s="328"/>
      <c r="G19" s="1478"/>
      <c r="H19" s="328"/>
      <c r="I19" s="1478"/>
      <c r="J19" s="322"/>
      <c r="K19" s="322"/>
      <c r="L19" s="322"/>
    </row>
    <row r="20" spans="2:12" ht="35.25" customHeight="1" x14ac:dyDescent="0.2">
      <c r="B20" s="2492"/>
      <c r="C20" s="2492"/>
      <c r="D20" s="2492"/>
      <c r="E20" s="2492"/>
      <c r="F20" s="2492"/>
      <c r="G20" s="2492"/>
      <c r="H20" s="2492"/>
      <c r="I20" s="2492"/>
      <c r="J20" s="2492"/>
      <c r="K20" s="2492"/>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1859</v>
      </c>
      <c r="C22" s="1477"/>
      <c r="D22" s="322"/>
      <c r="E22" s="322"/>
      <c r="F22" s="322"/>
      <c r="G22" s="1383"/>
      <c r="H22" s="322"/>
      <c r="I22" s="1383"/>
      <c r="J22" s="322"/>
      <c r="K22" s="322"/>
      <c r="L22" s="322"/>
    </row>
    <row r="23" spans="2:12" ht="37.5" customHeight="1" x14ac:dyDescent="0.2">
      <c r="B23" s="2492"/>
      <c r="C23" s="2492"/>
      <c r="D23" s="2492"/>
      <c r="E23" s="2492"/>
      <c r="F23" s="2492"/>
      <c r="G23" s="2492"/>
      <c r="H23" s="2492"/>
      <c r="I23" s="2492"/>
      <c r="J23" s="2492"/>
      <c r="K23" s="2492"/>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1860</v>
      </c>
      <c r="C25" s="1477"/>
      <c r="D25" s="322"/>
      <c r="E25" s="322"/>
      <c r="F25" s="322"/>
      <c r="G25" s="1383"/>
      <c r="H25" s="322"/>
      <c r="I25" s="1383"/>
      <c r="J25" s="322"/>
      <c r="K25" s="322"/>
      <c r="L25" s="322"/>
    </row>
    <row r="26" spans="2:12" ht="37.5" customHeight="1" x14ac:dyDescent="0.2">
      <c r="B26" s="2492"/>
      <c r="C26" s="2492"/>
      <c r="D26" s="2492"/>
      <c r="E26" s="2492"/>
      <c r="F26" s="2492"/>
      <c r="G26" s="2492"/>
      <c r="H26" s="2492"/>
      <c r="I26" s="2492"/>
      <c r="J26" s="2492"/>
      <c r="K26" s="2492"/>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1861</v>
      </c>
      <c r="C28" s="1477"/>
      <c r="D28" s="322"/>
      <c r="E28" s="322"/>
      <c r="F28" s="322"/>
      <c r="G28" s="1383"/>
      <c r="H28" s="322"/>
      <c r="I28" s="1383"/>
      <c r="J28" s="322"/>
      <c r="K28" s="322"/>
      <c r="L28" s="322"/>
    </row>
    <row r="29" spans="2:12" ht="37.5" customHeight="1" x14ac:dyDescent="0.2">
      <c r="B29" s="2492"/>
      <c r="C29" s="2492"/>
      <c r="D29" s="2492"/>
      <c r="E29" s="2492"/>
      <c r="F29" s="2492"/>
      <c r="G29" s="2492"/>
      <c r="H29" s="2492"/>
      <c r="I29" s="2492"/>
      <c r="J29" s="2492"/>
      <c r="K29" s="2492"/>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1365</v>
      </c>
      <c r="C31" s="1477"/>
      <c r="D31" s="322"/>
      <c r="E31" s="322"/>
      <c r="F31" s="322"/>
      <c r="G31" s="1383"/>
      <c r="H31" s="322"/>
      <c r="I31" s="1383"/>
      <c r="J31" s="322"/>
      <c r="K31" s="322"/>
      <c r="L31" s="322"/>
    </row>
    <row r="32" spans="2:12" ht="37.5" customHeight="1" x14ac:dyDescent="0.2">
      <c r="B32" s="2492"/>
      <c r="C32" s="2492"/>
      <c r="D32" s="2492"/>
      <c r="E32" s="2492"/>
      <c r="F32" s="2492"/>
      <c r="G32" s="2492"/>
      <c r="H32" s="2492"/>
      <c r="I32" s="2492"/>
      <c r="J32" s="2492"/>
      <c r="K32" s="2492"/>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1364</v>
      </c>
      <c r="C34" s="1384"/>
      <c r="D34" s="322"/>
      <c r="E34" s="322"/>
      <c r="F34" s="322"/>
      <c r="G34" s="1383"/>
      <c r="H34" s="322"/>
      <c r="I34" s="1383"/>
      <c r="J34" s="322"/>
      <c r="K34" s="322"/>
      <c r="L34" s="322"/>
    </row>
    <row r="35" spans="2:12" ht="37.5" customHeight="1" x14ac:dyDescent="0.2">
      <c r="B35" s="2492"/>
      <c r="C35" s="2492"/>
      <c r="D35" s="2492"/>
      <c r="E35" s="2492"/>
      <c r="F35" s="2492"/>
      <c r="G35" s="2492"/>
      <c r="H35" s="2492"/>
      <c r="I35" s="2492"/>
      <c r="J35" s="2492"/>
      <c r="K35" s="2492"/>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1363</v>
      </c>
      <c r="C37" s="1384"/>
      <c r="D37" s="322"/>
      <c r="E37" s="322"/>
      <c r="F37" s="322"/>
      <c r="G37" s="1383"/>
      <c r="H37" s="322"/>
      <c r="I37" s="1383"/>
      <c r="J37" s="322"/>
      <c r="K37" s="322"/>
      <c r="L37" s="322"/>
    </row>
    <row r="38" spans="2:12" ht="35.25" customHeight="1" x14ac:dyDescent="0.2">
      <c r="B38" s="2492"/>
      <c r="C38" s="2492"/>
      <c r="D38" s="2492"/>
      <c r="E38" s="2492"/>
      <c r="F38" s="2492"/>
      <c r="G38" s="2492"/>
      <c r="H38" s="2492"/>
      <c r="I38" s="2492"/>
      <c r="J38" s="2492"/>
      <c r="K38" s="2492"/>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1862</v>
      </c>
      <c r="C40" s="1403"/>
      <c r="D40" s="1378"/>
      <c r="E40" s="1379"/>
      <c r="F40" s="1379"/>
      <c r="G40" s="1380"/>
      <c r="H40" s="1379"/>
      <c r="I40" s="1380"/>
      <c r="J40" s="1379"/>
      <c r="K40" s="1379"/>
    </row>
    <row r="41" spans="2:12" s="322" customFormat="1" ht="33.75" customHeight="1" x14ac:dyDescent="0.2">
      <c r="B41" s="2492"/>
      <c r="C41" s="2492"/>
      <c r="D41" s="2492"/>
      <c r="E41" s="2492"/>
      <c r="F41" s="2492"/>
      <c r="G41" s="2492"/>
      <c r="H41" s="2492"/>
      <c r="I41" s="2492"/>
      <c r="J41" s="2492"/>
      <c r="K41" s="2492"/>
    </row>
    <row r="42" spans="2:12" s="322" customFormat="1" ht="4.5" customHeight="1" x14ac:dyDescent="0.2">
      <c r="B42" s="1402"/>
      <c r="C42" s="1402"/>
      <c r="G42" s="1383"/>
      <c r="I42" s="1383"/>
    </row>
    <row r="43" spans="2:12" s="322" customFormat="1" ht="13.5" customHeight="1" x14ac:dyDescent="0.2">
      <c r="B43" s="1482" t="s">
        <v>1352</v>
      </c>
      <c r="C43" s="1483"/>
      <c r="D43" s="1404"/>
      <c r="E43" s="1404"/>
      <c r="F43" s="1404"/>
      <c r="G43" s="1405"/>
      <c r="H43" s="1404"/>
      <c r="I43" s="1405"/>
      <c r="J43" s="1404"/>
      <c r="K43" s="1406"/>
      <c r="L43" s="1484"/>
    </row>
    <row r="44" spans="2:12" s="322" customFormat="1" ht="13.5" customHeight="1" x14ac:dyDescent="0.2">
      <c r="B44" s="1407" t="s">
        <v>1351</v>
      </c>
      <c r="C44" s="1408"/>
      <c r="D44" s="1485"/>
      <c r="E44" s="1409"/>
      <c r="F44" s="1413" t="s">
        <v>1350</v>
      </c>
      <c r="G44" s="1411"/>
      <c r="H44" s="1410"/>
      <c r="I44" s="1411"/>
      <c r="J44" s="1486"/>
      <c r="K44" s="1487"/>
      <c r="L44" s="1484"/>
    </row>
    <row r="45" spans="2:12" s="322" customFormat="1" ht="13.5" customHeight="1" x14ac:dyDescent="0.2">
      <c r="B45" s="1407" t="s">
        <v>1349</v>
      </c>
      <c r="C45" s="1408"/>
      <c r="D45" s="1486"/>
      <c r="E45" s="1410"/>
      <c r="F45" s="1413" t="s">
        <v>1348</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1863</v>
      </c>
      <c r="C48" s="1419"/>
      <c r="D48" s="322"/>
      <c r="E48" s="322"/>
      <c r="F48" s="322"/>
    </row>
    <row r="49" spans="2:3" s="317" customFormat="1" ht="10.5" customHeight="1" x14ac:dyDescent="0.2">
      <c r="B49" s="1420" t="s">
        <v>1864</v>
      </c>
      <c r="C49" s="1420"/>
    </row>
    <row r="50" spans="2:3" s="317" customFormat="1" ht="11.1" customHeight="1" x14ac:dyDescent="0.2">
      <c r="B50" s="1420" t="s">
        <v>1865</v>
      </c>
      <c r="C50" s="1420"/>
    </row>
    <row r="51" spans="2:3" s="317" customFormat="1" ht="11.1" customHeight="1" x14ac:dyDescent="0.2">
      <c r="B51" s="1420" t="s">
        <v>1866</v>
      </c>
      <c r="C51" s="1420"/>
    </row>
    <row r="52" spans="2:3" s="317" customFormat="1" ht="11.1" customHeight="1" x14ac:dyDescent="0.2">
      <c r="B52" s="1420" t="s">
        <v>1867</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0" t="str">
        <f>'Single Audit Cover'!A7</f>
        <v>La Moille CUSD 303</v>
      </c>
      <c r="C1" s="2470"/>
      <c r="D1" s="2470"/>
      <c r="E1" s="1491"/>
    </row>
    <row r="2" spans="2:5" s="1282" customFormat="1" ht="12.75" customHeight="1" x14ac:dyDescent="0.2">
      <c r="B2" s="2472">
        <f>'Single Audit Cover'!E7</f>
        <v>28006303026</v>
      </c>
      <c r="C2" s="2472"/>
      <c r="D2" s="2472"/>
      <c r="E2" s="1492"/>
    </row>
    <row r="3" spans="2:5" ht="12.75" customHeight="1" x14ac:dyDescent="0.2">
      <c r="B3" s="2493" t="s">
        <v>1868</v>
      </c>
      <c r="C3" s="2493"/>
      <c r="D3" s="2493"/>
      <c r="E3" s="1274"/>
    </row>
    <row r="4" spans="2:5" s="1282" customFormat="1" ht="12.75" customHeight="1" x14ac:dyDescent="0.2">
      <c r="B4" s="2503" t="str">
        <f>'Single Audit Cover'!A4</f>
        <v>Year Ending June 30, 2018</v>
      </c>
      <c r="C4" s="2503"/>
      <c r="D4" s="2503"/>
      <c r="E4" s="1493"/>
    </row>
    <row r="5" spans="2:5" s="1282" customFormat="1" ht="40.15" customHeight="1" x14ac:dyDescent="0.2">
      <c r="B5" s="1494" t="s">
        <v>1869</v>
      </c>
      <c r="C5" s="328"/>
      <c r="D5" s="328"/>
      <c r="E5" s="328"/>
    </row>
    <row r="6" spans="2:5" s="1282" customFormat="1" ht="13.5" customHeight="1" x14ac:dyDescent="0.2">
      <c r="B6" s="1495" t="s">
        <v>1381</v>
      </c>
      <c r="C6" s="1495" t="s">
        <v>1380</v>
      </c>
      <c r="D6" s="1495" t="s">
        <v>1870</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1379</v>
      </c>
      <c r="C44" s="322"/>
    </row>
    <row r="45" spans="2:5" ht="12.2" customHeight="1" x14ac:dyDescent="0.2">
      <c r="B45" s="1505" t="s">
        <v>1871</v>
      </c>
    </row>
    <row r="46" spans="2:5" ht="12.2" customHeight="1" x14ac:dyDescent="0.2">
      <c r="B46" s="1505" t="s">
        <v>1872</v>
      </c>
    </row>
    <row r="47" spans="2:5" ht="12.2" customHeight="1" x14ac:dyDescent="0.2">
      <c r="B47" s="1506" t="s">
        <v>1378</v>
      </c>
    </row>
    <row r="48" spans="2:5" ht="12.2" customHeight="1" x14ac:dyDescent="0.2">
      <c r="B48" s="1506" t="s">
        <v>1377</v>
      </c>
    </row>
    <row r="49" spans="2:5" ht="12.2" customHeight="1" x14ac:dyDescent="0.2">
      <c r="B49" s="1506" t="s">
        <v>1376</v>
      </c>
    </row>
    <row r="50" spans="2:5" ht="12.2" customHeight="1" x14ac:dyDescent="0.2">
      <c r="B50" s="1506" t="s">
        <v>1375</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80" zoomScaleNormal="80" workbookViewId="0">
      <selection activeCell="B33" sqref="B3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9" t="s">
        <v>403</v>
      </c>
      <c r="B1" s="2099"/>
      <c r="C1" s="2099"/>
      <c r="D1" s="2099"/>
      <c r="E1" s="2099"/>
      <c r="F1" s="2099"/>
      <c r="G1" s="2099"/>
      <c r="H1" s="2099"/>
      <c r="I1" s="2099"/>
      <c r="J1" s="2099"/>
      <c r="K1" s="2099"/>
      <c r="L1" s="2099"/>
      <c r="M1" s="2099"/>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44547297</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3.1988500000000003E-2</v>
      </c>
      <c r="E10" s="356" t="s">
        <v>1061</v>
      </c>
      <c r="F10" s="355">
        <v>6.7345E-3</v>
      </c>
      <c r="G10" s="356" t="s">
        <v>1061</v>
      </c>
      <c r="H10" s="355">
        <v>1.9081E-3</v>
      </c>
      <c r="I10" s="356" t="s">
        <v>1062</v>
      </c>
      <c r="J10" s="1754">
        <f>ROUND(D10+F10+H10,5)</f>
        <v>4.0629999999999999E-2</v>
      </c>
      <c r="K10" s="222"/>
      <c r="L10" s="355">
        <v>4.7150000000000002E-4</v>
      </c>
      <c r="M10" s="222"/>
    </row>
    <row r="11" spans="1:14" ht="7.5" customHeight="1" x14ac:dyDescent="0.2">
      <c r="B11" s="222"/>
      <c r="C11" s="222"/>
      <c r="D11" s="2109" t="str">
        <f>IF(SUM(J10)&lt;=0.0999999,"","Enter the Tax Rates by moving the decimal two places to the left.")</f>
        <v/>
      </c>
      <c r="E11" s="2110"/>
      <c r="F11" s="2110"/>
      <c r="G11" s="2110"/>
      <c r="H11" s="2110"/>
      <c r="I11" s="2110"/>
      <c r="J11" s="211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55">
        <f>SUM('Acct Summary 7-8'!C8,'Acct Summary 7-8'!D8,'Acct Summary 7-8'!F8,'Acct Summary 7-8'!I8)</f>
        <v>3017816</v>
      </c>
      <c r="E16" s="356"/>
      <c r="F16" s="1755">
        <f>SUM('Acct Summary 7-8'!C17,'Acct Summary 7-8'!D17,'Acct Summary 7-8'!F17)</f>
        <v>3475054</v>
      </c>
      <c r="G16" s="356"/>
      <c r="H16" s="1755">
        <f>SUM(D16-F16)</f>
        <v>-457238</v>
      </c>
      <c r="I16" s="222"/>
      <c r="J16" s="1755">
        <f>SUM('Acct Summary 7-8'!C81,'Acct Summary 7-8'!D81,'Acct Summary 7-8'!F81,'Acct Summary 7-8'!I81)</f>
        <v>1592509</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55">
        <f>'Short-Term Long-Term Debt 24'!F4</f>
        <v>0</v>
      </c>
      <c r="E22" s="356" t="s">
        <v>1061</v>
      </c>
      <c r="F22" s="1755">
        <f>'Short-Term Long-Term Debt 24'!F15</f>
        <v>0</v>
      </c>
      <c r="G22" s="356" t="s">
        <v>1061</v>
      </c>
      <c r="H22" s="1755">
        <f>'Short-Term Long-Term Debt 24'!F21</f>
        <v>0</v>
      </c>
      <c r="I22" s="356" t="s">
        <v>1061</v>
      </c>
      <c r="J22" s="1755">
        <f>'Short-Term Long-Term Debt 24'!F23</f>
        <v>0</v>
      </c>
      <c r="K22" s="356" t="s">
        <v>1061</v>
      </c>
      <c r="L22" s="1755">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1062</v>
      </c>
      <c r="F24" s="1756">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606</v>
      </c>
      <c r="D31" s="237" t="s">
        <v>1131</v>
      </c>
      <c r="E31" s="222"/>
      <c r="F31" s="222"/>
      <c r="G31" s="363"/>
      <c r="H31" s="1757">
        <f>IF(B31="X",(J7*0.069),IF(B32="X",(J7*0.138),"Enter x in a.or b."))</f>
        <v>6147526.9860000005</v>
      </c>
      <c r="I31" s="368"/>
      <c r="J31" s="222"/>
      <c r="K31" s="222"/>
      <c r="L31" s="222"/>
      <c r="M31" s="222"/>
    </row>
    <row r="32" spans="1:13" ht="13.35" customHeight="1" x14ac:dyDescent="0.2">
      <c r="B32" s="369" t="s">
        <v>2076</v>
      </c>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56">
        <f>'Assets-Liab 5-6'!N36</f>
        <v>773574</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00"/>
      <c r="C54" s="2101"/>
      <c r="D54" s="2101"/>
      <c r="E54" s="2101"/>
      <c r="F54" s="2101"/>
      <c r="G54" s="2101"/>
      <c r="H54" s="2101"/>
      <c r="I54" s="2101"/>
      <c r="J54" s="2101"/>
      <c r="K54" s="2101"/>
      <c r="L54" s="2102"/>
      <c r="M54" s="380"/>
    </row>
    <row r="55" spans="1:13" ht="12.75" customHeight="1" x14ac:dyDescent="0.2">
      <c r="B55" s="2103"/>
      <c r="C55" s="2104"/>
      <c r="D55" s="2104"/>
      <c r="E55" s="2104"/>
      <c r="F55" s="2104"/>
      <c r="G55" s="2104"/>
      <c r="H55" s="2104"/>
      <c r="I55" s="2104"/>
      <c r="J55" s="2104"/>
      <c r="K55" s="2104"/>
      <c r="L55" s="2105"/>
      <c r="M55" s="380"/>
    </row>
    <row r="56" spans="1:13" ht="12.75" customHeight="1" x14ac:dyDescent="0.2">
      <c r="B56" s="2103"/>
      <c r="C56" s="2104"/>
      <c r="D56" s="2104"/>
      <c r="E56" s="2104"/>
      <c r="F56" s="2104"/>
      <c r="G56" s="2104"/>
      <c r="H56" s="2104"/>
      <c r="I56" s="2104"/>
      <c r="J56" s="2104"/>
      <c r="K56" s="2104"/>
      <c r="L56" s="2105"/>
      <c r="M56" s="222"/>
    </row>
    <row r="57" spans="1:13" ht="12.75" customHeight="1" x14ac:dyDescent="0.2">
      <c r="B57" s="2103"/>
      <c r="C57" s="2104"/>
      <c r="D57" s="2104"/>
      <c r="E57" s="2104"/>
      <c r="F57" s="2104"/>
      <c r="G57" s="2104"/>
      <c r="H57" s="2104"/>
      <c r="I57" s="2104"/>
      <c r="J57" s="2104"/>
      <c r="K57" s="2104"/>
      <c r="L57" s="2105"/>
      <c r="M57" s="222"/>
    </row>
    <row r="58" spans="1:13" x14ac:dyDescent="0.2">
      <c r="B58" s="2106"/>
      <c r="C58" s="2107"/>
      <c r="D58" s="2107"/>
      <c r="E58" s="2107"/>
      <c r="F58" s="2107"/>
      <c r="G58" s="2107"/>
      <c r="H58" s="2107"/>
      <c r="I58" s="2107"/>
      <c r="J58" s="2107"/>
      <c r="K58" s="2107"/>
      <c r="L58" s="210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1"/>
      <c r="D61" s="211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4"/>
      <c r="B1" s="2115"/>
      <c r="C1" s="2115"/>
      <c r="D1" s="384"/>
      <c r="E1" s="384"/>
      <c r="F1" s="384"/>
      <c r="G1" s="384"/>
      <c r="H1" s="384"/>
      <c r="I1" s="384"/>
      <c r="J1" s="384"/>
      <c r="K1" s="384"/>
      <c r="L1" s="384"/>
      <c r="M1" s="384"/>
      <c r="N1" s="384"/>
      <c r="O1" s="2114"/>
      <c r="P1" s="2115"/>
      <c r="Q1" s="2115"/>
    </row>
    <row r="2" spans="1:18" ht="15" x14ac:dyDescent="0.2">
      <c r="A2" s="2118" t="s">
        <v>576</v>
      </c>
      <c r="B2" s="2118"/>
      <c r="C2" s="2118"/>
      <c r="D2" s="2118"/>
      <c r="E2" s="2118"/>
      <c r="F2" s="2118"/>
      <c r="G2" s="2118"/>
      <c r="H2" s="2118"/>
      <c r="I2" s="2118"/>
      <c r="J2" s="2118"/>
      <c r="K2" s="2118"/>
      <c r="L2" s="2118"/>
      <c r="M2" s="2118"/>
      <c r="N2" s="2118"/>
      <c r="O2" s="2118"/>
      <c r="P2" s="2118"/>
      <c r="Q2" s="2118"/>
      <c r="R2" s="2118"/>
    </row>
    <row r="3" spans="1:18" ht="12.75" x14ac:dyDescent="0.2">
      <c r="A3" s="2119" t="s">
        <v>1479</v>
      </c>
      <c r="B3" s="2119"/>
      <c r="C3" s="2119"/>
      <c r="D3" s="2119"/>
      <c r="E3" s="2119"/>
      <c r="F3" s="2119"/>
      <c r="G3" s="2119"/>
      <c r="H3" s="2119"/>
      <c r="I3" s="2119"/>
      <c r="J3" s="2119"/>
      <c r="K3" s="2119"/>
      <c r="L3" s="2119"/>
      <c r="M3" s="2119"/>
      <c r="N3" s="2119"/>
      <c r="O3" s="2119"/>
      <c r="P3" s="2119"/>
      <c r="Q3" s="2119"/>
      <c r="R3" s="2119"/>
    </row>
    <row r="4" spans="1:18" x14ac:dyDescent="0.2">
      <c r="A4" s="2120" t="s">
        <v>1634</v>
      </c>
      <c r="B4" s="2120"/>
      <c r="C4" s="2120"/>
      <c r="D4" s="2120"/>
      <c r="E4" s="2120"/>
      <c r="F4" s="2120"/>
      <c r="G4" s="2120"/>
      <c r="H4" s="2120"/>
      <c r="I4" s="2120"/>
      <c r="J4" s="2120"/>
      <c r="K4" s="2120"/>
      <c r="L4" s="2120"/>
      <c r="M4" s="2120"/>
      <c r="N4" s="2120"/>
      <c r="O4" s="2120"/>
      <c r="P4" s="2120"/>
      <c r="Q4" s="2120"/>
      <c r="R4" s="212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La Moille CUSD 303</v>
      </c>
      <c r="E7" s="391"/>
      <c r="G7" s="252"/>
      <c r="H7" s="387"/>
      <c r="I7" s="387"/>
      <c r="J7" s="387"/>
      <c r="K7" s="387"/>
      <c r="L7" s="329"/>
      <c r="M7" s="329"/>
      <c r="N7" s="329"/>
      <c r="O7" s="329"/>
      <c r="P7" s="329"/>
    </row>
    <row r="8" spans="1:18" ht="12.75" x14ac:dyDescent="0.2">
      <c r="A8" s="329"/>
      <c r="B8" s="329"/>
      <c r="C8" s="389" t="s">
        <v>1186</v>
      </c>
      <c r="D8" s="392">
        <f>COVER!A13</f>
        <v>28006303026</v>
      </c>
      <c r="E8" s="393"/>
      <c r="G8" s="329"/>
      <c r="H8" s="329"/>
      <c r="I8" s="329"/>
      <c r="J8" s="329"/>
      <c r="K8" s="329"/>
      <c r="L8" s="329"/>
      <c r="M8" s="329"/>
      <c r="N8" s="329"/>
      <c r="O8" s="329"/>
      <c r="P8" s="329"/>
    </row>
    <row r="9" spans="1:18" ht="12.75" x14ac:dyDescent="0.2">
      <c r="A9" s="329"/>
      <c r="B9" s="329"/>
      <c r="C9" s="389" t="s">
        <v>736</v>
      </c>
      <c r="D9" s="394" t="str">
        <f>COVER!A15</f>
        <v>BUREAU</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4</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1592509</v>
      </c>
      <c r="I12" s="404"/>
      <c r="J12" s="404"/>
      <c r="K12" s="405">
        <f>TRUNC((H12/H13*100000),5)/100000</f>
        <v>0.52886349620000006</v>
      </c>
      <c r="L12" s="406"/>
      <c r="M12" s="360" t="s">
        <v>1205</v>
      </c>
      <c r="N12" s="360"/>
      <c r="O12" s="407">
        <v>0.35</v>
      </c>
      <c r="P12" s="218"/>
      <c r="Q12" s="218"/>
    </row>
    <row r="13" spans="1:18" s="408" customFormat="1" ht="12.75" x14ac:dyDescent="0.2">
      <c r="A13" s="218"/>
      <c r="B13" s="401"/>
      <c r="C13" s="2116" t="s">
        <v>1390</v>
      </c>
      <c r="D13" s="2117"/>
      <c r="E13" s="218"/>
      <c r="F13" s="409" t="s">
        <v>825</v>
      </c>
      <c r="G13" s="402"/>
      <c r="H13" s="403">
        <f>SUM('Acct Summary 7-8'!C8+'Acct Summary 7-8'!D8+'Acct Summary 7-8'!F8+'Acct Summary 7-8'!I8)+H14</f>
        <v>3011191</v>
      </c>
      <c r="I13" s="404"/>
      <c r="J13" s="404"/>
      <c r="K13" s="410"/>
      <c r="L13" s="218"/>
      <c r="M13" s="360" t="s">
        <v>1206</v>
      </c>
      <c r="N13" s="360"/>
      <c r="O13" s="411">
        <f>(O11*O12)</f>
        <v>1.4</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-6625</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t="str">
        <f>IF(K17&gt;1.2,"1",IF(K17&gt;1.1,"2",IF(K17&gt;1,"3",4)))</f>
        <v>2</v>
      </c>
      <c r="P16" s="216"/>
      <c r="R16" s="384"/>
    </row>
    <row r="17" spans="1:18" s="408" customFormat="1" ht="11.25" x14ac:dyDescent="0.2">
      <c r="A17" s="218"/>
      <c r="B17" s="401"/>
      <c r="C17" s="218" t="s">
        <v>829</v>
      </c>
      <c r="D17" s="218"/>
      <c r="E17" s="218"/>
      <c r="F17" s="218" t="s">
        <v>463</v>
      </c>
      <c r="G17" s="402"/>
      <c r="H17" s="403">
        <f>SUM('Acct Summary 7-8'!C17+'Acct Summary 7-8'!D17+'Acct Summary 7-8'!F17)</f>
        <v>3475054</v>
      </c>
      <c r="I17" s="404"/>
      <c r="J17" s="416"/>
      <c r="K17" s="405">
        <f>TRUNC((H17/H18*100000),5)/100000</f>
        <v>1.1540463557</v>
      </c>
      <c r="L17" s="406"/>
      <c r="M17" s="417" t="s">
        <v>1232</v>
      </c>
      <c r="O17" s="418" t="str">
        <f>IF(AND(O16="2", J20 &gt; 2),"1",IF(AND(O16 = "1", J20 &gt; 2),"2",IF(AND(O16="1", J20 &gt;1),"1","0")))</f>
        <v>1</v>
      </c>
      <c r="P17" s="218"/>
    </row>
    <row r="18" spans="1:18" s="408" customFormat="1" ht="11.25" x14ac:dyDescent="0.2">
      <c r="A18" s="218"/>
      <c r="B18" s="401"/>
      <c r="C18" s="2116" t="s">
        <v>1383</v>
      </c>
      <c r="D18" s="2117"/>
      <c r="E18" s="218"/>
      <c r="F18" s="419" t="s">
        <v>826</v>
      </c>
      <c r="G18" s="402"/>
      <c r="H18" s="403">
        <f>SUM('Acct Summary 7-8'!C8+'Acct Summary 7-8'!D8+'Acct Summary 7-8'!F8+'Acct Summary 7-8'!I8)+H19</f>
        <v>3011191</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-6625</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f>IF(K17&lt;=1,"0",TRUNC(((K12-0.1)/(K17-1)*100),5)/100)</f>
        <v>2.7839898000000001</v>
      </c>
      <c r="K20" s="405">
        <f>IF(K17&lt;=1,"0",IF(AND(O16="2", J20 &gt; 2),TRUNC(((K12-0.1)/(K17-1)*100),5)/100,IF(AND(O16 = "1", J20 &gt; 2),TRUNC(((K12-0.1)/(K17-1)*100),5)/100,IF(AND(O16="1", J20 &gt;1),TRUNC(((K12-0.1)/(K17-1)*100),5)/100,""))))</f>
        <v>2.7839898000000001</v>
      </c>
      <c r="L20" s="218"/>
      <c r="M20" s="360" t="s">
        <v>1206</v>
      </c>
      <c r="N20" s="360"/>
      <c r="O20" s="411">
        <f>(O16+O17)*O18</f>
        <v>1.0499999999999998</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3</v>
      </c>
      <c r="P23" s="216"/>
      <c r="R23" s="384"/>
    </row>
    <row r="24" spans="1:18" s="408" customFormat="1" ht="11.25" x14ac:dyDescent="0.2">
      <c r="A24" s="218"/>
      <c r="B24" s="401"/>
      <c r="C24" s="2113" t="s">
        <v>1478</v>
      </c>
      <c r="D24" s="2113"/>
      <c r="E24" s="218"/>
      <c r="F24" s="218" t="s">
        <v>464</v>
      </c>
      <c r="G24" s="402"/>
      <c r="H24" s="403">
        <f>SUM('Assets-Liab 5-6'!C4+'Assets-Liab 5-6'!D4+'Assets-Liab 5-6'!F4+'Assets-Liab 5-6'!I4+'Assets-Liab 5-6'!C5+'Assets-Liab 5-6'!D5+'Assets-Liab 5-6'!F5+'Assets-Liab 5-6'!I5)</f>
        <v>1592576</v>
      </c>
      <c r="I24" s="422"/>
      <c r="J24" s="422"/>
      <c r="K24" s="423">
        <f>TRUNC(((H24/H25*100000)/100000),2)</f>
        <v>164.98</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9652.92778</v>
      </c>
      <c r="I25" s="425"/>
      <c r="J25" s="425"/>
      <c r="K25" s="410"/>
      <c r="L25" s="218"/>
      <c r="M25" s="360" t="s">
        <v>1206</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2071</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1538463.17554</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t="str">
        <f>IF(K32&gt;=75,"4",IF(K32&gt;=50,"3",IF(K32&gt;=25,"2",1)))</f>
        <v>4</v>
      </c>
      <c r="P31" s="216"/>
    </row>
    <row r="32" spans="1:18" s="408" customFormat="1" ht="11.25" x14ac:dyDescent="0.2">
      <c r="A32" s="218"/>
      <c r="B32" s="401"/>
      <c r="C32" s="218" t="s">
        <v>901</v>
      </c>
      <c r="D32" s="218"/>
      <c r="E32" s="218"/>
      <c r="F32" s="218"/>
      <c r="G32" s="402"/>
      <c r="H32" s="403">
        <f>'FP Info 3'!H37</f>
        <v>773574</v>
      </c>
      <c r="I32" s="420"/>
      <c r="J32" s="420"/>
      <c r="K32" s="423">
        <f>TRUNC(100-((((H32/H33*100))*100)/100),2)</f>
        <v>87.41</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6147526.9860000005</v>
      </c>
      <c r="I33" s="420"/>
      <c r="J33" s="420"/>
      <c r="K33" s="403"/>
      <c r="L33" s="218"/>
      <c r="M33" s="435" t="s">
        <v>1206</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3.55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80" zoomScaleNormal="80" workbookViewId="0">
      <pane ySplit="2" topLeftCell="A3" activePane="bottomLeft" state="frozen"/>
      <selection activeCell="A47" sqref="A47"/>
      <selection pane="bottomLeft" activeCell="C38" sqref="C38:C3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1"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22"/>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23" t="s">
        <v>1029</v>
      </c>
      <c r="B3" s="2124"/>
      <c r="C3" s="1581"/>
      <c r="D3" s="1582"/>
      <c r="E3" s="1582"/>
      <c r="F3" s="1582"/>
      <c r="G3" s="1582"/>
      <c r="H3" s="1582"/>
      <c r="I3" s="1582"/>
      <c r="J3" s="1582"/>
      <c r="K3" s="1582"/>
      <c r="L3" s="1582"/>
      <c r="M3" s="1583"/>
      <c r="N3" s="1584"/>
    </row>
    <row r="4" spans="1:14" ht="13.5" customHeight="1" x14ac:dyDescent="0.2">
      <c r="A4" s="463" t="s">
        <v>1749</v>
      </c>
      <c r="B4" s="464"/>
      <c r="C4" s="465">
        <f>3000+175340+50+700000</f>
        <v>878390</v>
      </c>
      <c r="D4" s="466">
        <v>622039</v>
      </c>
      <c r="E4" s="466">
        <v>45518</v>
      </c>
      <c r="F4" s="466">
        <v>67022</v>
      </c>
      <c r="G4" s="466">
        <v>60010</v>
      </c>
      <c r="H4" s="466"/>
      <c r="I4" s="466">
        <v>25125</v>
      </c>
      <c r="J4" s="467">
        <v>50076</v>
      </c>
      <c r="K4" s="466">
        <v>56177</v>
      </c>
      <c r="L4" s="466">
        <v>30268</v>
      </c>
      <c r="M4" s="468"/>
      <c r="N4" s="469"/>
    </row>
    <row r="5" spans="1:14" x14ac:dyDescent="0.2">
      <c r="A5" s="463" t="s">
        <v>1048</v>
      </c>
      <c r="B5" s="470">
        <v>120</v>
      </c>
      <c r="C5" s="465"/>
      <c r="D5" s="466"/>
      <c r="E5" s="466"/>
      <c r="F5" s="466"/>
      <c r="G5" s="466"/>
      <c r="H5" s="466"/>
      <c r="I5" s="466"/>
      <c r="J5" s="467"/>
      <c r="K5" s="471"/>
      <c r="L5" s="472"/>
      <c r="M5" s="468"/>
      <c r="N5" s="469"/>
    </row>
    <row r="6" spans="1:14" ht="13.5" customHeight="1" x14ac:dyDescent="0.2">
      <c r="A6" s="473" t="s">
        <v>436</v>
      </c>
      <c r="B6" s="470">
        <v>130</v>
      </c>
      <c r="C6" s="465"/>
      <c r="D6" s="466"/>
      <c r="E6" s="466"/>
      <c r="F6" s="466"/>
      <c r="G6" s="471"/>
      <c r="H6" s="471"/>
      <c r="I6" s="466"/>
      <c r="J6" s="474"/>
      <c r="K6" s="471"/>
      <c r="L6" s="475"/>
      <c r="M6" s="468"/>
      <c r="N6" s="469"/>
    </row>
    <row r="7" spans="1:14" ht="13.5" customHeight="1" x14ac:dyDescent="0.2">
      <c r="A7" s="473" t="s">
        <v>437</v>
      </c>
      <c r="B7" s="470">
        <v>140</v>
      </c>
      <c r="C7" s="476"/>
      <c r="D7" s="467"/>
      <c r="E7" s="467"/>
      <c r="F7" s="467"/>
      <c r="G7" s="467"/>
      <c r="H7" s="467"/>
      <c r="I7" s="467"/>
      <c r="J7" s="467"/>
      <c r="K7" s="467"/>
      <c r="L7" s="477"/>
      <c r="M7" s="468"/>
      <c r="N7" s="469"/>
    </row>
    <row r="8" spans="1:14" ht="13.5" customHeight="1" x14ac:dyDescent="0.2">
      <c r="A8" s="473" t="s">
        <v>286</v>
      </c>
      <c r="B8" s="470">
        <v>150</v>
      </c>
      <c r="C8" s="476"/>
      <c r="D8" s="467"/>
      <c r="E8" s="467"/>
      <c r="F8" s="467"/>
      <c r="G8" s="478"/>
      <c r="H8" s="467"/>
      <c r="I8" s="474"/>
      <c r="J8" s="474"/>
      <c r="K8" s="479"/>
      <c r="L8" s="480"/>
      <c r="M8" s="468"/>
      <c r="N8" s="469"/>
    </row>
    <row r="9" spans="1:14" ht="13.5" customHeight="1" x14ac:dyDescent="0.2">
      <c r="A9" s="473" t="s">
        <v>287</v>
      </c>
      <c r="B9" s="470">
        <v>160</v>
      </c>
      <c r="C9" s="476"/>
      <c r="D9" s="467"/>
      <c r="E9" s="467"/>
      <c r="F9" s="467"/>
      <c r="G9" s="467"/>
      <c r="H9" s="478"/>
      <c r="I9" s="467"/>
      <c r="J9" s="467"/>
      <c r="K9" s="467"/>
      <c r="L9" s="467"/>
      <c r="M9" s="468"/>
      <c r="N9" s="469"/>
    </row>
    <row r="10" spans="1:14" ht="13.5" customHeight="1" x14ac:dyDescent="0.2">
      <c r="A10" s="473" t="s">
        <v>1047</v>
      </c>
      <c r="B10" s="470">
        <v>170</v>
      </c>
      <c r="C10" s="465"/>
      <c r="D10" s="466"/>
      <c r="E10" s="467"/>
      <c r="F10" s="466"/>
      <c r="G10" s="478"/>
      <c r="H10" s="481"/>
      <c r="I10" s="467"/>
      <c r="J10" s="467"/>
      <c r="K10" s="481"/>
      <c r="L10" s="481"/>
      <c r="M10" s="469"/>
      <c r="N10" s="469"/>
    </row>
    <row r="11" spans="1:14" ht="13.5" customHeight="1" x14ac:dyDescent="0.2">
      <c r="A11" s="473" t="s">
        <v>288</v>
      </c>
      <c r="B11" s="470">
        <v>180</v>
      </c>
      <c r="C11" s="476"/>
      <c r="D11" s="467"/>
      <c r="E11" s="467"/>
      <c r="F11" s="467"/>
      <c r="G11" s="467"/>
      <c r="H11" s="467"/>
      <c r="I11" s="478"/>
      <c r="J11" s="478"/>
      <c r="K11" s="467"/>
      <c r="L11" s="467"/>
      <c r="M11" s="469"/>
      <c r="N11" s="469"/>
    </row>
    <row r="12" spans="1:14" ht="13.5" customHeight="1" x14ac:dyDescent="0.2">
      <c r="A12" s="473" t="s">
        <v>438</v>
      </c>
      <c r="B12" s="470">
        <v>190</v>
      </c>
      <c r="C12" s="465"/>
      <c r="D12" s="466"/>
      <c r="E12" s="466"/>
      <c r="F12" s="466"/>
      <c r="G12" s="466"/>
      <c r="H12" s="466"/>
      <c r="I12" s="466"/>
      <c r="J12" s="467"/>
      <c r="K12" s="466"/>
      <c r="L12" s="466"/>
      <c r="M12" s="469"/>
      <c r="N12" s="469"/>
    </row>
    <row r="13" spans="1:14" ht="13.5" customHeight="1" thickBot="1" x14ac:dyDescent="0.25">
      <c r="A13" s="1758" t="s">
        <v>664</v>
      </c>
      <c r="B13" s="1731"/>
      <c r="C13" s="1759">
        <f>SUM(C4:C12)</f>
        <v>878390</v>
      </c>
      <c r="D13" s="1759">
        <f t="shared" ref="D13:L13" si="0">SUM(D4:D12)</f>
        <v>622039</v>
      </c>
      <c r="E13" s="1759">
        <f t="shared" si="0"/>
        <v>45518</v>
      </c>
      <c r="F13" s="1759">
        <f t="shared" si="0"/>
        <v>67022</v>
      </c>
      <c r="G13" s="1759">
        <f t="shared" si="0"/>
        <v>60010</v>
      </c>
      <c r="H13" s="1759">
        <f t="shared" si="0"/>
        <v>0</v>
      </c>
      <c r="I13" s="1759">
        <f t="shared" si="0"/>
        <v>25125</v>
      </c>
      <c r="J13" s="1759">
        <f t="shared" si="0"/>
        <v>50076</v>
      </c>
      <c r="K13" s="1759">
        <f t="shared" si="0"/>
        <v>56177</v>
      </c>
      <c r="L13" s="1759">
        <f t="shared" si="0"/>
        <v>30268</v>
      </c>
      <c r="M13" s="468"/>
      <c r="N13" s="469"/>
    </row>
    <row r="14" spans="1:14" ht="18" customHeight="1" thickTop="1" x14ac:dyDescent="0.2">
      <c r="A14" s="2125" t="s">
        <v>149</v>
      </c>
      <c r="B14" s="2126"/>
      <c r="C14" s="1585"/>
      <c r="D14" s="1586"/>
      <c r="E14" s="1586"/>
      <c r="F14" s="1586"/>
      <c r="G14" s="1586"/>
      <c r="H14" s="1586"/>
      <c r="I14" s="1586"/>
      <c r="J14" s="1586"/>
      <c r="K14" s="1586"/>
      <c r="L14" s="1586"/>
      <c r="M14" s="1587"/>
      <c r="N14" s="1588"/>
    </row>
    <row r="15" spans="1:14" s="485" customFormat="1" ht="12.75" customHeight="1" x14ac:dyDescent="0.2">
      <c r="A15" s="482" t="s">
        <v>1467</v>
      </c>
      <c r="B15" s="483">
        <v>210</v>
      </c>
      <c r="C15" s="477"/>
      <c r="D15" s="477"/>
      <c r="E15" s="477"/>
      <c r="F15" s="477"/>
      <c r="G15" s="477"/>
      <c r="H15" s="477"/>
      <c r="I15" s="477"/>
      <c r="J15" s="477"/>
      <c r="K15" s="477"/>
      <c r="L15" s="477"/>
      <c r="M15" s="478"/>
      <c r="N15" s="484"/>
    </row>
    <row r="16" spans="1:14" s="485" customFormat="1" ht="12.75" customHeight="1" x14ac:dyDescent="0.2">
      <c r="A16" s="482" t="s">
        <v>1468</v>
      </c>
      <c r="B16" s="483">
        <v>220</v>
      </c>
      <c r="C16" s="477"/>
      <c r="D16" s="477"/>
      <c r="E16" s="477"/>
      <c r="F16" s="477"/>
      <c r="G16" s="477"/>
      <c r="H16" s="477"/>
      <c r="I16" s="477"/>
      <c r="J16" s="477"/>
      <c r="K16" s="477"/>
      <c r="L16" s="477"/>
      <c r="M16" s="467">
        <v>48291</v>
      </c>
      <c r="N16" s="484"/>
    </row>
    <row r="17" spans="1:14" s="485" customFormat="1" ht="12.75" customHeight="1" x14ac:dyDescent="0.2">
      <c r="A17" s="482" t="s">
        <v>1469</v>
      </c>
      <c r="B17" s="483">
        <v>230</v>
      </c>
      <c r="C17" s="477"/>
      <c r="D17" s="477"/>
      <c r="E17" s="477"/>
      <c r="F17" s="477"/>
      <c r="G17" s="477"/>
      <c r="H17" s="477"/>
      <c r="I17" s="477"/>
      <c r="J17" s="477"/>
      <c r="K17" s="477"/>
      <c r="L17" s="477"/>
      <c r="M17" s="467">
        <v>3727823</v>
      </c>
      <c r="N17" s="484"/>
    </row>
    <row r="18" spans="1:14" s="485" customFormat="1" ht="12.75" customHeight="1" x14ac:dyDescent="0.2">
      <c r="A18" s="482" t="s">
        <v>1470</v>
      </c>
      <c r="B18" s="483">
        <v>240</v>
      </c>
      <c r="C18" s="477"/>
      <c r="D18" s="477"/>
      <c r="E18" s="477"/>
      <c r="F18" s="477"/>
      <c r="G18" s="477"/>
      <c r="H18" s="477"/>
      <c r="I18" s="477"/>
      <c r="J18" s="477"/>
      <c r="K18" s="477"/>
      <c r="L18" s="477"/>
      <c r="M18" s="467">
        <v>232421</v>
      </c>
      <c r="N18" s="484"/>
    </row>
    <row r="19" spans="1:14" s="485" customFormat="1" ht="12.75" customHeight="1" x14ac:dyDescent="0.2">
      <c r="A19" s="482" t="s">
        <v>1471</v>
      </c>
      <c r="B19" s="483">
        <v>250</v>
      </c>
      <c r="C19" s="477"/>
      <c r="D19" s="477"/>
      <c r="E19" s="477"/>
      <c r="F19" s="477"/>
      <c r="G19" s="477"/>
      <c r="H19" s="477"/>
      <c r="I19" s="477"/>
      <c r="J19" s="477"/>
      <c r="K19" s="477"/>
      <c r="L19" s="477"/>
      <c r="M19" s="467">
        <f>844476+565802</f>
        <v>1410278</v>
      </c>
      <c r="N19" s="484"/>
    </row>
    <row r="20" spans="1:14" s="485" customFormat="1" ht="12.75" customHeight="1" x14ac:dyDescent="0.2">
      <c r="A20" s="482" t="s">
        <v>1472</v>
      </c>
      <c r="B20" s="483">
        <v>260</v>
      </c>
      <c r="C20" s="477"/>
      <c r="D20" s="477"/>
      <c r="E20" s="477"/>
      <c r="F20" s="477"/>
      <c r="G20" s="477"/>
      <c r="H20" s="477"/>
      <c r="I20" s="477"/>
      <c r="J20" s="477"/>
      <c r="K20" s="477"/>
      <c r="L20" s="477"/>
      <c r="M20" s="467"/>
      <c r="N20" s="484"/>
    </row>
    <row r="21" spans="1:14" s="485" customFormat="1" ht="12.75" customHeight="1" x14ac:dyDescent="0.2">
      <c r="A21" s="482" t="s">
        <v>1473</v>
      </c>
      <c r="B21" s="483">
        <v>340</v>
      </c>
      <c r="C21" s="477"/>
      <c r="D21" s="477"/>
      <c r="E21" s="477"/>
      <c r="F21" s="477"/>
      <c r="G21" s="477"/>
      <c r="H21" s="477"/>
      <c r="I21" s="477"/>
      <c r="J21" s="477"/>
      <c r="K21" s="477"/>
      <c r="L21" s="477"/>
      <c r="M21" s="486"/>
      <c r="N21" s="467">
        <f>773574-728056</f>
        <v>45518</v>
      </c>
    </row>
    <row r="22" spans="1:14" s="485" customFormat="1" ht="12.75" customHeight="1" x14ac:dyDescent="0.2">
      <c r="A22" s="482" t="s">
        <v>1474</v>
      </c>
      <c r="B22" s="483">
        <v>350</v>
      </c>
      <c r="C22" s="477"/>
      <c r="D22" s="477"/>
      <c r="E22" s="477"/>
      <c r="F22" s="477"/>
      <c r="G22" s="477"/>
      <c r="H22" s="477"/>
      <c r="I22" s="477"/>
      <c r="J22" s="477"/>
      <c r="K22" s="477"/>
      <c r="L22" s="477"/>
      <c r="M22" s="486"/>
      <c r="N22" s="487">
        <f>'Short-Term Long-Term Debt 24'!J49</f>
        <v>728056</v>
      </c>
    </row>
    <row r="23" spans="1:14" ht="13.5" customHeight="1" thickBot="1" x14ac:dyDescent="0.25">
      <c r="A23" s="1758" t="s">
        <v>663</v>
      </c>
      <c r="B23" s="1763"/>
      <c r="C23" s="468"/>
      <c r="D23" s="468"/>
      <c r="E23" s="468"/>
      <c r="F23" s="468"/>
      <c r="G23" s="468"/>
      <c r="H23" s="468"/>
      <c r="I23" s="468"/>
      <c r="J23" s="468"/>
      <c r="K23" s="468"/>
      <c r="L23" s="468"/>
      <c r="M23" s="1710">
        <f>SUM(M15:M22)</f>
        <v>5418813</v>
      </c>
      <c r="N23" s="1710">
        <f>SUM(N21:N22)</f>
        <v>773574</v>
      </c>
    </row>
    <row r="24" spans="1:14" ht="18" customHeight="1" thickTop="1" x14ac:dyDescent="0.2">
      <c r="A24" s="2127" t="s">
        <v>618</v>
      </c>
      <c r="B24" s="2128"/>
      <c r="C24" s="1590"/>
      <c r="D24" s="1587"/>
      <c r="E24" s="1587"/>
      <c r="F24" s="1587"/>
      <c r="G24" s="1587"/>
      <c r="H24" s="1587"/>
      <c r="I24" s="1587"/>
      <c r="J24" s="1587"/>
      <c r="K24" s="1587"/>
      <c r="L24" s="1587"/>
      <c r="M24" s="1586"/>
      <c r="N24" s="1591"/>
    </row>
    <row r="25" spans="1:14" x14ac:dyDescent="0.2">
      <c r="A25" s="473" t="s">
        <v>665</v>
      </c>
      <c r="B25" s="470">
        <v>410</v>
      </c>
      <c r="C25" s="478"/>
      <c r="D25" s="478"/>
      <c r="E25" s="478"/>
      <c r="F25" s="478"/>
      <c r="G25" s="478"/>
      <c r="H25" s="479"/>
      <c r="I25" s="468"/>
      <c r="J25" s="478"/>
      <c r="K25" s="478"/>
      <c r="L25" s="468"/>
      <c r="M25" s="468"/>
      <c r="N25" s="468"/>
    </row>
    <row r="26" spans="1:14" x14ac:dyDescent="0.2">
      <c r="A26" s="473" t="s">
        <v>666</v>
      </c>
      <c r="B26" s="470">
        <v>420</v>
      </c>
      <c r="C26" s="467"/>
      <c r="D26" s="467"/>
      <c r="E26" s="467"/>
      <c r="F26" s="467"/>
      <c r="G26" s="467"/>
      <c r="H26" s="467"/>
      <c r="I26" s="467"/>
      <c r="J26" s="474"/>
      <c r="K26" s="467"/>
      <c r="L26" s="468"/>
      <c r="M26" s="468"/>
      <c r="N26" s="468"/>
    </row>
    <row r="27" spans="1:14" ht="13.5" customHeight="1" x14ac:dyDescent="0.2">
      <c r="A27" s="473" t="s">
        <v>667</v>
      </c>
      <c r="B27" s="470">
        <v>430</v>
      </c>
      <c r="C27" s="467"/>
      <c r="D27" s="467"/>
      <c r="E27" s="467"/>
      <c r="F27" s="467"/>
      <c r="G27" s="467"/>
      <c r="H27" s="467"/>
      <c r="I27" s="467"/>
      <c r="J27" s="467"/>
      <c r="K27" s="467"/>
      <c r="L27" s="468"/>
      <c r="M27" s="468"/>
      <c r="N27" s="468"/>
    </row>
    <row r="28" spans="1:14" ht="13.5" customHeight="1" x14ac:dyDescent="0.2">
      <c r="A28" s="473" t="s">
        <v>668</v>
      </c>
      <c r="B28" s="470">
        <v>440</v>
      </c>
      <c r="C28" s="467"/>
      <c r="D28" s="467"/>
      <c r="E28" s="474"/>
      <c r="F28" s="467"/>
      <c r="G28" s="474"/>
      <c r="H28" s="474"/>
      <c r="I28" s="467"/>
      <c r="J28" s="467"/>
      <c r="K28" s="479"/>
      <c r="L28" s="468"/>
      <c r="M28" s="468"/>
      <c r="N28" s="468"/>
    </row>
    <row r="29" spans="1:14" ht="13.5" customHeight="1" x14ac:dyDescent="0.2">
      <c r="A29" s="473" t="s">
        <v>669</v>
      </c>
      <c r="B29" s="470">
        <v>460</v>
      </c>
      <c r="C29" s="488"/>
      <c r="D29" s="489"/>
      <c r="E29" s="474"/>
      <c r="F29" s="467"/>
      <c r="G29" s="474"/>
      <c r="H29" s="474"/>
      <c r="I29" s="474"/>
      <c r="J29" s="474"/>
      <c r="K29" s="467"/>
      <c r="L29" s="468"/>
      <c r="M29" s="468"/>
      <c r="N29" s="468"/>
    </row>
    <row r="30" spans="1:14" ht="13.5" customHeight="1" x14ac:dyDescent="0.2">
      <c r="A30" s="473" t="s">
        <v>670</v>
      </c>
      <c r="B30" s="470">
        <v>470</v>
      </c>
      <c r="C30" s="467"/>
      <c r="D30" s="474"/>
      <c r="E30" s="467"/>
      <c r="F30" s="467"/>
      <c r="G30" s="467"/>
      <c r="H30" s="467"/>
      <c r="I30" s="467"/>
      <c r="J30" s="467"/>
      <c r="K30" s="478"/>
      <c r="L30" s="468"/>
      <c r="M30" s="468"/>
      <c r="N30" s="468"/>
    </row>
    <row r="31" spans="1:14" ht="13.5" customHeight="1" x14ac:dyDescent="0.2">
      <c r="A31" s="473" t="s">
        <v>671</v>
      </c>
      <c r="B31" s="470">
        <v>480</v>
      </c>
      <c r="C31" s="466">
        <v>67</v>
      </c>
      <c r="D31" s="467"/>
      <c r="E31" s="467"/>
      <c r="F31" s="466"/>
      <c r="G31" s="467"/>
      <c r="H31" s="467"/>
      <c r="I31" s="467"/>
      <c r="J31" s="467"/>
      <c r="K31" s="467"/>
      <c r="L31" s="468"/>
      <c r="M31" s="468"/>
      <c r="N31" s="468"/>
    </row>
    <row r="32" spans="1:14" ht="13.5" customHeight="1" x14ac:dyDescent="0.2">
      <c r="A32" s="490" t="s">
        <v>672</v>
      </c>
      <c r="B32" s="491">
        <v>490</v>
      </c>
      <c r="C32" s="492"/>
      <c r="D32" s="492"/>
      <c r="E32" s="474"/>
      <c r="F32" s="474"/>
      <c r="G32" s="474"/>
      <c r="H32" s="474"/>
      <c r="I32" s="474"/>
      <c r="J32" s="474"/>
      <c r="K32" s="479"/>
      <c r="L32" s="468"/>
      <c r="M32" s="468"/>
      <c r="N32" s="468"/>
    </row>
    <row r="33" spans="1:14" ht="13.5" customHeight="1" x14ac:dyDescent="0.2">
      <c r="A33" s="493" t="s">
        <v>320</v>
      </c>
      <c r="B33" s="491">
        <v>493</v>
      </c>
      <c r="C33" s="467"/>
      <c r="D33" s="467"/>
      <c r="E33" s="467"/>
      <c r="F33" s="467"/>
      <c r="G33" s="467"/>
      <c r="H33" s="467"/>
      <c r="I33" s="467"/>
      <c r="J33" s="467"/>
      <c r="K33" s="467"/>
      <c r="L33" s="467">
        <f>17413+7208</f>
        <v>24621</v>
      </c>
      <c r="M33" s="468"/>
      <c r="N33" s="469"/>
    </row>
    <row r="34" spans="1:14" ht="13.5" customHeight="1" thickBot="1" x14ac:dyDescent="0.25">
      <c r="A34" s="1760" t="s">
        <v>674</v>
      </c>
      <c r="B34" s="1761"/>
      <c r="C34" s="1762">
        <f>SUM(C25:C33)</f>
        <v>67</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24621</v>
      </c>
      <c r="M34" s="468"/>
      <c r="N34" s="480"/>
    </row>
    <row r="35" spans="1:14" ht="18" customHeight="1" thickTop="1" x14ac:dyDescent="0.2">
      <c r="A35" s="2129" t="s">
        <v>549</v>
      </c>
      <c r="B35" s="2130"/>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773574</v>
      </c>
    </row>
    <row r="37" spans="1:14" ht="13.5" thickBot="1" x14ac:dyDescent="0.25">
      <c r="A37" s="1758" t="s">
        <v>673</v>
      </c>
      <c r="B37" s="1763"/>
      <c r="C37" s="477"/>
      <c r="D37" s="477"/>
      <c r="E37" s="477"/>
      <c r="F37" s="477"/>
      <c r="G37" s="477"/>
      <c r="H37" s="477"/>
      <c r="I37" s="477"/>
      <c r="J37" s="477"/>
      <c r="K37" s="477"/>
      <c r="L37" s="480"/>
      <c r="M37" s="468"/>
      <c r="N37" s="1710">
        <f>SUM(N36:N36)</f>
        <v>773574</v>
      </c>
    </row>
    <row r="38" spans="1:14" s="329" customFormat="1" ht="13.5" customHeight="1" thickTop="1" x14ac:dyDescent="0.2">
      <c r="A38" s="496" t="s">
        <v>439</v>
      </c>
      <c r="B38" s="483">
        <v>714</v>
      </c>
      <c r="C38" s="466">
        <v>20909</v>
      </c>
      <c r="D38" s="466"/>
      <c r="E38" s="466"/>
      <c r="F38" s="466"/>
      <c r="G38" s="466">
        <v>18315</v>
      </c>
      <c r="H38" s="466"/>
      <c r="I38" s="466"/>
      <c r="J38" s="467"/>
      <c r="K38" s="466"/>
      <c r="L38" s="481">
        <v>3010</v>
      </c>
      <c r="M38" s="497"/>
      <c r="N38" s="497"/>
    </row>
    <row r="39" spans="1:14" s="329" customFormat="1" ht="13.5" customHeight="1" x14ac:dyDescent="0.2">
      <c r="A39" s="496" t="s">
        <v>359</v>
      </c>
      <c r="B39" s="483">
        <v>730</v>
      </c>
      <c r="C39" s="466">
        <f>878390-67-20909</f>
        <v>857414</v>
      </c>
      <c r="D39" s="466">
        <v>622039</v>
      </c>
      <c r="E39" s="466">
        <v>45518</v>
      </c>
      <c r="F39" s="466">
        <v>67022</v>
      </c>
      <c r="G39" s="466">
        <f>60010-18315</f>
        <v>41695</v>
      </c>
      <c r="H39" s="466"/>
      <c r="I39" s="466">
        <v>25125</v>
      </c>
      <c r="J39" s="467">
        <v>50076</v>
      </c>
      <c r="K39" s="466">
        <v>56177</v>
      </c>
      <c r="L39" s="466">
        <f>5647-3010</f>
        <v>2637</v>
      </c>
      <c r="M39" s="497"/>
      <c r="N39" s="497"/>
    </row>
    <row r="40" spans="1:14" s="329" customFormat="1" ht="13.5" customHeight="1" x14ac:dyDescent="0.2">
      <c r="A40" s="498" t="s">
        <v>150</v>
      </c>
      <c r="B40" s="499"/>
      <c r="C40" s="500"/>
      <c r="D40" s="500"/>
      <c r="E40" s="500"/>
      <c r="F40" s="500"/>
      <c r="G40" s="500"/>
      <c r="H40" s="500"/>
      <c r="I40" s="500"/>
      <c r="J40" s="500"/>
      <c r="K40" s="500"/>
      <c r="L40" s="500"/>
      <c r="M40" s="467">
        <v>5418813</v>
      </c>
      <c r="N40" s="497"/>
    </row>
    <row r="41" spans="1:14" ht="13.5" customHeight="1" thickBot="1" x14ac:dyDescent="0.25">
      <c r="A41" s="1758" t="s">
        <v>675</v>
      </c>
      <c r="B41" s="1728"/>
      <c r="C41" s="1710">
        <f>(SUM(C34,C37,C38,C39))</f>
        <v>878390</v>
      </c>
      <c r="D41" s="1710">
        <f t="shared" ref="D41:L41" si="2">SUM(D34,D37,D38:D39)</f>
        <v>622039</v>
      </c>
      <c r="E41" s="1710">
        <f t="shared" si="2"/>
        <v>45518</v>
      </c>
      <c r="F41" s="1710">
        <f t="shared" si="2"/>
        <v>67022</v>
      </c>
      <c r="G41" s="1710">
        <f t="shared" si="2"/>
        <v>60010</v>
      </c>
      <c r="H41" s="1710">
        <f t="shared" si="2"/>
        <v>0</v>
      </c>
      <c r="I41" s="1710">
        <f t="shared" si="2"/>
        <v>25125</v>
      </c>
      <c r="J41" s="1710">
        <f t="shared" si="2"/>
        <v>50076</v>
      </c>
      <c r="K41" s="1710">
        <f t="shared" si="2"/>
        <v>56177</v>
      </c>
      <c r="L41" s="1710">
        <f t="shared" si="2"/>
        <v>30268</v>
      </c>
      <c r="M41" s="1710">
        <f>SUM(M40)</f>
        <v>5418813</v>
      </c>
      <c r="N41" s="1710">
        <f>SUM(N37)</f>
        <v>773574</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&amp;F&amp;CSee Accompanying Notes to the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70" zoomScaleNormal="70" zoomScaleSheetLayoutView="100" workbookViewId="0">
      <pane ySplit="2" topLeftCell="A3" activePane="bottomLeft" state="frozenSplit"/>
      <selection activeCell="A47" sqref="A47"/>
      <selection pane="bottomLeft" activeCell="E43" sqref="E4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1" t="s">
        <v>1750</v>
      </c>
      <c r="B1" s="452"/>
      <c r="C1" s="504" t="s">
        <v>444</v>
      </c>
      <c r="D1" s="504" t="s">
        <v>445</v>
      </c>
      <c r="E1" s="504" t="s">
        <v>446</v>
      </c>
      <c r="F1" s="504" t="s">
        <v>447</v>
      </c>
      <c r="G1" s="504" t="s">
        <v>448</v>
      </c>
      <c r="H1" s="504" t="s">
        <v>449</v>
      </c>
      <c r="I1" s="504" t="s">
        <v>450</v>
      </c>
      <c r="J1" s="504" t="s">
        <v>451</v>
      </c>
      <c r="K1" s="504" t="s">
        <v>779</v>
      </c>
      <c r="L1" s="501"/>
    </row>
    <row r="2" spans="1:13" s="505" customFormat="1" ht="37.5" customHeight="1" x14ac:dyDescent="0.2">
      <c r="A2" s="2132"/>
      <c r="B2" s="458" t="s">
        <v>395</v>
      </c>
      <c r="C2" s="459" t="s">
        <v>1216</v>
      </c>
      <c r="D2" s="459" t="s">
        <v>924</v>
      </c>
      <c r="E2" s="459" t="s">
        <v>457</v>
      </c>
      <c r="F2" s="459" t="s">
        <v>157</v>
      </c>
      <c r="G2" s="459" t="s">
        <v>1045</v>
      </c>
      <c r="H2" s="459" t="s">
        <v>456</v>
      </c>
      <c r="I2" s="459" t="s">
        <v>426</v>
      </c>
      <c r="J2" s="459" t="s">
        <v>455</v>
      </c>
      <c r="K2" s="459" t="s">
        <v>159</v>
      </c>
      <c r="L2" s="502"/>
    </row>
    <row r="3" spans="1:13" s="507" customFormat="1" ht="16.7" customHeight="1" x14ac:dyDescent="0.2">
      <c r="A3" s="2143" t="s">
        <v>1236</v>
      </c>
      <c r="B3" s="2144"/>
      <c r="C3" s="1595"/>
      <c r="D3" s="1596"/>
      <c r="E3" s="1596"/>
      <c r="F3" s="1596"/>
      <c r="G3" s="1596"/>
      <c r="H3" s="1596"/>
      <c r="I3" s="1596"/>
      <c r="J3" s="1596"/>
      <c r="K3" s="1597"/>
      <c r="L3" s="506"/>
    </row>
    <row r="4" spans="1:13" ht="15.75" customHeight="1" x14ac:dyDescent="0.2">
      <c r="A4" s="2145" t="s">
        <v>1578</v>
      </c>
      <c r="B4" s="2146"/>
      <c r="C4" s="1764">
        <f>'Revenues 9-14'!C109</f>
        <v>1567637</v>
      </c>
      <c r="D4" s="1764">
        <f>'Revenues 9-14'!D109</f>
        <v>306283</v>
      </c>
      <c r="E4" s="1764">
        <f>'Revenues 9-14'!E109</f>
        <v>151667</v>
      </c>
      <c r="F4" s="1764">
        <f>'Revenues 9-14'!F109</f>
        <v>99894</v>
      </c>
      <c r="G4" s="1764">
        <f>'Revenues 9-14'!G109</f>
        <v>164274</v>
      </c>
      <c r="H4" s="1764">
        <f>'Revenues 9-14'!H109</f>
        <v>0</v>
      </c>
      <c r="I4" s="1764">
        <f>'Revenues 9-14'!I109</f>
        <v>21024</v>
      </c>
      <c r="J4" s="1764">
        <f>'Revenues 9-14'!J109</f>
        <v>246336</v>
      </c>
      <c r="K4" s="1764">
        <f>'Revenues 9-14'!K109</f>
        <v>21070</v>
      </c>
      <c r="L4" s="347"/>
    </row>
    <row r="5" spans="1:13" ht="15.75" customHeight="1" x14ac:dyDescent="0.2">
      <c r="A5" s="1598" t="s">
        <v>1579</v>
      </c>
      <c r="B5" s="1599">
        <v>2000</v>
      </c>
      <c r="C5" s="1765">
        <f>'Revenues 9-14'!C114</f>
        <v>0</v>
      </c>
      <c r="D5" s="1765">
        <f>'Revenues 9-14'!D114</f>
        <v>0</v>
      </c>
      <c r="E5" s="508"/>
      <c r="F5" s="1765">
        <f>'Revenues 9-14'!F114</f>
        <v>0</v>
      </c>
      <c r="G5" s="1765">
        <f>'Revenues 9-14'!G114</f>
        <v>0</v>
      </c>
      <c r="H5" s="509" t="s">
        <v>1230</v>
      </c>
      <c r="I5" s="510" t="s">
        <v>1230</v>
      </c>
      <c r="J5" s="511" t="s">
        <v>1230</v>
      </c>
      <c r="K5" s="512" t="s">
        <v>1230</v>
      </c>
      <c r="L5" s="347"/>
    </row>
    <row r="6" spans="1:13" ht="15.75" customHeight="1" x14ac:dyDescent="0.2">
      <c r="A6" s="1598" t="s">
        <v>1580</v>
      </c>
      <c r="B6" s="1600">
        <v>3000</v>
      </c>
      <c r="C6" s="1765">
        <f>'Revenues 9-14'!C173</f>
        <v>639567</v>
      </c>
      <c r="D6" s="1765">
        <f>'Revenues 9-14'!D173</f>
        <v>0</v>
      </c>
      <c r="E6" s="1765">
        <f>'Revenues 9-14'!E173</f>
        <v>0</v>
      </c>
      <c r="F6" s="1765">
        <f>'Revenues 9-14'!F173</f>
        <v>185288</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1581</v>
      </c>
      <c r="B7" s="1600">
        <v>4000</v>
      </c>
      <c r="C7" s="1765">
        <f>'Revenues 9-14'!C274</f>
        <v>196379</v>
      </c>
      <c r="D7" s="1765">
        <f>'Revenues 9-14'!D274</f>
        <v>0</v>
      </c>
      <c r="E7" s="1765">
        <f>'Revenues 9-14'!E274</f>
        <v>0</v>
      </c>
      <c r="F7" s="1765">
        <f>'Revenues 9-14'!F274</f>
        <v>1744</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1233</v>
      </c>
      <c r="B8" s="1731"/>
      <c r="C8" s="1710">
        <f>SUM(C4:C7)</f>
        <v>2403583</v>
      </c>
      <c r="D8" s="1710">
        <f t="shared" ref="D8:K8" si="0">SUM(D4:D7)</f>
        <v>306283</v>
      </c>
      <c r="E8" s="1710">
        <f t="shared" si="0"/>
        <v>151667</v>
      </c>
      <c r="F8" s="1710">
        <f t="shared" si="0"/>
        <v>286926</v>
      </c>
      <c r="G8" s="1710">
        <f t="shared" si="0"/>
        <v>164274</v>
      </c>
      <c r="H8" s="1710">
        <f t="shared" si="0"/>
        <v>0</v>
      </c>
      <c r="I8" s="1710">
        <f t="shared" si="0"/>
        <v>21024</v>
      </c>
      <c r="J8" s="1710">
        <f t="shared" si="0"/>
        <v>246336</v>
      </c>
      <c r="K8" s="1710">
        <f t="shared" si="0"/>
        <v>21070</v>
      </c>
      <c r="L8" s="347"/>
    </row>
    <row r="9" spans="1:13" ht="15.75" thickTop="1" x14ac:dyDescent="0.2">
      <c r="A9" s="514" t="s">
        <v>1751</v>
      </c>
      <c r="B9" s="515">
        <v>3998</v>
      </c>
      <c r="C9" s="481">
        <v>1303853</v>
      </c>
      <c r="D9" s="516"/>
      <c r="E9" s="481"/>
      <c r="F9" s="481"/>
      <c r="G9" s="517"/>
      <c r="H9" s="481"/>
      <c r="I9" s="509" t="s">
        <v>1230</v>
      </c>
      <c r="J9" s="478"/>
      <c r="K9" s="481"/>
      <c r="L9" s="347"/>
    </row>
    <row r="10" spans="1:13" s="519" customFormat="1" ht="13.5" thickBot="1" x14ac:dyDescent="0.25">
      <c r="A10" s="1758" t="s">
        <v>1234</v>
      </c>
      <c r="B10" s="1731"/>
      <c r="C10" s="1710">
        <f>SUM(C8:C9)</f>
        <v>3707436</v>
      </c>
      <c r="D10" s="1710">
        <f t="shared" ref="D10:K10" si="1">SUM(D8:D9)</f>
        <v>306283</v>
      </c>
      <c r="E10" s="1710">
        <f t="shared" si="1"/>
        <v>151667</v>
      </c>
      <c r="F10" s="1710">
        <f t="shared" si="1"/>
        <v>286926</v>
      </c>
      <c r="G10" s="1710">
        <f t="shared" si="1"/>
        <v>164274</v>
      </c>
      <c r="H10" s="1710">
        <f t="shared" si="1"/>
        <v>0</v>
      </c>
      <c r="I10" s="1710">
        <f t="shared" si="1"/>
        <v>21024</v>
      </c>
      <c r="J10" s="1710">
        <f t="shared" si="1"/>
        <v>246336</v>
      </c>
      <c r="K10" s="1710">
        <f t="shared" si="1"/>
        <v>21070</v>
      </c>
      <c r="L10" s="518"/>
    </row>
    <row r="11" spans="1:13" s="519" customFormat="1" ht="16.7" customHeight="1" thickTop="1" x14ac:dyDescent="0.2">
      <c r="A11" s="2125" t="s">
        <v>1237</v>
      </c>
      <c r="B11" s="2126"/>
      <c r="C11" s="1592"/>
      <c r="D11" s="1593"/>
      <c r="E11" s="1593"/>
      <c r="F11" s="1593"/>
      <c r="G11" s="1593"/>
      <c r="H11" s="1593"/>
      <c r="I11" s="1593"/>
      <c r="J11" s="1593"/>
      <c r="K11" s="1594"/>
      <c r="L11" s="518"/>
    </row>
    <row r="12" spans="1:13" ht="15.75" customHeight="1" x14ac:dyDescent="0.2">
      <c r="A12" s="1598" t="s">
        <v>475</v>
      </c>
      <c r="B12" s="1600">
        <v>1000</v>
      </c>
      <c r="C12" s="1764">
        <f>'Expenditures 15-22'!K33</f>
        <v>2086954</v>
      </c>
      <c r="D12" s="520" t="s">
        <v>1230</v>
      </c>
      <c r="E12" s="468" t="s">
        <v>1230</v>
      </c>
      <c r="F12" s="468" t="s">
        <v>1230</v>
      </c>
      <c r="G12" s="1764">
        <f>'Expenditures 15-22'!K229</f>
        <v>56408</v>
      </c>
      <c r="H12" s="521"/>
      <c r="I12" s="468" t="s">
        <v>1230</v>
      </c>
      <c r="J12" s="468" t="s">
        <v>1230</v>
      </c>
      <c r="K12" s="521" t="s">
        <v>1230</v>
      </c>
      <c r="L12" s="347"/>
    </row>
    <row r="13" spans="1:13" ht="15.75" customHeight="1" x14ac:dyDescent="0.2">
      <c r="A13" s="1598" t="s">
        <v>476</v>
      </c>
      <c r="B13" s="1600">
        <v>2000</v>
      </c>
      <c r="C13" s="1765">
        <f>'Expenditures 15-22'!K74</f>
        <v>723872</v>
      </c>
      <c r="D13" s="1765">
        <f>'Expenditures 15-22'!K129</f>
        <v>306225</v>
      </c>
      <c r="E13" s="469" t="s">
        <v>1230</v>
      </c>
      <c r="F13" s="1765">
        <f>'Expenditures 15-22'!K184</f>
        <v>179449</v>
      </c>
      <c r="G13" s="1765">
        <f>'Expenditures 15-22'!K279</f>
        <v>90894</v>
      </c>
      <c r="H13" s="1765">
        <f>'Expenditures 15-22'!K303</f>
        <v>0</v>
      </c>
      <c r="I13" s="468" t="s">
        <v>1230</v>
      </c>
      <c r="J13" s="1765">
        <f>'Expenditures 15-22'!K330</f>
        <v>231987</v>
      </c>
      <c r="K13" s="1769">
        <f>'Expenditures 15-22'!K352</f>
        <v>29455</v>
      </c>
      <c r="L13" s="347"/>
    </row>
    <row r="14" spans="1:13" ht="15.75" customHeight="1" x14ac:dyDescent="0.2">
      <c r="A14" s="1598" t="s">
        <v>468</v>
      </c>
      <c r="B14" s="1600">
        <v>3000</v>
      </c>
      <c r="C14" s="1765">
        <f>'Expenditures 15-22'!K75</f>
        <v>0</v>
      </c>
      <c r="D14" s="1765">
        <f>'Expenditures 15-22'!K130</f>
        <v>0</v>
      </c>
      <c r="E14" s="520" t="s">
        <v>1230</v>
      </c>
      <c r="F14" s="1765">
        <f>'Expenditures 15-22'!K185</f>
        <v>0</v>
      </c>
      <c r="G14" s="1765">
        <f>'Expenditures 15-22'!K280</f>
        <v>0</v>
      </c>
      <c r="H14" s="512"/>
      <c r="I14" s="468" t="s">
        <v>1230</v>
      </c>
      <c r="J14" s="468" t="s">
        <v>1230</v>
      </c>
      <c r="K14" s="512" t="s">
        <v>1230</v>
      </c>
      <c r="L14" s="347"/>
    </row>
    <row r="15" spans="1:13" ht="15.75" customHeight="1" x14ac:dyDescent="0.2">
      <c r="A15" s="1598" t="s">
        <v>109</v>
      </c>
      <c r="B15" s="1600">
        <v>4000</v>
      </c>
      <c r="C15" s="1765">
        <f>'Expenditures 15-22'!K102</f>
        <v>73793</v>
      </c>
      <c r="D15" s="1765">
        <f>'Expenditures 15-22'!K139</f>
        <v>0</v>
      </c>
      <c r="E15" s="1765">
        <f>'Expenditures 15-22'!K160</f>
        <v>6559</v>
      </c>
      <c r="F15" s="1765">
        <f>'Expenditures 15-22'!K196</f>
        <v>26687</v>
      </c>
      <c r="G15" s="1765">
        <f>'Expenditures 15-22'!K285</f>
        <v>0</v>
      </c>
      <c r="H15" s="1765">
        <f>'Expenditures 15-22'!K310</f>
        <v>0</v>
      </c>
      <c r="I15" s="468" t="s">
        <v>1230</v>
      </c>
      <c r="J15" s="1858">
        <f>'Expenditures 15-22'!K334</f>
        <v>0</v>
      </c>
      <c r="K15" s="1765">
        <f>'Expenditures 15-22'!K357</f>
        <v>0</v>
      </c>
      <c r="L15" s="347"/>
    </row>
    <row r="16" spans="1:13" ht="15.75" customHeight="1" x14ac:dyDescent="0.2">
      <c r="A16" s="1598" t="s">
        <v>469</v>
      </c>
      <c r="B16" s="1600">
        <v>5000</v>
      </c>
      <c r="C16" s="1765">
        <f>'Expenditures 15-22'!K112</f>
        <v>0</v>
      </c>
      <c r="D16" s="1765">
        <f>'Expenditures 15-22'!K149</f>
        <v>0</v>
      </c>
      <c r="E16" s="1765">
        <f>'Expenditures 15-22'!K172</f>
        <v>151066</v>
      </c>
      <c r="F16" s="1765">
        <f>'Expenditures 15-22'!K208</f>
        <v>78074</v>
      </c>
      <c r="G16" s="1765">
        <f>'Expenditures 15-22'!K293</f>
        <v>0</v>
      </c>
      <c r="H16" s="523"/>
      <c r="I16" s="468" t="s">
        <v>1230</v>
      </c>
      <c r="J16" s="1770">
        <f>'Expenditures 15-22'!K340</f>
        <v>0</v>
      </c>
      <c r="K16" s="1765">
        <f>'Expenditures 15-22'!K365</f>
        <v>0</v>
      </c>
      <c r="L16" s="347"/>
    </row>
    <row r="17" spans="1:12" ht="13.5" thickBot="1" x14ac:dyDescent="0.25">
      <c r="A17" s="1730" t="s">
        <v>50</v>
      </c>
      <c r="B17" s="1731"/>
      <c r="C17" s="1710">
        <f t="shared" ref="C17:H17" si="2">SUM(C12:C16)</f>
        <v>2884619</v>
      </c>
      <c r="D17" s="1710">
        <f t="shared" si="2"/>
        <v>306225</v>
      </c>
      <c r="E17" s="1710">
        <f t="shared" si="2"/>
        <v>157625</v>
      </c>
      <c r="F17" s="1710">
        <f t="shared" si="2"/>
        <v>284210</v>
      </c>
      <c r="G17" s="1710">
        <f t="shared" si="2"/>
        <v>147302</v>
      </c>
      <c r="H17" s="1710">
        <f t="shared" si="2"/>
        <v>0</v>
      </c>
      <c r="I17" s="468"/>
      <c r="J17" s="1710">
        <f>SUM(J12:J16)</f>
        <v>231987</v>
      </c>
      <c r="K17" s="1710">
        <f>SUM(K12:K16)</f>
        <v>29455</v>
      </c>
      <c r="L17" s="347"/>
    </row>
    <row r="18" spans="1:12" ht="15" customHeight="1" thickTop="1" x14ac:dyDescent="0.2">
      <c r="A18" s="1766" t="s">
        <v>1752</v>
      </c>
      <c r="B18" s="1767">
        <v>4180</v>
      </c>
      <c r="C18" s="1764">
        <f t="shared" ref="C18:H18" si="3">C9</f>
        <v>1303853</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525</v>
      </c>
      <c r="B19" s="1731"/>
      <c r="C19" s="1710">
        <f t="shared" ref="C19:H19" si="4">SUM(C17:C18)</f>
        <v>4188472</v>
      </c>
      <c r="D19" s="1710">
        <f t="shared" si="4"/>
        <v>306225</v>
      </c>
      <c r="E19" s="1710">
        <f t="shared" si="4"/>
        <v>157625</v>
      </c>
      <c r="F19" s="1710">
        <f t="shared" si="4"/>
        <v>284210</v>
      </c>
      <c r="G19" s="1710">
        <f t="shared" si="4"/>
        <v>147302</v>
      </c>
      <c r="H19" s="1710">
        <f t="shared" si="4"/>
        <v>0</v>
      </c>
      <c r="I19" s="468"/>
      <c r="J19" s="1710">
        <f>SUM(J17:J18)</f>
        <v>231987</v>
      </c>
      <c r="K19" s="1710">
        <f>SUM(K17:K18)</f>
        <v>29455</v>
      </c>
      <c r="L19" s="347"/>
    </row>
    <row r="20" spans="1:12" ht="16.5" thickTop="1" thickBot="1" x14ac:dyDescent="0.25">
      <c r="A20" s="2133" t="s">
        <v>1753</v>
      </c>
      <c r="B20" s="2134"/>
      <c r="C20" s="1768">
        <f>C8-C17</f>
        <v>-481036</v>
      </c>
      <c r="D20" s="1768">
        <f t="shared" ref="D20:K20" si="5">D8-D17</f>
        <v>58</v>
      </c>
      <c r="E20" s="1768">
        <f t="shared" si="5"/>
        <v>-5958</v>
      </c>
      <c r="F20" s="1768">
        <f t="shared" si="5"/>
        <v>2716</v>
      </c>
      <c r="G20" s="1768">
        <f t="shared" si="5"/>
        <v>16972</v>
      </c>
      <c r="H20" s="1768">
        <f t="shared" si="5"/>
        <v>0</v>
      </c>
      <c r="I20" s="1768">
        <f t="shared" si="5"/>
        <v>21024</v>
      </c>
      <c r="J20" s="1768">
        <f t="shared" si="5"/>
        <v>14349</v>
      </c>
      <c r="K20" s="1768">
        <f t="shared" si="5"/>
        <v>-8385</v>
      </c>
      <c r="L20" s="347"/>
    </row>
    <row r="21" spans="1:12" ht="16.7" customHeight="1" thickTop="1" x14ac:dyDescent="0.2">
      <c r="A21" s="2147" t="s">
        <v>615</v>
      </c>
      <c r="B21" s="2148"/>
      <c r="C21" s="1592"/>
      <c r="D21" s="1593"/>
      <c r="E21" s="1593"/>
      <c r="F21" s="1593"/>
      <c r="G21" s="1593"/>
      <c r="H21" s="1593"/>
      <c r="I21" s="1593"/>
      <c r="J21" s="1593"/>
      <c r="K21" s="1594"/>
      <c r="L21" s="524"/>
    </row>
    <row r="22" spans="1:12" ht="15.75" customHeight="1" collapsed="1" x14ac:dyDescent="0.2">
      <c r="A22" s="2141" t="s">
        <v>616</v>
      </c>
      <c r="B22" s="2142"/>
      <c r="C22" s="477"/>
      <c r="D22" s="477"/>
      <c r="E22" s="477"/>
      <c r="F22" s="477"/>
      <c r="G22" s="477"/>
      <c r="H22" s="477"/>
      <c r="I22" s="477"/>
      <c r="J22" s="477"/>
      <c r="K22" s="477"/>
      <c r="L22" s="347"/>
    </row>
    <row r="23" spans="1:12" s="485" customFormat="1" ht="15.75" customHeight="1" x14ac:dyDescent="0.2">
      <c r="A23" s="2137" t="s">
        <v>310</v>
      </c>
      <c r="B23" s="2138"/>
      <c r="C23" s="480"/>
      <c r="D23" s="477"/>
      <c r="E23" s="477"/>
      <c r="F23" s="477"/>
      <c r="G23" s="477"/>
      <c r="H23" s="477"/>
      <c r="I23" s="477"/>
      <c r="J23" s="477"/>
      <c r="K23" s="477"/>
      <c r="L23" s="524"/>
    </row>
    <row r="24" spans="1:12" s="485" customFormat="1" ht="13.5" customHeight="1" x14ac:dyDescent="0.2">
      <c r="A24" s="1511" t="s">
        <v>1754</v>
      </c>
      <c r="B24" s="525">
        <v>7110</v>
      </c>
      <c r="C24" s="467"/>
      <c r="D24" s="477"/>
      <c r="E24" s="477"/>
      <c r="F24" s="477"/>
      <c r="G24" s="477"/>
      <c r="H24" s="477"/>
      <c r="I24" s="477"/>
      <c r="J24" s="477"/>
      <c r="K24" s="477"/>
      <c r="L24" s="524"/>
    </row>
    <row r="25" spans="1:12" s="485" customFormat="1" ht="13.5" customHeight="1" x14ac:dyDescent="0.2">
      <c r="A25" s="1511" t="s">
        <v>1755</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v>600000</v>
      </c>
      <c r="D27" s="467"/>
      <c r="E27" s="526"/>
      <c r="F27" s="467"/>
      <c r="G27" s="480"/>
      <c r="H27" s="480"/>
      <c r="I27" s="480"/>
      <c r="J27" s="480"/>
      <c r="K27" s="480"/>
      <c r="L27" s="524"/>
    </row>
    <row r="28" spans="1:12" s="485" customFormat="1" ht="13.5" customHeight="1" x14ac:dyDescent="0.2">
      <c r="A28" s="1511" t="s">
        <v>1464</v>
      </c>
      <c r="B28" s="483">
        <v>7140</v>
      </c>
      <c r="C28" s="467"/>
      <c r="D28" s="467"/>
      <c r="E28" s="467"/>
      <c r="F28" s="467"/>
      <c r="G28" s="467"/>
      <c r="H28" s="467"/>
      <c r="I28" s="467"/>
      <c r="J28" s="467"/>
      <c r="K28" s="467"/>
      <c r="L28" s="524"/>
    </row>
    <row r="29" spans="1:12" s="485" customFormat="1" ht="13.5" customHeight="1" x14ac:dyDescent="0.2">
      <c r="A29" s="1511" t="s">
        <v>311</v>
      </c>
      <c r="B29" s="483">
        <v>7150</v>
      </c>
      <c r="C29" s="475"/>
      <c r="D29" s="467"/>
      <c r="E29" s="475"/>
      <c r="F29" s="475"/>
      <c r="G29" s="475"/>
      <c r="H29" s="475"/>
      <c r="I29" s="475"/>
      <c r="J29" s="475"/>
      <c r="K29" s="475"/>
      <c r="L29" s="524"/>
    </row>
    <row r="30" spans="1:12" s="485" customFormat="1" ht="26.25" x14ac:dyDescent="0.2">
      <c r="A30" s="1511" t="s">
        <v>1896</v>
      </c>
      <c r="B30" s="527">
        <v>7160</v>
      </c>
      <c r="C30" s="477"/>
      <c r="D30" s="467"/>
      <c r="E30" s="477"/>
      <c r="F30" s="477"/>
      <c r="G30" s="477"/>
      <c r="H30" s="477"/>
      <c r="I30" s="477"/>
      <c r="J30" s="477"/>
      <c r="K30" s="477"/>
      <c r="L30" s="524"/>
    </row>
    <row r="31" spans="1:12" s="485" customFormat="1" ht="26.25" x14ac:dyDescent="0.2">
      <c r="A31" s="1511" t="s">
        <v>1900</v>
      </c>
      <c r="B31" s="527">
        <v>7170</v>
      </c>
      <c r="C31" s="477"/>
      <c r="D31" s="477"/>
      <c r="E31" s="474"/>
      <c r="F31" s="477"/>
      <c r="G31" s="477"/>
      <c r="H31" s="477"/>
      <c r="I31" s="477"/>
      <c r="J31" s="477"/>
      <c r="K31" s="477"/>
      <c r="L31" s="524"/>
    </row>
    <row r="32" spans="1:12" s="485" customFormat="1" ht="15.75" customHeight="1" x14ac:dyDescent="0.2">
      <c r="A32" s="2139" t="s">
        <v>1037</v>
      </c>
      <c r="B32" s="2140"/>
      <c r="C32" s="477"/>
      <c r="D32" s="477"/>
      <c r="E32" s="475"/>
      <c r="F32" s="477"/>
      <c r="G32" s="477"/>
      <c r="H32" s="477"/>
      <c r="I32" s="477"/>
      <c r="J32" s="477"/>
      <c r="K32" s="477"/>
      <c r="L32" s="524"/>
    </row>
    <row r="33" spans="1:12" s="485" customFormat="1" x14ac:dyDescent="0.2">
      <c r="A33" s="1511" t="s">
        <v>431</v>
      </c>
      <c r="B33" s="525">
        <v>7210</v>
      </c>
      <c r="C33" s="467"/>
      <c r="D33" s="467"/>
      <c r="E33" s="467"/>
      <c r="F33" s="467"/>
      <c r="G33" s="477"/>
      <c r="H33" s="467"/>
      <c r="I33" s="467"/>
      <c r="J33" s="467"/>
      <c r="K33" s="467"/>
      <c r="L33" s="524"/>
    </row>
    <row r="34" spans="1:12" s="485" customFormat="1" x14ac:dyDescent="0.2">
      <c r="A34" s="1511" t="s">
        <v>1057</v>
      </c>
      <c r="B34" s="525">
        <v>7220</v>
      </c>
      <c r="C34" s="467"/>
      <c r="D34" s="467"/>
      <c r="E34" s="467"/>
      <c r="F34" s="467"/>
      <c r="G34" s="477"/>
      <c r="H34" s="478"/>
      <c r="I34" s="478"/>
      <c r="J34" s="478"/>
      <c r="K34" s="478"/>
      <c r="L34" s="524"/>
    </row>
    <row r="35" spans="1:12" s="485" customFormat="1" x14ac:dyDescent="0.2">
      <c r="A35" s="1511" t="s">
        <v>1046</v>
      </c>
      <c r="B35" s="525">
        <v>7230</v>
      </c>
      <c r="C35" s="467"/>
      <c r="D35" s="467"/>
      <c r="E35" s="467"/>
      <c r="F35" s="467"/>
      <c r="G35" s="480"/>
      <c r="H35" s="467"/>
      <c r="I35" s="467"/>
      <c r="J35" s="467"/>
      <c r="K35" s="467"/>
      <c r="L35" s="524"/>
    </row>
    <row r="36" spans="1:12" s="485" customFormat="1" ht="15" x14ac:dyDescent="0.2">
      <c r="A36" s="1511" t="s">
        <v>1756</v>
      </c>
      <c r="B36" s="525">
        <v>7300</v>
      </c>
      <c r="C36" s="467"/>
      <c r="D36" s="467">
        <v>460</v>
      </c>
      <c r="E36" s="467"/>
      <c r="F36" s="467">
        <v>3055</v>
      </c>
      <c r="G36" s="467"/>
      <c r="H36" s="467"/>
      <c r="I36" s="475"/>
      <c r="J36" s="467"/>
      <c r="K36" s="467"/>
      <c r="L36" s="524"/>
    </row>
    <row r="37" spans="1:12" s="485" customFormat="1" x14ac:dyDescent="0.2">
      <c r="A37" s="1511" t="s">
        <v>460</v>
      </c>
      <c r="B37" s="525">
        <v>7400</v>
      </c>
      <c r="C37" s="475"/>
      <c r="D37" s="475"/>
      <c r="E37" s="1765">
        <f>SUM(C54:D57,H54:H57)</f>
        <v>0</v>
      </c>
      <c r="F37" s="475"/>
      <c r="G37" s="475"/>
      <c r="H37" s="475"/>
      <c r="I37" s="477"/>
      <c r="J37" s="475"/>
      <c r="K37" s="475"/>
      <c r="L37" s="524"/>
    </row>
    <row r="38" spans="1:12" s="485" customFormat="1" x14ac:dyDescent="0.2">
      <c r="A38" s="1511" t="s">
        <v>461</v>
      </c>
      <c r="B38" s="525">
        <v>7500</v>
      </c>
      <c r="C38" s="477"/>
      <c r="D38" s="477"/>
      <c r="E38" s="1765">
        <f>SUM(C58:D61,H58:H61)</f>
        <v>0</v>
      </c>
      <c r="F38" s="477"/>
      <c r="G38" s="477"/>
      <c r="H38" s="477"/>
      <c r="I38" s="477"/>
      <c r="J38" s="477"/>
      <c r="K38" s="477"/>
      <c r="L38" s="524"/>
    </row>
    <row r="39" spans="1:12" s="485" customFormat="1" x14ac:dyDescent="0.2">
      <c r="A39" s="1511" t="s">
        <v>462</v>
      </c>
      <c r="B39" s="525">
        <v>7600</v>
      </c>
      <c r="C39" s="477"/>
      <c r="D39" s="477"/>
      <c r="E39" s="1765">
        <f>SUM(C62:D65)</f>
        <v>0</v>
      </c>
      <c r="F39" s="477"/>
      <c r="G39" s="477"/>
      <c r="H39" s="477"/>
      <c r="I39" s="477"/>
      <c r="J39" s="477"/>
      <c r="K39" s="477"/>
      <c r="L39" s="524"/>
    </row>
    <row r="40" spans="1:12" s="485" customFormat="1" ht="13.5" customHeight="1" x14ac:dyDescent="0.2">
      <c r="A40" s="1511" t="s">
        <v>662</v>
      </c>
      <c r="B40" s="483">
        <v>7700</v>
      </c>
      <c r="C40" s="477"/>
      <c r="D40" s="477"/>
      <c r="E40" s="1765">
        <f>SUM(C66:D69)</f>
        <v>0</v>
      </c>
      <c r="F40" s="477"/>
      <c r="G40" s="477"/>
      <c r="H40" s="480"/>
      <c r="I40" s="477"/>
      <c r="J40" s="477"/>
      <c r="K40" s="477"/>
      <c r="L40" s="524"/>
    </row>
    <row r="41" spans="1:12" s="485" customFormat="1" ht="13.5" customHeight="1" x14ac:dyDescent="0.2">
      <c r="A41" s="1511" t="s">
        <v>660</v>
      </c>
      <c r="B41" s="483">
        <v>7800</v>
      </c>
      <c r="C41" s="480"/>
      <c r="D41" s="480"/>
      <c r="E41" s="526"/>
      <c r="F41" s="480"/>
      <c r="G41" s="480"/>
      <c r="H41" s="1765">
        <f>SUM(C70:D73)</f>
        <v>0</v>
      </c>
      <c r="I41" s="477"/>
      <c r="J41" s="477"/>
      <c r="K41" s="480"/>
      <c r="L41" s="524"/>
    </row>
    <row r="42" spans="1:12" s="485" customFormat="1" ht="13.5" customHeight="1" x14ac:dyDescent="0.2">
      <c r="A42" s="1511" t="s">
        <v>661</v>
      </c>
      <c r="B42" s="483">
        <v>7900</v>
      </c>
      <c r="C42" s="467"/>
      <c r="D42" s="467"/>
      <c r="E42" s="467">
        <v>6625</v>
      </c>
      <c r="F42" s="467"/>
      <c r="G42" s="467"/>
      <c r="H42" s="467"/>
      <c r="I42" s="480"/>
      <c r="J42" s="480"/>
      <c r="K42" s="467"/>
      <c r="L42" s="524"/>
    </row>
    <row r="43" spans="1:12" s="485" customFormat="1" ht="13.5" customHeight="1" x14ac:dyDescent="0.2">
      <c r="A43" s="1511" t="s">
        <v>390</v>
      </c>
      <c r="B43" s="483">
        <v>7990</v>
      </c>
      <c r="C43" s="467"/>
      <c r="D43" s="467"/>
      <c r="E43" s="467"/>
      <c r="F43" s="467"/>
      <c r="G43" s="467"/>
      <c r="H43" s="467"/>
      <c r="I43" s="467"/>
      <c r="J43" s="467"/>
      <c r="K43" s="467"/>
      <c r="L43" s="524"/>
    </row>
    <row r="44" spans="1:12" s="485" customFormat="1" ht="13.5" customHeight="1" thickBot="1" x14ac:dyDescent="0.25">
      <c r="A44" s="2149" t="s">
        <v>391</v>
      </c>
      <c r="B44" s="2150"/>
      <c r="C44" s="1725">
        <f>SUM(C24:C43)</f>
        <v>600000</v>
      </c>
      <c r="D44" s="1725">
        <f t="shared" ref="D44:K44" si="6">SUM(D24:D43)</f>
        <v>460</v>
      </c>
      <c r="E44" s="1725">
        <f t="shared" si="6"/>
        <v>6625</v>
      </c>
      <c r="F44" s="1725">
        <f t="shared" si="6"/>
        <v>3055</v>
      </c>
      <c r="G44" s="1725">
        <f t="shared" si="6"/>
        <v>0</v>
      </c>
      <c r="H44" s="1725">
        <f t="shared" si="6"/>
        <v>0</v>
      </c>
      <c r="I44" s="1725">
        <f t="shared" si="6"/>
        <v>0</v>
      </c>
      <c r="J44" s="1725">
        <f t="shared" si="6"/>
        <v>0</v>
      </c>
      <c r="K44" s="1725">
        <f t="shared" si="6"/>
        <v>0</v>
      </c>
      <c r="L44" s="524"/>
    </row>
    <row r="45" spans="1:12" ht="15.75" customHeight="1" thickTop="1" x14ac:dyDescent="0.2">
      <c r="A45" s="2141" t="s">
        <v>110</v>
      </c>
      <c r="B45" s="2142"/>
      <c r="C45" s="528"/>
      <c r="D45" s="528"/>
      <c r="E45" s="528"/>
      <c r="F45" s="528"/>
      <c r="G45" s="528"/>
      <c r="H45" s="528"/>
      <c r="I45" s="528"/>
      <c r="J45" s="528"/>
      <c r="K45" s="528"/>
      <c r="L45" s="347"/>
    </row>
    <row r="46" spans="1:12" s="485" customFormat="1" ht="15.75" customHeight="1" x14ac:dyDescent="0.2">
      <c r="A46" s="2151" t="s">
        <v>111</v>
      </c>
      <c r="B46" s="2152"/>
      <c r="C46" s="477"/>
      <c r="D46" s="477"/>
      <c r="E46" s="477"/>
      <c r="F46" s="477"/>
      <c r="G46" s="477"/>
      <c r="H46" s="477"/>
      <c r="I46" s="480"/>
      <c r="J46" s="477"/>
      <c r="K46" s="477"/>
      <c r="L46" s="529"/>
    </row>
    <row r="47" spans="1:12" s="485" customFormat="1" ht="15" x14ac:dyDescent="0.2">
      <c r="A47" s="1512" t="s">
        <v>1757</v>
      </c>
      <c r="B47" s="483">
        <v>8110</v>
      </c>
      <c r="C47" s="477"/>
      <c r="D47" s="477"/>
      <c r="E47" s="477"/>
      <c r="F47" s="477"/>
      <c r="G47" s="477"/>
      <c r="H47" s="477"/>
      <c r="I47" s="1765">
        <f>SUM(C24,C25:H25,J25:K25)</f>
        <v>0</v>
      </c>
      <c r="J47" s="477"/>
      <c r="K47" s="477"/>
      <c r="L47" s="529"/>
    </row>
    <row r="48" spans="1:12" s="485" customFormat="1" ht="15" x14ac:dyDescent="0.2">
      <c r="A48" s="1512" t="s">
        <v>1758</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v>600000</v>
      </c>
      <c r="E49" s="480"/>
      <c r="F49" s="467"/>
      <c r="G49" s="480"/>
      <c r="H49" s="480"/>
      <c r="I49" s="477"/>
      <c r="J49" s="480"/>
      <c r="K49" s="477"/>
      <c r="L49" s="524"/>
    </row>
    <row r="50" spans="1:12" s="485" customFormat="1" x14ac:dyDescent="0.2">
      <c r="A50" s="1512" t="s">
        <v>1464</v>
      </c>
      <c r="B50" s="483">
        <v>8140</v>
      </c>
      <c r="C50" s="467"/>
      <c r="D50" s="467"/>
      <c r="E50" s="467"/>
      <c r="F50" s="467"/>
      <c r="G50" s="467"/>
      <c r="H50" s="467"/>
      <c r="I50" s="477"/>
      <c r="J50" s="467"/>
      <c r="K50" s="477"/>
      <c r="L50" s="524"/>
    </row>
    <row r="51" spans="1:12" s="485" customFormat="1" x14ac:dyDescent="0.2">
      <c r="A51" s="1512" t="s">
        <v>311</v>
      </c>
      <c r="B51" s="483">
        <v>8150</v>
      </c>
      <c r="C51" s="475"/>
      <c r="D51" s="475"/>
      <c r="E51" s="475"/>
      <c r="F51" s="475"/>
      <c r="G51" s="475"/>
      <c r="H51" s="1765">
        <f>SUM(D29)</f>
        <v>0</v>
      </c>
      <c r="I51" s="477"/>
      <c r="J51" s="475"/>
      <c r="K51" s="480"/>
      <c r="L51" s="524"/>
    </row>
    <row r="52" spans="1:12" s="485" customFormat="1" ht="26.25" x14ac:dyDescent="0.2">
      <c r="A52" s="1512" t="s">
        <v>1899</v>
      </c>
      <c r="B52" s="483">
        <v>8160</v>
      </c>
      <c r="C52" s="477"/>
      <c r="D52" s="477"/>
      <c r="E52" s="477"/>
      <c r="F52" s="477"/>
      <c r="G52" s="477"/>
      <c r="H52" s="477"/>
      <c r="I52" s="477"/>
      <c r="J52" s="477"/>
      <c r="K52" s="1765">
        <f>D30</f>
        <v>0</v>
      </c>
      <c r="L52" s="524"/>
    </row>
    <row r="53" spans="1:12" s="485" customFormat="1" ht="26.25" x14ac:dyDescent="0.2">
      <c r="A53" s="1512" t="s">
        <v>1898</v>
      </c>
      <c r="B53" s="483">
        <v>8170</v>
      </c>
      <c r="C53" s="480"/>
      <c r="D53" s="480"/>
      <c r="E53" s="477"/>
      <c r="F53" s="477"/>
      <c r="G53" s="477"/>
      <c r="H53" s="480"/>
      <c r="I53" s="477"/>
      <c r="J53" s="477"/>
      <c r="K53" s="1765">
        <f>E31</f>
        <v>0</v>
      </c>
      <c r="L53" s="524"/>
    </row>
    <row r="54" spans="1:12" s="485" customFormat="1" ht="13.5" thickBot="1" x14ac:dyDescent="0.25">
      <c r="A54" s="1512" t="s">
        <v>715</v>
      </c>
      <c r="B54" s="483">
        <v>8410</v>
      </c>
      <c r="C54" s="530"/>
      <c r="D54" s="530"/>
      <c r="E54" s="477"/>
      <c r="F54" s="477"/>
      <c r="G54" s="477"/>
      <c r="H54" s="530"/>
      <c r="I54" s="477"/>
      <c r="J54" s="477"/>
      <c r="K54" s="475"/>
      <c r="L54" s="524"/>
    </row>
    <row r="55" spans="1:12" s="485" customFormat="1" ht="14.25" thickTop="1" thickBot="1" x14ac:dyDescent="0.25">
      <c r="A55" s="1513" t="s">
        <v>716</v>
      </c>
      <c r="B55" s="483">
        <v>8420</v>
      </c>
      <c r="C55" s="531"/>
      <c r="D55" s="531"/>
      <c r="E55" s="477"/>
      <c r="F55" s="477"/>
      <c r="G55" s="477"/>
      <c r="H55" s="530"/>
      <c r="I55" s="477"/>
      <c r="J55" s="477"/>
      <c r="K55" s="477"/>
      <c r="L55" s="524"/>
    </row>
    <row r="56" spans="1:12" s="485" customFormat="1" ht="14.25" thickTop="1" thickBot="1" x14ac:dyDescent="0.25">
      <c r="A56" s="1512" t="s">
        <v>601</v>
      </c>
      <c r="B56" s="483">
        <v>8430</v>
      </c>
      <c r="C56" s="531"/>
      <c r="D56" s="531"/>
      <c r="E56" s="477"/>
      <c r="F56" s="477"/>
      <c r="G56" s="477"/>
      <c r="H56" s="530"/>
      <c r="I56" s="477"/>
      <c r="J56" s="477"/>
      <c r="K56" s="477"/>
      <c r="L56" s="524"/>
    </row>
    <row r="57" spans="1:12" s="485" customFormat="1" ht="14.25" thickTop="1" thickBot="1" x14ac:dyDescent="0.25">
      <c r="A57" s="1513" t="s">
        <v>598</v>
      </c>
      <c r="B57" s="483">
        <v>8440</v>
      </c>
      <c r="C57" s="531"/>
      <c r="D57" s="531"/>
      <c r="E57" s="477"/>
      <c r="F57" s="477"/>
      <c r="G57" s="477"/>
      <c r="H57" s="530"/>
      <c r="I57" s="477"/>
      <c r="J57" s="477"/>
      <c r="K57" s="477"/>
      <c r="L57" s="524"/>
    </row>
    <row r="58" spans="1:12" s="485" customFormat="1" ht="14.25" thickTop="1" thickBot="1" x14ac:dyDescent="0.25">
      <c r="A58" s="1512" t="s">
        <v>599</v>
      </c>
      <c r="B58" s="483">
        <v>8510</v>
      </c>
      <c r="C58" s="531"/>
      <c r="D58" s="531"/>
      <c r="E58" s="477"/>
      <c r="F58" s="477"/>
      <c r="G58" s="477"/>
      <c r="H58" s="530"/>
      <c r="I58" s="477"/>
      <c r="J58" s="477"/>
      <c r="K58" s="477"/>
      <c r="L58" s="524"/>
    </row>
    <row r="59" spans="1:12" s="485" customFormat="1" ht="14.25" thickTop="1" thickBot="1" x14ac:dyDescent="0.25">
      <c r="A59" s="1514" t="s">
        <v>717</v>
      </c>
      <c r="B59" s="483">
        <v>8520</v>
      </c>
      <c r="C59" s="531"/>
      <c r="D59" s="531"/>
      <c r="E59" s="477"/>
      <c r="F59" s="477"/>
      <c r="G59" s="477"/>
      <c r="H59" s="530"/>
      <c r="I59" s="477"/>
      <c r="J59" s="477"/>
      <c r="K59" s="477"/>
      <c r="L59" s="524"/>
    </row>
    <row r="60" spans="1:12" s="485" customFormat="1" ht="14.25" thickTop="1" thickBot="1" x14ac:dyDescent="0.25">
      <c r="A60" s="1512" t="s">
        <v>600</v>
      </c>
      <c r="B60" s="483">
        <v>8530</v>
      </c>
      <c r="C60" s="531"/>
      <c r="D60" s="531"/>
      <c r="E60" s="477"/>
      <c r="F60" s="477"/>
      <c r="G60" s="477"/>
      <c r="H60" s="530"/>
      <c r="I60" s="477"/>
      <c r="J60" s="477"/>
      <c r="K60" s="477"/>
      <c r="L60" s="524"/>
    </row>
    <row r="61" spans="1:12" s="485" customFormat="1" ht="14.25" thickTop="1" thickBot="1" x14ac:dyDescent="0.25">
      <c r="A61" s="1513" t="s">
        <v>766</v>
      </c>
      <c r="B61" s="483">
        <v>8540</v>
      </c>
      <c r="C61" s="531"/>
      <c r="D61" s="531"/>
      <c r="E61" s="477"/>
      <c r="F61" s="477"/>
      <c r="G61" s="477"/>
      <c r="H61" s="530"/>
      <c r="I61" s="477"/>
      <c r="J61" s="477"/>
      <c r="K61" s="477"/>
      <c r="L61" s="524"/>
    </row>
    <row r="62" spans="1:12" s="485" customFormat="1" ht="13.5" customHeight="1" thickTop="1" thickBot="1" x14ac:dyDescent="0.25">
      <c r="A62" s="1512" t="s">
        <v>767</v>
      </c>
      <c r="B62" s="483">
        <v>8610</v>
      </c>
      <c r="C62" s="531"/>
      <c r="D62" s="531"/>
      <c r="E62" s="477"/>
      <c r="F62" s="477"/>
      <c r="G62" s="477"/>
      <c r="H62" s="477"/>
      <c r="I62" s="477"/>
      <c r="J62" s="477"/>
      <c r="K62" s="477"/>
      <c r="L62" s="524"/>
    </row>
    <row r="63" spans="1:12" s="485" customFormat="1" ht="14.25" thickTop="1" thickBot="1" x14ac:dyDescent="0.25">
      <c r="A63" s="1513" t="s">
        <v>718</v>
      </c>
      <c r="B63" s="483">
        <v>8620</v>
      </c>
      <c r="C63" s="531"/>
      <c r="D63" s="531"/>
      <c r="E63" s="477"/>
      <c r="F63" s="477"/>
      <c r="G63" s="477"/>
      <c r="H63" s="477"/>
      <c r="I63" s="477"/>
      <c r="J63" s="477"/>
      <c r="K63" s="477"/>
      <c r="L63" s="524"/>
    </row>
    <row r="64" spans="1:12" s="485" customFormat="1" ht="13.5" customHeight="1" thickTop="1" thickBot="1" x14ac:dyDescent="0.25">
      <c r="A64" s="1512" t="s">
        <v>768</v>
      </c>
      <c r="B64" s="483">
        <v>8630</v>
      </c>
      <c r="C64" s="531"/>
      <c r="D64" s="531"/>
      <c r="E64" s="477"/>
      <c r="F64" s="477"/>
      <c r="G64" s="477"/>
      <c r="H64" s="477"/>
      <c r="I64" s="477"/>
      <c r="J64" s="477"/>
      <c r="K64" s="477"/>
      <c r="L64" s="524"/>
    </row>
    <row r="65" spans="1:12" s="485" customFormat="1" ht="14.25" thickTop="1" thickBot="1" x14ac:dyDescent="0.25">
      <c r="A65" s="1513" t="s">
        <v>769</v>
      </c>
      <c r="B65" s="483">
        <v>8640</v>
      </c>
      <c r="C65" s="531"/>
      <c r="D65" s="531"/>
      <c r="E65" s="477"/>
      <c r="F65" s="477"/>
      <c r="G65" s="477"/>
      <c r="H65" s="477"/>
      <c r="I65" s="477"/>
      <c r="J65" s="477"/>
      <c r="K65" s="477"/>
      <c r="L65" s="524"/>
    </row>
    <row r="66" spans="1:12" s="485" customFormat="1" ht="14.25" thickTop="1" thickBot="1" x14ac:dyDescent="0.25">
      <c r="A66" s="1512" t="s">
        <v>770</v>
      </c>
      <c r="B66" s="483">
        <v>8710</v>
      </c>
      <c r="C66" s="531"/>
      <c r="D66" s="531"/>
      <c r="E66" s="477"/>
      <c r="F66" s="477"/>
      <c r="G66" s="477"/>
      <c r="H66" s="477"/>
      <c r="I66" s="477"/>
      <c r="J66" s="477"/>
      <c r="K66" s="477"/>
      <c r="L66" s="524"/>
    </row>
    <row r="67" spans="1:12" s="485" customFormat="1" ht="14.25" thickTop="1" thickBot="1" x14ac:dyDescent="0.25">
      <c r="A67" s="1513" t="s">
        <v>719</v>
      </c>
      <c r="B67" s="483">
        <v>8720</v>
      </c>
      <c r="C67" s="531"/>
      <c r="D67" s="531"/>
      <c r="E67" s="477"/>
      <c r="F67" s="477"/>
      <c r="G67" s="477"/>
      <c r="H67" s="477"/>
      <c r="I67" s="477"/>
      <c r="J67" s="477"/>
      <c r="K67" s="477"/>
      <c r="L67" s="524"/>
    </row>
    <row r="68" spans="1:12" s="485" customFormat="1" ht="14.25" thickTop="1" thickBot="1" x14ac:dyDescent="0.25">
      <c r="A68" s="1514" t="s">
        <v>771</v>
      </c>
      <c r="B68" s="483">
        <v>8730</v>
      </c>
      <c r="C68" s="531"/>
      <c r="D68" s="531"/>
      <c r="E68" s="477"/>
      <c r="F68" s="477"/>
      <c r="G68" s="477"/>
      <c r="H68" s="477"/>
      <c r="I68" s="477"/>
      <c r="J68" s="477"/>
      <c r="K68" s="477"/>
      <c r="L68" s="524"/>
    </row>
    <row r="69" spans="1:12" s="485" customFormat="1" ht="14.25" thickTop="1" thickBot="1" x14ac:dyDescent="0.25">
      <c r="A69" s="1513" t="s">
        <v>772</v>
      </c>
      <c r="B69" s="483">
        <v>8740</v>
      </c>
      <c r="C69" s="531"/>
      <c r="D69" s="531"/>
      <c r="E69" s="477"/>
      <c r="F69" s="477"/>
      <c r="G69" s="477"/>
      <c r="H69" s="477"/>
      <c r="I69" s="477"/>
      <c r="J69" s="477"/>
      <c r="K69" s="477"/>
      <c r="L69" s="524"/>
    </row>
    <row r="70" spans="1:12" s="485" customFormat="1" ht="14.25" thickTop="1" thickBot="1" x14ac:dyDescent="0.25">
      <c r="A70" s="1512" t="s">
        <v>773</v>
      </c>
      <c r="B70" s="483">
        <v>8810</v>
      </c>
      <c r="C70" s="531"/>
      <c r="D70" s="531"/>
      <c r="E70" s="477"/>
      <c r="F70" s="477"/>
      <c r="G70" s="477"/>
      <c r="H70" s="477"/>
      <c r="I70" s="477"/>
      <c r="J70" s="477"/>
      <c r="K70" s="477"/>
      <c r="L70" s="524"/>
    </row>
    <row r="71" spans="1:12" s="485" customFormat="1" ht="14.25" thickTop="1" thickBot="1" x14ac:dyDescent="0.25">
      <c r="A71" s="1512" t="s">
        <v>777</v>
      </c>
      <c r="B71" s="483">
        <v>8820</v>
      </c>
      <c r="C71" s="531"/>
      <c r="D71" s="531"/>
      <c r="E71" s="477"/>
      <c r="F71" s="477"/>
      <c r="G71" s="477"/>
      <c r="H71" s="477"/>
      <c r="I71" s="477"/>
      <c r="J71" s="477"/>
      <c r="K71" s="477"/>
      <c r="L71" s="524"/>
    </row>
    <row r="72" spans="1:12" s="485" customFormat="1" ht="14.25" thickTop="1" thickBot="1" x14ac:dyDescent="0.25">
      <c r="A72" s="1512" t="s">
        <v>774</v>
      </c>
      <c r="B72" s="483">
        <v>8830</v>
      </c>
      <c r="C72" s="531"/>
      <c r="D72" s="531"/>
      <c r="E72" s="477"/>
      <c r="F72" s="477"/>
      <c r="G72" s="477"/>
      <c r="H72" s="477"/>
      <c r="I72" s="477"/>
      <c r="J72" s="477"/>
      <c r="K72" s="477"/>
      <c r="L72" s="524"/>
    </row>
    <row r="73" spans="1:12" s="485" customFormat="1" ht="14.25" thickTop="1" thickBot="1" x14ac:dyDescent="0.25">
      <c r="A73" s="1512" t="s">
        <v>775</v>
      </c>
      <c r="B73" s="483">
        <v>8840</v>
      </c>
      <c r="C73" s="531"/>
      <c r="D73" s="531"/>
      <c r="E73" s="477"/>
      <c r="F73" s="477"/>
      <c r="G73" s="477"/>
      <c r="H73" s="477"/>
      <c r="I73" s="477"/>
      <c r="J73" s="477"/>
      <c r="K73" s="480"/>
      <c r="L73" s="524"/>
    </row>
    <row r="74" spans="1:12" s="485" customFormat="1" ht="14.25" thickTop="1" thickBot="1" x14ac:dyDescent="0.25">
      <c r="A74" s="1512" t="s">
        <v>392</v>
      </c>
      <c r="B74" s="483">
        <v>8910</v>
      </c>
      <c r="C74" s="531">
        <v>6625</v>
      </c>
      <c r="D74" s="531"/>
      <c r="E74" s="480"/>
      <c r="F74" s="530"/>
      <c r="G74" s="530"/>
      <c r="H74" s="530"/>
      <c r="I74" s="480"/>
      <c r="J74" s="480"/>
      <c r="K74" s="530"/>
      <c r="L74" s="524"/>
    </row>
    <row r="75" spans="1:12" s="485" customFormat="1" ht="14.25" thickTop="1" thickBot="1" x14ac:dyDescent="0.25">
      <c r="A75" s="1515" t="s">
        <v>458</v>
      </c>
      <c r="B75" s="483">
        <v>8990</v>
      </c>
      <c r="C75" s="531"/>
      <c r="D75" s="531"/>
      <c r="E75" s="530"/>
      <c r="F75" s="532"/>
      <c r="G75" s="532"/>
      <c r="H75" s="532"/>
      <c r="I75" s="530"/>
      <c r="J75" s="530"/>
      <c r="K75" s="532"/>
      <c r="L75" s="524"/>
    </row>
    <row r="76" spans="1:12" s="485" customFormat="1" ht="14.25" thickTop="1" thickBot="1" x14ac:dyDescent="0.25">
      <c r="A76" s="2153" t="s">
        <v>459</v>
      </c>
      <c r="B76" s="2154"/>
      <c r="C76" s="1725">
        <f t="shared" ref="C76:K76" si="7">SUM(C47:C75)</f>
        <v>6625</v>
      </c>
      <c r="D76" s="1725">
        <f t="shared" si="7"/>
        <v>600000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55" t="s">
        <v>1238</v>
      </c>
      <c r="B77" s="2156"/>
      <c r="C77" s="1725">
        <f t="shared" ref="C77:K77" si="8">C44-C76</f>
        <v>593375</v>
      </c>
      <c r="D77" s="1725">
        <f t="shared" si="8"/>
        <v>-599540</v>
      </c>
      <c r="E77" s="1725">
        <f t="shared" si="8"/>
        <v>6625</v>
      </c>
      <c r="F77" s="1725">
        <f t="shared" si="8"/>
        <v>3055</v>
      </c>
      <c r="G77" s="1725">
        <f t="shared" si="8"/>
        <v>0</v>
      </c>
      <c r="H77" s="1725">
        <f t="shared" si="8"/>
        <v>0</v>
      </c>
      <c r="I77" s="1725">
        <f t="shared" si="8"/>
        <v>0</v>
      </c>
      <c r="J77" s="1725">
        <f t="shared" si="8"/>
        <v>0</v>
      </c>
      <c r="K77" s="1725">
        <f t="shared" si="8"/>
        <v>0</v>
      </c>
      <c r="L77" s="347"/>
    </row>
    <row r="78" spans="1:12" ht="21.75" customHeight="1" thickTop="1" thickBot="1" x14ac:dyDescent="0.25">
      <c r="A78" s="2159" t="s">
        <v>617</v>
      </c>
      <c r="B78" s="2160"/>
      <c r="C78" s="1724">
        <f t="shared" ref="C78:K78" si="9">C20+C77</f>
        <v>112339</v>
      </c>
      <c r="D78" s="1724">
        <f t="shared" si="9"/>
        <v>-599482</v>
      </c>
      <c r="E78" s="1724">
        <f t="shared" si="9"/>
        <v>667</v>
      </c>
      <c r="F78" s="1724">
        <f t="shared" si="9"/>
        <v>5771</v>
      </c>
      <c r="G78" s="1724">
        <f t="shared" si="9"/>
        <v>16972</v>
      </c>
      <c r="H78" s="1724">
        <f t="shared" si="9"/>
        <v>0</v>
      </c>
      <c r="I78" s="1724">
        <f t="shared" si="9"/>
        <v>21024</v>
      </c>
      <c r="J78" s="1724">
        <f t="shared" si="9"/>
        <v>14349</v>
      </c>
      <c r="K78" s="1724">
        <f t="shared" si="9"/>
        <v>-8385</v>
      </c>
      <c r="L78" s="533"/>
    </row>
    <row r="79" spans="1:12" ht="13.5" thickTop="1" x14ac:dyDescent="0.2">
      <c r="A79" s="1516" t="s">
        <v>2072</v>
      </c>
      <c r="B79" s="534"/>
      <c r="C79" s="478">
        <v>766182</v>
      </c>
      <c r="D79" s="535">
        <v>1221521</v>
      </c>
      <c r="E79" s="535">
        <v>44851</v>
      </c>
      <c r="F79" s="535">
        <v>61251</v>
      </c>
      <c r="G79" s="535">
        <v>43038</v>
      </c>
      <c r="H79" s="535"/>
      <c r="I79" s="535">
        <v>4101</v>
      </c>
      <c r="J79" s="535">
        <v>35727</v>
      </c>
      <c r="K79" s="535">
        <v>64562</v>
      </c>
      <c r="L79" s="347"/>
    </row>
    <row r="80" spans="1:12" x14ac:dyDescent="0.2">
      <c r="A80" s="2135" t="s">
        <v>1897</v>
      </c>
      <c r="B80" s="2136"/>
      <c r="C80" s="467">
        <v>-198</v>
      </c>
      <c r="D80" s="467"/>
      <c r="E80" s="467"/>
      <c r="F80" s="467"/>
      <c r="G80" s="467"/>
      <c r="H80" s="467"/>
      <c r="I80" s="467"/>
      <c r="J80" s="467"/>
      <c r="K80" s="467"/>
      <c r="L80" s="347"/>
    </row>
    <row r="81" spans="1:12" ht="13.5" thickBot="1" x14ac:dyDescent="0.25">
      <c r="A81" s="2157" t="s">
        <v>2073</v>
      </c>
      <c r="B81" s="2158"/>
      <c r="C81" s="1710">
        <f>(SUM(C78:C80))</f>
        <v>878323</v>
      </c>
      <c r="D81" s="1710">
        <f>SUM(D78:D80)</f>
        <v>622039</v>
      </c>
      <c r="E81" s="1710">
        <f t="shared" ref="E81:K81" si="10">SUM(E78:E80)</f>
        <v>45518</v>
      </c>
      <c r="F81" s="1710">
        <f t="shared" si="10"/>
        <v>67022</v>
      </c>
      <c r="G81" s="1710">
        <f t="shared" si="10"/>
        <v>60010</v>
      </c>
      <c r="H81" s="1710">
        <f t="shared" si="10"/>
        <v>0</v>
      </c>
      <c r="I81" s="1710">
        <f t="shared" si="10"/>
        <v>25125</v>
      </c>
      <c r="J81" s="1710">
        <f t="shared" si="10"/>
        <v>50076</v>
      </c>
      <c r="K81" s="1710">
        <f t="shared" si="10"/>
        <v>56177</v>
      </c>
      <c r="L81" s="347"/>
    </row>
    <row r="82" spans="1:12" ht="0.75" customHeight="1" thickTop="1" thickBot="1" x14ac:dyDescent="0.25">
      <c r="A82" s="536" t="s">
        <v>360</v>
      </c>
      <c r="B82" s="537"/>
      <c r="C82" s="538">
        <f>(C81-C79)</f>
        <v>112141</v>
      </c>
      <c r="D82" s="538">
        <f t="shared" ref="D82:K82" si="11">(D81-D79)</f>
        <v>-599482</v>
      </c>
      <c r="E82" s="538">
        <f t="shared" si="11"/>
        <v>667</v>
      </c>
      <c r="F82" s="538">
        <f t="shared" si="11"/>
        <v>5771</v>
      </c>
      <c r="G82" s="538">
        <f t="shared" si="11"/>
        <v>16972</v>
      </c>
      <c r="H82" s="538">
        <f t="shared" si="11"/>
        <v>0</v>
      </c>
      <c r="I82" s="538">
        <f t="shared" si="11"/>
        <v>21024</v>
      </c>
      <c r="J82" s="538">
        <f t="shared" si="11"/>
        <v>14349</v>
      </c>
      <c r="K82" s="538">
        <f t="shared" si="11"/>
        <v>-8385</v>
      </c>
    </row>
    <row r="83" spans="1:12" ht="14.25" hidden="1" thickTop="1" thickBot="1" x14ac:dyDescent="0.25">
      <c r="A83" s="539" t="s">
        <v>361</v>
      </c>
      <c r="B83" s="464"/>
      <c r="C83" s="540">
        <f>C82/C81</f>
        <v>0.12767626488205364</v>
      </c>
      <c r="D83" s="540">
        <f t="shared" ref="D83:K83" si="12">D82/D81</f>
        <v>-0.96373700041315735</v>
      </c>
      <c r="E83" s="540">
        <f t="shared" si="12"/>
        <v>1.4653543653060328E-2</v>
      </c>
      <c r="F83" s="540">
        <f t="shared" si="12"/>
        <v>8.6106054728298173E-2</v>
      </c>
      <c r="G83" s="540">
        <f t="shared" si="12"/>
        <v>0.28281953007832028</v>
      </c>
      <c r="H83" s="540" t="e">
        <f t="shared" si="12"/>
        <v>#DIV/0!</v>
      </c>
      <c r="I83" s="540">
        <f t="shared" si="12"/>
        <v>0.83677611940298502</v>
      </c>
      <c r="J83" s="540">
        <f t="shared" si="12"/>
        <v>0.28654445243230292</v>
      </c>
      <c r="K83" s="540">
        <f t="shared" si="12"/>
        <v>-0.14926037346244905</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oIEDFVVY3bz0Kpmn2swySfqRsrw71IcDT6bzffCiu7lsXGd4ebOoeg21gVlVTaqkfMQA4WmqP2PokO4s8FodGg==" saltValue="3Fd1DdkYAYkE35paKs/nlw==" spinCount="100000" sheet="1" objects="1" scenarios="1"/>
  <mergeCells count="17">
    <mergeCell ref="A81:B81"/>
    <mergeCell ref="A78:B78"/>
    <mergeCell ref="A1:A2"/>
    <mergeCell ref="A20:B20"/>
    <mergeCell ref="A80:B80"/>
    <mergeCell ref="A23:B23"/>
    <mergeCell ref="A32:B32"/>
    <mergeCell ref="A22:B22"/>
    <mergeCell ref="A3:B3"/>
    <mergeCell ref="A4:B4"/>
    <mergeCell ref="A11:B11"/>
    <mergeCell ref="A21:B21"/>
    <mergeCell ref="A44:B44"/>
    <mergeCell ref="A45:B45"/>
    <mergeCell ref="A46:B46"/>
    <mergeCell ref="A76:B76"/>
    <mergeCell ref="A77:B77"/>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&amp;F&amp;CSee Accompanying Notes to the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90" zoomScaleNormal="90" zoomScaleSheetLayoutView="75" workbookViewId="0">
      <pane ySplit="2" topLeftCell="A231" activePane="bottomLeft" state="frozen"/>
      <selection activeCell="A47" sqref="A47"/>
      <selection pane="bottomLeft" activeCell="C270" sqref="C270"/>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31" t="s">
        <v>1904</v>
      </c>
      <c r="B1" s="452"/>
      <c r="C1" s="453" t="s">
        <v>444</v>
      </c>
      <c r="D1" s="453" t="s">
        <v>445</v>
      </c>
      <c r="E1" s="453" t="s">
        <v>446</v>
      </c>
      <c r="F1" s="453" t="s">
        <v>447</v>
      </c>
      <c r="G1" s="453" t="s">
        <v>448</v>
      </c>
      <c r="H1" s="453" t="s">
        <v>449</v>
      </c>
      <c r="I1" s="453" t="s">
        <v>450</v>
      </c>
      <c r="J1" s="453" t="s">
        <v>451</v>
      </c>
      <c r="K1" s="453" t="s">
        <v>779</v>
      </c>
    </row>
    <row r="2" spans="1:12" ht="36" x14ac:dyDescent="0.2">
      <c r="A2" s="2132"/>
      <c r="B2" s="541" t="s">
        <v>395</v>
      </c>
      <c r="C2" s="542" t="s">
        <v>1216</v>
      </c>
      <c r="D2" s="542" t="s">
        <v>924</v>
      </c>
      <c r="E2" s="542" t="s">
        <v>457</v>
      </c>
      <c r="F2" s="542" t="s">
        <v>157</v>
      </c>
      <c r="G2" s="542" t="s">
        <v>1045</v>
      </c>
      <c r="H2" s="542" t="s">
        <v>456</v>
      </c>
      <c r="I2" s="542" t="s">
        <v>426</v>
      </c>
      <c r="J2" s="542" t="s">
        <v>455</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396</v>
      </c>
      <c r="B4" s="1613">
        <v>1100</v>
      </c>
      <c r="C4" s="543"/>
      <c r="D4" s="543"/>
      <c r="E4" s="543"/>
      <c r="F4" s="544"/>
      <c r="G4" s="545"/>
      <c r="H4" s="546"/>
      <c r="I4" s="546"/>
      <c r="J4" s="546"/>
      <c r="K4" s="546"/>
    </row>
    <row r="5" spans="1:12" ht="15" x14ac:dyDescent="0.2">
      <c r="A5" s="493" t="s">
        <v>1759</v>
      </c>
      <c r="B5" s="547"/>
      <c r="C5" s="481">
        <v>1380316</v>
      </c>
      <c r="D5" s="481">
        <v>292794</v>
      </c>
      <c r="E5" s="466">
        <v>151314</v>
      </c>
      <c r="F5" s="548">
        <v>83654</v>
      </c>
      <c r="G5" s="466">
        <v>69686</v>
      </c>
      <c r="H5" s="466"/>
      <c r="I5" s="466">
        <v>20909</v>
      </c>
      <c r="J5" s="467">
        <v>245895</v>
      </c>
      <c r="K5" s="466">
        <v>20909</v>
      </c>
    </row>
    <row r="6" spans="1:12" ht="15" x14ac:dyDescent="0.2">
      <c r="A6" s="463" t="s">
        <v>1760</v>
      </c>
      <c r="B6" s="470">
        <v>1130</v>
      </c>
      <c r="C6" s="466">
        <v>20909</v>
      </c>
      <c r="D6" s="466"/>
      <c r="E6" s="475"/>
      <c r="F6" s="475"/>
      <c r="G6" s="468"/>
      <c r="H6" s="468"/>
      <c r="I6" s="468"/>
      <c r="J6" s="468"/>
      <c r="K6" s="468"/>
    </row>
    <row r="7" spans="1:12" x14ac:dyDescent="0.2">
      <c r="A7" s="463" t="s">
        <v>112</v>
      </c>
      <c r="B7" s="549">
        <v>1140</v>
      </c>
      <c r="C7" s="466">
        <v>16727</v>
      </c>
      <c r="D7" s="466"/>
      <c r="E7" s="468"/>
      <c r="F7" s="467"/>
      <c r="G7" s="467"/>
      <c r="H7" s="467"/>
      <c r="I7" s="468"/>
      <c r="J7" s="468"/>
      <c r="K7" s="468"/>
    </row>
    <row r="8" spans="1:12" x14ac:dyDescent="0.2">
      <c r="A8" s="463" t="s">
        <v>432</v>
      </c>
      <c r="B8" s="470">
        <v>1150</v>
      </c>
      <c r="C8" s="475"/>
      <c r="D8" s="475"/>
      <c r="E8" s="477"/>
      <c r="F8" s="477"/>
      <c r="G8" s="481">
        <v>89600</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433</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1417952</v>
      </c>
      <c r="D12" s="1729">
        <f t="shared" si="0"/>
        <v>292794</v>
      </c>
      <c r="E12" s="1729">
        <f t="shared" si="0"/>
        <v>151314</v>
      </c>
      <c r="F12" s="1729">
        <f t="shared" si="0"/>
        <v>83654</v>
      </c>
      <c r="G12" s="1729">
        <f t="shared" si="0"/>
        <v>159286</v>
      </c>
      <c r="H12" s="1729">
        <f t="shared" si="0"/>
        <v>0</v>
      </c>
      <c r="I12" s="1729">
        <f t="shared" si="0"/>
        <v>20909</v>
      </c>
      <c r="J12" s="1729">
        <f t="shared" si="0"/>
        <v>245895</v>
      </c>
      <c r="K12" s="1710">
        <f t="shared" si="0"/>
        <v>20909</v>
      </c>
    </row>
    <row r="13" spans="1:12" ht="15.75" customHeight="1" thickTop="1" x14ac:dyDescent="0.2">
      <c r="A13" s="1614" t="s">
        <v>470</v>
      </c>
      <c r="B13" s="1615">
        <v>1200</v>
      </c>
      <c r="C13" s="553"/>
      <c r="D13" s="553"/>
      <c r="E13" s="553"/>
      <c r="F13" s="553"/>
      <c r="G13" s="553"/>
      <c r="H13" s="553"/>
      <c r="I13" s="553"/>
      <c r="J13" s="553"/>
      <c r="K13" s="468"/>
    </row>
    <row r="14" spans="1:12" x14ac:dyDescent="0.2">
      <c r="A14" s="463" t="s">
        <v>3</v>
      </c>
      <c r="B14" s="470">
        <v>1210</v>
      </c>
      <c r="C14" s="551">
        <v>118</v>
      </c>
      <c r="D14" s="466">
        <v>24</v>
      </c>
      <c r="E14" s="466">
        <v>13</v>
      </c>
      <c r="F14" s="466">
        <v>8</v>
      </c>
      <c r="G14" s="466">
        <v>13</v>
      </c>
      <c r="H14" s="466"/>
      <c r="I14" s="466">
        <v>2</v>
      </c>
      <c r="J14" s="467">
        <v>17</v>
      </c>
      <c r="K14" s="466">
        <v>2</v>
      </c>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v>56791</v>
      </c>
      <c r="D16" s="466"/>
      <c r="E16" s="466"/>
      <c r="F16" s="466">
        <v>13000</v>
      </c>
      <c r="G16" s="466">
        <v>4650</v>
      </c>
      <c r="H16" s="466"/>
      <c r="I16" s="466"/>
      <c r="J16" s="467"/>
      <c r="K16" s="466"/>
    </row>
    <row r="17" spans="1:11" ht="12.75" customHeight="1" x14ac:dyDescent="0.2">
      <c r="A17" s="463" t="s">
        <v>839</v>
      </c>
      <c r="B17" s="470">
        <v>1290</v>
      </c>
      <c r="C17" s="551"/>
      <c r="D17" s="466">
        <v>1267</v>
      </c>
      <c r="E17" s="466"/>
      <c r="F17" s="466"/>
      <c r="G17" s="466"/>
      <c r="H17" s="466"/>
      <c r="I17" s="466"/>
      <c r="J17" s="467"/>
      <c r="K17" s="466"/>
    </row>
    <row r="18" spans="1:11" ht="12.75" customHeight="1" thickBot="1" x14ac:dyDescent="0.25">
      <c r="A18" s="1730" t="s">
        <v>557</v>
      </c>
      <c r="B18" s="1731"/>
      <c r="C18" s="1732">
        <f>SUM(C14:C17)</f>
        <v>56909</v>
      </c>
      <c r="D18" s="1732">
        <f t="shared" ref="D18:K18" si="1">SUM(D14:D17)</f>
        <v>1291</v>
      </c>
      <c r="E18" s="1732">
        <f t="shared" si="1"/>
        <v>13</v>
      </c>
      <c r="F18" s="1732">
        <f t="shared" si="1"/>
        <v>13008</v>
      </c>
      <c r="G18" s="1732">
        <f t="shared" si="1"/>
        <v>4663</v>
      </c>
      <c r="H18" s="1732">
        <f t="shared" si="1"/>
        <v>0</v>
      </c>
      <c r="I18" s="1732">
        <f t="shared" si="1"/>
        <v>2</v>
      </c>
      <c r="J18" s="1732">
        <f t="shared" si="1"/>
        <v>17</v>
      </c>
      <c r="K18" s="1733">
        <f t="shared" si="1"/>
        <v>2</v>
      </c>
    </row>
    <row r="19" spans="1:11" ht="15.75" customHeight="1" thickTop="1" x14ac:dyDescent="0.2">
      <c r="A19" s="1614" t="s">
        <v>471</v>
      </c>
      <c r="B19" s="1615">
        <v>1300</v>
      </c>
      <c r="C19" s="554"/>
      <c r="D19" s="554"/>
      <c r="E19" s="554"/>
      <c r="F19" s="554"/>
      <c r="G19" s="553"/>
      <c r="H19" s="554"/>
      <c r="I19" s="554"/>
      <c r="J19" s="554"/>
      <c r="K19" s="555"/>
    </row>
    <row r="20" spans="1:11" x14ac:dyDescent="0.2">
      <c r="A20" s="463" t="s">
        <v>1132</v>
      </c>
      <c r="B20" s="470">
        <v>1311</v>
      </c>
      <c r="C20" s="466"/>
      <c r="D20" s="468"/>
      <c r="E20" s="468"/>
      <c r="F20" s="468"/>
      <c r="G20" s="468"/>
      <c r="H20" s="468"/>
      <c r="I20" s="468"/>
      <c r="J20" s="468"/>
      <c r="K20" s="468"/>
    </row>
    <row r="21" spans="1:11" ht="12.75" customHeight="1" x14ac:dyDescent="0.2">
      <c r="A21" s="463" t="s">
        <v>886</v>
      </c>
      <c r="B21" s="470">
        <v>1312</v>
      </c>
      <c r="C21" s="551"/>
      <c r="D21" s="468"/>
      <c r="E21" s="468"/>
      <c r="F21" s="468"/>
      <c r="G21" s="468"/>
      <c r="H21" s="468"/>
      <c r="I21" s="468"/>
      <c r="J21" s="468"/>
      <c r="K21" s="468"/>
    </row>
    <row r="22" spans="1:11" ht="12.75" customHeight="1" x14ac:dyDescent="0.2">
      <c r="A22" s="463" t="s">
        <v>1133</v>
      </c>
      <c r="B22" s="470">
        <v>1313</v>
      </c>
      <c r="C22" s="551"/>
      <c r="D22" s="468"/>
      <c r="E22" s="468"/>
      <c r="F22" s="468"/>
      <c r="G22" s="468"/>
      <c r="H22" s="468"/>
      <c r="I22" s="468"/>
      <c r="J22" s="468"/>
      <c r="K22" s="468"/>
    </row>
    <row r="23" spans="1:11" ht="12.75" customHeight="1" x14ac:dyDescent="0.2">
      <c r="A23" s="463" t="s">
        <v>1134</v>
      </c>
      <c r="B23" s="470">
        <v>1314</v>
      </c>
      <c r="C23" s="489"/>
      <c r="D23" s="468"/>
      <c r="E23" s="468"/>
      <c r="F23" s="468"/>
      <c r="G23" s="468"/>
      <c r="H23" s="468"/>
      <c r="I23" s="468"/>
      <c r="J23" s="468"/>
      <c r="K23" s="468"/>
    </row>
    <row r="24" spans="1:11" ht="12.75" customHeight="1" x14ac:dyDescent="0.2">
      <c r="A24" s="463" t="s">
        <v>1084</v>
      </c>
      <c r="B24" s="470">
        <v>1321</v>
      </c>
      <c r="C24" s="551"/>
      <c r="D24" s="468"/>
      <c r="E24" s="468"/>
      <c r="F24" s="468"/>
      <c r="G24" s="468"/>
      <c r="H24" s="468"/>
      <c r="I24" s="468"/>
      <c r="J24" s="468"/>
      <c r="K24" s="468"/>
    </row>
    <row r="25" spans="1:11" ht="12.75" customHeight="1" x14ac:dyDescent="0.2">
      <c r="A25" s="463" t="s">
        <v>887</v>
      </c>
      <c r="B25" s="470">
        <v>1322</v>
      </c>
      <c r="C25" s="551"/>
      <c r="D25" s="468"/>
      <c r="E25" s="468"/>
      <c r="F25" s="468"/>
      <c r="G25" s="468"/>
      <c r="H25" s="468"/>
      <c r="I25" s="468"/>
      <c r="J25" s="468"/>
      <c r="K25" s="468"/>
    </row>
    <row r="26" spans="1:11" ht="12.75" customHeight="1" x14ac:dyDescent="0.2">
      <c r="A26" s="463" t="s">
        <v>1162</v>
      </c>
      <c r="B26" s="470">
        <v>1323</v>
      </c>
      <c r="C26" s="551"/>
      <c r="D26" s="468"/>
      <c r="E26" s="468"/>
      <c r="F26" s="468"/>
      <c r="G26" s="468"/>
      <c r="H26" s="468"/>
      <c r="I26" s="468"/>
      <c r="J26" s="468"/>
      <c r="K26" s="468"/>
    </row>
    <row r="27" spans="1:11" ht="12.75" customHeight="1" x14ac:dyDescent="0.2">
      <c r="A27" s="463" t="s">
        <v>1080</v>
      </c>
      <c r="B27" s="470">
        <v>1324</v>
      </c>
      <c r="C27" s="489"/>
      <c r="D27" s="468"/>
      <c r="E27" s="468"/>
      <c r="F27" s="468"/>
      <c r="G27" s="468"/>
      <c r="H27" s="468"/>
      <c r="I27" s="468"/>
      <c r="J27" s="468"/>
      <c r="K27" s="468"/>
    </row>
    <row r="28" spans="1:11" ht="12.75" customHeight="1" x14ac:dyDescent="0.2">
      <c r="A28" s="463" t="s">
        <v>1081</v>
      </c>
      <c r="B28" s="470">
        <v>1331</v>
      </c>
      <c r="C28" s="551"/>
      <c r="D28" s="468"/>
      <c r="E28" s="468"/>
      <c r="F28" s="468"/>
      <c r="G28" s="468"/>
      <c r="H28" s="468"/>
      <c r="I28" s="468"/>
      <c r="J28" s="468"/>
      <c r="K28" s="468"/>
    </row>
    <row r="29" spans="1:11" ht="12.75" customHeight="1" x14ac:dyDescent="0.2">
      <c r="A29" s="463" t="s">
        <v>888</v>
      </c>
      <c r="B29" s="470">
        <v>1332</v>
      </c>
      <c r="C29" s="551"/>
      <c r="D29" s="468"/>
      <c r="E29" s="468"/>
      <c r="F29" s="468"/>
      <c r="G29" s="468"/>
      <c r="H29" s="468"/>
      <c r="I29" s="468"/>
      <c r="J29" s="468"/>
      <c r="K29" s="468"/>
    </row>
    <row r="30" spans="1:11" ht="12.75" customHeight="1" x14ac:dyDescent="0.2">
      <c r="A30" s="463" t="s">
        <v>1083</v>
      </c>
      <c r="B30" s="470">
        <v>1333</v>
      </c>
      <c r="C30" s="551"/>
      <c r="D30" s="468"/>
      <c r="E30" s="468"/>
      <c r="F30" s="468"/>
      <c r="G30" s="468"/>
      <c r="H30" s="468"/>
      <c r="I30" s="468"/>
      <c r="J30" s="468"/>
      <c r="K30" s="468"/>
    </row>
    <row r="31" spans="1:11" ht="12.75" customHeight="1" x14ac:dyDescent="0.2">
      <c r="A31" s="463" t="s">
        <v>1082</v>
      </c>
      <c r="B31" s="470">
        <v>1334</v>
      </c>
      <c r="C31" s="489"/>
      <c r="D31" s="468"/>
      <c r="E31" s="468"/>
      <c r="F31" s="468"/>
      <c r="G31" s="468"/>
      <c r="H31" s="468"/>
      <c r="I31" s="468"/>
      <c r="J31" s="468"/>
      <c r="K31" s="468"/>
    </row>
    <row r="32" spans="1:11" ht="12.75" customHeight="1" x14ac:dyDescent="0.2">
      <c r="A32" s="463" t="s">
        <v>514</v>
      </c>
      <c r="B32" s="470">
        <v>1341</v>
      </c>
      <c r="C32" s="551"/>
      <c r="D32" s="468"/>
      <c r="E32" s="468"/>
      <c r="F32" s="468"/>
      <c r="G32" s="468"/>
      <c r="H32" s="468"/>
      <c r="I32" s="468"/>
      <c r="J32" s="468"/>
      <c r="K32" s="468"/>
    </row>
    <row r="33" spans="1:11" ht="12.75" customHeight="1" x14ac:dyDescent="0.2">
      <c r="A33" s="463" t="s">
        <v>889</v>
      </c>
      <c r="B33" s="470">
        <v>1342</v>
      </c>
      <c r="C33" s="551"/>
      <c r="D33" s="468"/>
      <c r="E33" s="468"/>
      <c r="F33" s="468"/>
      <c r="G33" s="468"/>
      <c r="H33" s="468"/>
      <c r="I33" s="468"/>
      <c r="J33" s="468"/>
      <c r="K33" s="468"/>
    </row>
    <row r="34" spans="1:11" ht="12.75" customHeight="1" x14ac:dyDescent="0.2">
      <c r="A34" s="463" t="s">
        <v>515</v>
      </c>
      <c r="B34" s="470">
        <v>1343</v>
      </c>
      <c r="C34" s="551"/>
      <c r="D34" s="468"/>
      <c r="E34" s="468"/>
      <c r="F34" s="468"/>
      <c r="G34" s="468"/>
      <c r="H34" s="468"/>
      <c r="I34" s="468"/>
      <c r="J34" s="468"/>
      <c r="K34" s="468"/>
    </row>
    <row r="35" spans="1:11" ht="12.75" customHeight="1" x14ac:dyDescent="0.2">
      <c r="A35" s="463" t="s">
        <v>513</v>
      </c>
      <c r="B35" s="470">
        <v>1344</v>
      </c>
      <c r="C35" s="489"/>
      <c r="D35" s="468"/>
      <c r="E35" s="468"/>
      <c r="F35" s="468"/>
      <c r="G35" s="468"/>
      <c r="H35" s="468"/>
      <c r="I35" s="468"/>
      <c r="J35" s="468"/>
      <c r="K35" s="468"/>
    </row>
    <row r="36" spans="1:11" ht="12.75" customHeight="1" x14ac:dyDescent="0.2">
      <c r="A36" s="463" t="s">
        <v>885</v>
      </c>
      <c r="B36" s="470">
        <v>1351</v>
      </c>
      <c r="C36" s="551"/>
      <c r="D36" s="468"/>
      <c r="E36" s="468"/>
      <c r="F36" s="468"/>
      <c r="G36" s="468"/>
      <c r="H36" s="468"/>
      <c r="I36" s="468"/>
      <c r="J36" s="468"/>
      <c r="K36" s="468"/>
    </row>
    <row r="37" spans="1:11" ht="12.75" customHeight="1" x14ac:dyDescent="0.2">
      <c r="A37" s="463" t="s">
        <v>890</v>
      </c>
      <c r="B37" s="470">
        <v>1352</v>
      </c>
      <c r="C37" s="551"/>
      <c r="D37" s="468"/>
      <c r="E37" s="468"/>
      <c r="F37" s="468"/>
      <c r="G37" s="468"/>
      <c r="H37" s="468"/>
      <c r="I37" s="468"/>
      <c r="J37" s="468"/>
      <c r="K37" s="468"/>
    </row>
    <row r="38" spans="1:11" ht="12.75" customHeight="1" x14ac:dyDescent="0.2">
      <c r="A38" s="463" t="s">
        <v>613</v>
      </c>
      <c r="B38" s="470">
        <v>1353</v>
      </c>
      <c r="C38" s="551"/>
      <c r="D38" s="468"/>
      <c r="E38" s="468"/>
      <c r="F38" s="468"/>
      <c r="G38" s="468"/>
      <c r="H38" s="468"/>
      <c r="I38" s="468"/>
      <c r="J38" s="468"/>
      <c r="K38" s="468"/>
    </row>
    <row r="39" spans="1:11" ht="12.75" customHeight="1" x14ac:dyDescent="0.2">
      <c r="A39" s="1517" t="s">
        <v>614</v>
      </c>
      <c r="B39" s="556">
        <v>1354</v>
      </c>
      <c r="C39" s="489"/>
      <c r="D39" s="468"/>
      <c r="E39" s="468"/>
      <c r="F39" s="468"/>
      <c r="G39" s="468"/>
      <c r="H39" s="468"/>
      <c r="I39" s="468"/>
      <c r="J39" s="468"/>
      <c r="K39" s="468"/>
    </row>
    <row r="40" spans="1:11" ht="12.75" customHeight="1" thickBot="1" x14ac:dyDescent="0.25">
      <c r="A40" s="1730" t="s">
        <v>558</v>
      </c>
      <c r="B40" s="1731"/>
      <c r="C40" s="1710">
        <f>SUM(C20:C39)</f>
        <v>0</v>
      </c>
      <c r="D40" s="468"/>
      <c r="E40" s="468"/>
      <c r="F40" s="468"/>
      <c r="G40" s="468"/>
      <c r="H40" s="468"/>
      <c r="I40" s="468"/>
      <c r="J40" s="468"/>
      <c r="K40" s="468"/>
    </row>
    <row r="41" spans="1:11" ht="15.75" customHeight="1" thickTop="1" x14ac:dyDescent="0.2">
      <c r="A41" s="1614" t="s">
        <v>291</v>
      </c>
      <c r="B41" s="1615">
        <v>1400</v>
      </c>
      <c r="C41" s="468"/>
      <c r="D41" s="468"/>
      <c r="E41" s="468"/>
      <c r="F41" s="521"/>
      <c r="G41" s="468"/>
      <c r="H41" s="468"/>
      <c r="I41" s="468"/>
      <c r="J41" s="468"/>
      <c r="K41" s="468"/>
    </row>
    <row r="42" spans="1:11" ht="12.75" customHeight="1" x14ac:dyDescent="0.2">
      <c r="A42" s="463" t="s">
        <v>1135</v>
      </c>
      <c r="B42" s="470">
        <v>1411</v>
      </c>
      <c r="C42" s="468"/>
      <c r="D42" s="468"/>
      <c r="E42" s="468"/>
      <c r="F42" s="481"/>
      <c r="G42" s="468"/>
      <c r="H42" s="468"/>
      <c r="I42" s="468"/>
      <c r="J42" s="468"/>
      <c r="K42" s="468"/>
    </row>
    <row r="43" spans="1:11" ht="12.75" customHeight="1" x14ac:dyDescent="0.2">
      <c r="A43" s="463" t="s">
        <v>891</v>
      </c>
      <c r="B43" s="470">
        <v>1412</v>
      </c>
      <c r="C43" s="468"/>
      <c r="D43" s="468"/>
      <c r="E43" s="468"/>
      <c r="F43" s="466"/>
      <c r="G43" s="468"/>
      <c r="H43" s="468"/>
      <c r="I43" s="468"/>
      <c r="J43" s="468"/>
      <c r="K43" s="468"/>
    </row>
    <row r="44" spans="1:11" ht="12.75" customHeight="1" x14ac:dyDescent="0.2">
      <c r="A44" s="463" t="s">
        <v>401</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1235</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892</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1167</v>
      </c>
      <c r="B52" s="557">
        <v>1432</v>
      </c>
      <c r="C52" s="468"/>
      <c r="D52" s="468"/>
      <c r="E52" s="468"/>
      <c r="F52" s="466">
        <v>2512</v>
      </c>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1168</v>
      </c>
      <c r="B56" s="557">
        <v>1442</v>
      </c>
      <c r="C56" s="468"/>
      <c r="D56" s="468"/>
      <c r="E56" s="468"/>
      <c r="F56" s="466"/>
      <c r="G56" s="468"/>
      <c r="H56" s="468"/>
      <c r="I56" s="468"/>
      <c r="J56" s="468"/>
      <c r="K56" s="468"/>
    </row>
    <row r="57" spans="1:11" ht="12.75" customHeight="1" x14ac:dyDescent="0.2">
      <c r="A57" s="1518" t="s">
        <v>509</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932</v>
      </c>
      <c r="B59" s="557">
        <v>1451</v>
      </c>
      <c r="C59" s="468"/>
      <c r="D59" s="468"/>
      <c r="E59" s="468"/>
      <c r="F59" s="466"/>
      <c r="G59" s="468"/>
      <c r="H59" s="468"/>
      <c r="I59" s="468"/>
      <c r="J59" s="468"/>
      <c r="K59" s="468"/>
    </row>
    <row r="60" spans="1:11" ht="12.75" customHeight="1" x14ac:dyDescent="0.2">
      <c r="A60" s="1518" t="s">
        <v>1169</v>
      </c>
      <c r="B60" s="557">
        <v>1452</v>
      </c>
      <c r="C60" s="468"/>
      <c r="D60" s="468"/>
      <c r="E60" s="468"/>
      <c r="F60" s="466"/>
      <c r="G60" s="468"/>
      <c r="H60" s="468"/>
      <c r="I60" s="468"/>
      <c r="J60" s="468"/>
      <c r="K60" s="468"/>
    </row>
    <row r="61" spans="1:11" ht="12.75" customHeight="1" x14ac:dyDescent="0.2">
      <c r="A61" s="563" t="s">
        <v>933</v>
      </c>
      <c r="B61" s="557">
        <v>1453</v>
      </c>
      <c r="C61" s="468"/>
      <c r="D61" s="468"/>
      <c r="E61" s="468"/>
      <c r="F61" s="466"/>
      <c r="G61" s="468"/>
      <c r="H61" s="468"/>
      <c r="I61" s="468"/>
      <c r="J61" s="468"/>
      <c r="K61" s="468"/>
    </row>
    <row r="62" spans="1:11" ht="12.75" customHeight="1" x14ac:dyDescent="0.2">
      <c r="A62" s="1519" t="s">
        <v>934</v>
      </c>
      <c r="B62" s="558">
        <v>1454</v>
      </c>
      <c r="C62" s="468"/>
      <c r="D62" s="468"/>
      <c r="E62" s="468"/>
      <c r="F62" s="467"/>
      <c r="G62" s="468"/>
      <c r="H62" s="468"/>
      <c r="I62" s="468"/>
      <c r="J62" s="468"/>
      <c r="K62" s="468"/>
    </row>
    <row r="63" spans="1:11" ht="12.75" customHeight="1" thickBot="1" x14ac:dyDescent="0.25">
      <c r="A63" s="1730" t="s">
        <v>505</v>
      </c>
      <c r="B63" s="1731"/>
      <c r="C63" s="468"/>
      <c r="D63" s="468"/>
      <c r="E63" s="468"/>
      <c r="F63" s="1710">
        <f>SUM(F42:F62)</f>
        <v>2512</v>
      </c>
      <c r="G63" s="468"/>
      <c r="H63" s="468"/>
      <c r="I63" s="468"/>
      <c r="J63" s="468"/>
      <c r="K63" s="468"/>
    </row>
    <row r="64" spans="1:11" ht="15.75" customHeight="1" thickTop="1" x14ac:dyDescent="0.2">
      <c r="A64" s="1614" t="s">
        <v>473</v>
      </c>
      <c r="B64" s="1615">
        <v>1500</v>
      </c>
      <c r="C64" s="468"/>
      <c r="D64" s="468"/>
      <c r="E64" s="468"/>
      <c r="F64" s="468"/>
      <c r="G64" s="468"/>
      <c r="H64" s="468"/>
      <c r="I64" s="468"/>
      <c r="J64" s="468"/>
      <c r="K64" s="468"/>
    </row>
    <row r="65" spans="1:11" ht="12.75" customHeight="1" x14ac:dyDescent="0.2">
      <c r="A65" s="463" t="s">
        <v>567</v>
      </c>
      <c r="B65" s="470">
        <v>1510</v>
      </c>
      <c r="C65" s="466">
        <v>6040</v>
      </c>
      <c r="D65" s="466">
        <v>3443</v>
      </c>
      <c r="E65" s="466">
        <v>340</v>
      </c>
      <c r="F65" s="467">
        <v>15</v>
      </c>
      <c r="G65" s="466">
        <v>325</v>
      </c>
      <c r="H65" s="466"/>
      <c r="I65" s="466">
        <v>113</v>
      </c>
      <c r="J65" s="467">
        <v>424</v>
      </c>
      <c r="K65" s="466">
        <v>159</v>
      </c>
    </row>
    <row r="66" spans="1:11" ht="12.75" customHeight="1" x14ac:dyDescent="0.2">
      <c r="A66" s="463" t="s">
        <v>699</v>
      </c>
      <c r="B66" s="470">
        <v>1520</v>
      </c>
      <c r="C66" s="466"/>
      <c r="D66" s="466"/>
      <c r="E66" s="466"/>
      <c r="F66" s="466"/>
      <c r="G66" s="466"/>
      <c r="H66" s="466"/>
      <c r="I66" s="466"/>
      <c r="J66" s="467"/>
      <c r="K66" s="466"/>
    </row>
    <row r="67" spans="1:11" ht="12.75" customHeight="1" thickBot="1" x14ac:dyDescent="0.25">
      <c r="A67" s="1730" t="s">
        <v>506</v>
      </c>
      <c r="B67" s="1731"/>
      <c r="C67" s="1710">
        <f>SUM(C65:C66)</f>
        <v>6040</v>
      </c>
      <c r="D67" s="1710">
        <f t="shared" ref="D67:K67" si="2">SUM(D65:D66)</f>
        <v>3443</v>
      </c>
      <c r="E67" s="1710">
        <f t="shared" si="2"/>
        <v>340</v>
      </c>
      <c r="F67" s="1710">
        <f t="shared" si="2"/>
        <v>15</v>
      </c>
      <c r="G67" s="1710">
        <f t="shared" si="2"/>
        <v>325</v>
      </c>
      <c r="H67" s="1710">
        <f t="shared" si="2"/>
        <v>0</v>
      </c>
      <c r="I67" s="1710">
        <f t="shared" si="2"/>
        <v>113</v>
      </c>
      <c r="J67" s="1710">
        <f t="shared" si="2"/>
        <v>424</v>
      </c>
      <c r="K67" s="1710">
        <f t="shared" si="2"/>
        <v>159</v>
      </c>
    </row>
    <row r="68" spans="1:11" ht="15.75" customHeight="1" thickTop="1" x14ac:dyDescent="0.2">
      <c r="A68" s="1614" t="s">
        <v>474</v>
      </c>
      <c r="B68" s="1616">
        <v>1600</v>
      </c>
      <c r="C68" s="553"/>
      <c r="D68" s="468"/>
      <c r="E68" s="468"/>
      <c r="F68" s="468"/>
      <c r="G68" s="468"/>
      <c r="H68" s="468"/>
      <c r="I68" s="468"/>
      <c r="J68" s="468"/>
      <c r="K68" s="468"/>
    </row>
    <row r="69" spans="1:11" ht="12.75" customHeight="1" x14ac:dyDescent="0.2">
      <c r="A69" s="463" t="s">
        <v>686</v>
      </c>
      <c r="B69" s="470">
        <v>1611</v>
      </c>
      <c r="C69" s="466">
        <v>34346</v>
      </c>
      <c r="D69" s="468"/>
      <c r="E69" s="468"/>
      <c r="F69" s="468"/>
      <c r="G69" s="468"/>
      <c r="H69" s="468"/>
      <c r="I69" s="468"/>
      <c r="J69" s="468"/>
      <c r="K69" s="468"/>
    </row>
    <row r="70" spans="1:11" ht="12.75" customHeight="1" x14ac:dyDescent="0.2">
      <c r="A70" s="463" t="s">
        <v>1053</v>
      </c>
      <c r="B70" s="470">
        <v>1612</v>
      </c>
      <c r="C70" s="551">
        <v>1804</v>
      </c>
      <c r="D70" s="468"/>
      <c r="E70" s="468"/>
      <c r="F70" s="468"/>
      <c r="G70" s="468"/>
      <c r="H70" s="468"/>
      <c r="I70" s="468"/>
      <c r="J70" s="468"/>
      <c r="K70" s="468"/>
    </row>
    <row r="71" spans="1:11" ht="12.75" customHeight="1" x14ac:dyDescent="0.2">
      <c r="A71" s="463" t="s">
        <v>290</v>
      </c>
      <c r="B71" s="470">
        <v>1613</v>
      </c>
      <c r="C71" s="551">
        <v>1524</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1054</v>
      </c>
      <c r="B73" s="470">
        <v>1620</v>
      </c>
      <c r="C73" s="551">
        <v>768</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568</v>
      </c>
      <c r="B75" s="1731"/>
      <c r="C75" s="1710">
        <f>SUM(C69:C74)</f>
        <v>38442</v>
      </c>
      <c r="D75" s="468"/>
      <c r="E75" s="468"/>
      <c r="F75" s="468"/>
      <c r="G75" s="468"/>
      <c r="H75" s="468"/>
      <c r="I75" s="468"/>
      <c r="J75" s="468"/>
      <c r="K75" s="468"/>
    </row>
    <row r="76" spans="1:11" ht="15.75" customHeight="1" thickTop="1" x14ac:dyDescent="0.2">
      <c r="A76" s="1614" t="s">
        <v>935</v>
      </c>
      <c r="B76" s="1616">
        <v>1700</v>
      </c>
      <c r="C76" s="553"/>
      <c r="D76" s="468"/>
      <c r="E76" s="468"/>
      <c r="F76" s="468"/>
      <c r="G76" s="468"/>
      <c r="H76" s="468"/>
      <c r="I76" s="468"/>
      <c r="J76" s="468"/>
      <c r="K76" s="468"/>
    </row>
    <row r="77" spans="1:11" ht="12.75" customHeight="1" x14ac:dyDescent="0.2">
      <c r="A77" s="463" t="s">
        <v>569</v>
      </c>
      <c r="B77" s="470">
        <v>1711</v>
      </c>
      <c r="C77" s="516">
        <v>12532</v>
      </c>
      <c r="D77" s="466"/>
      <c r="E77" s="468"/>
      <c r="F77" s="468"/>
      <c r="G77" s="468"/>
      <c r="H77" s="468"/>
      <c r="I77" s="468"/>
      <c r="J77" s="468"/>
      <c r="K77" s="468"/>
    </row>
    <row r="78" spans="1:11" ht="12.75" customHeight="1" x14ac:dyDescent="0.2">
      <c r="A78" s="463" t="s">
        <v>78</v>
      </c>
      <c r="B78" s="470">
        <v>1719</v>
      </c>
      <c r="C78" s="551">
        <v>916</v>
      </c>
      <c r="D78" s="466"/>
      <c r="E78" s="468"/>
      <c r="F78" s="468"/>
      <c r="G78" s="468"/>
      <c r="H78" s="468"/>
      <c r="I78" s="468"/>
      <c r="J78" s="468"/>
      <c r="K78" s="468"/>
    </row>
    <row r="79" spans="1:11" ht="12.75" customHeight="1" x14ac:dyDescent="0.2">
      <c r="A79" s="463" t="s">
        <v>570</v>
      </c>
      <c r="B79" s="470">
        <v>1720</v>
      </c>
      <c r="C79" s="551"/>
      <c r="D79" s="466"/>
      <c r="E79" s="468"/>
      <c r="F79" s="468"/>
      <c r="G79" s="468"/>
      <c r="H79" s="468"/>
      <c r="I79" s="468"/>
      <c r="J79" s="468"/>
      <c r="K79" s="468"/>
    </row>
    <row r="80" spans="1:11" ht="12.75" customHeight="1" x14ac:dyDescent="0.2">
      <c r="A80" s="463" t="s">
        <v>571</v>
      </c>
      <c r="B80" s="470">
        <v>1730</v>
      </c>
      <c r="C80" s="551"/>
      <c r="D80" s="466"/>
      <c r="E80" s="468"/>
      <c r="F80" s="468"/>
      <c r="G80" s="468"/>
      <c r="H80" s="468"/>
      <c r="I80" s="468"/>
      <c r="J80" s="468"/>
      <c r="K80" s="468"/>
    </row>
    <row r="81" spans="1:11" ht="12.75" customHeight="1" x14ac:dyDescent="0.2">
      <c r="A81" s="463" t="s">
        <v>26</v>
      </c>
      <c r="B81" s="470">
        <v>1790</v>
      </c>
      <c r="C81" s="551">
        <v>1321</v>
      </c>
      <c r="D81" s="466"/>
      <c r="E81" s="468"/>
      <c r="F81" s="468"/>
      <c r="G81" s="468"/>
      <c r="H81" s="468"/>
      <c r="I81" s="468"/>
      <c r="J81" s="468"/>
      <c r="K81" s="468"/>
    </row>
    <row r="82" spans="1:11" ht="12.75" customHeight="1" thickBot="1" x14ac:dyDescent="0.25">
      <c r="A82" s="1730" t="s">
        <v>259</v>
      </c>
      <c r="B82" s="1731"/>
      <c r="C82" s="1729">
        <f>SUM(C77:C81)</f>
        <v>14769</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572</v>
      </c>
      <c r="B84" s="470">
        <v>1811</v>
      </c>
      <c r="C84" s="466">
        <v>6517</v>
      </c>
      <c r="D84" s="468"/>
      <c r="E84" s="468"/>
      <c r="F84" s="468"/>
      <c r="G84" s="468"/>
      <c r="H84" s="468"/>
      <c r="I84" s="468"/>
      <c r="J84" s="468"/>
      <c r="K84" s="468"/>
    </row>
    <row r="85" spans="1:11" ht="12.75" customHeight="1" x14ac:dyDescent="0.2">
      <c r="A85" s="463" t="s">
        <v>573</v>
      </c>
      <c r="B85" s="470">
        <v>1812</v>
      </c>
      <c r="C85" s="551"/>
      <c r="D85" s="468"/>
      <c r="E85" s="468"/>
      <c r="F85" s="468"/>
      <c r="G85" s="468"/>
      <c r="H85" s="468"/>
      <c r="I85" s="468"/>
      <c r="J85" s="468"/>
      <c r="K85" s="468"/>
    </row>
    <row r="86" spans="1:11" ht="12.75" customHeight="1" x14ac:dyDescent="0.2">
      <c r="A86" s="463" t="s">
        <v>1055</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574</v>
      </c>
      <c r="B88" s="470">
        <v>1821</v>
      </c>
      <c r="C88" s="551"/>
      <c r="D88" s="468"/>
      <c r="E88" s="468"/>
      <c r="F88" s="468"/>
      <c r="G88" s="468"/>
      <c r="H88" s="468"/>
      <c r="I88" s="468"/>
      <c r="J88" s="468"/>
      <c r="K88" s="468"/>
    </row>
    <row r="89" spans="1:11" ht="12.75" customHeight="1" x14ac:dyDescent="0.2">
      <c r="A89" s="463" t="s">
        <v>737</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785</v>
      </c>
      <c r="B92" s="470">
        <v>1890</v>
      </c>
      <c r="C92" s="551"/>
      <c r="D92" s="468"/>
      <c r="E92" s="468"/>
      <c r="F92" s="468"/>
      <c r="G92" s="468"/>
      <c r="H92" s="468"/>
      <c r="I92" s="468"/>
      <c r="J92" s="468"/>
      <c r="K92" s="468"/>
    </row>
    <row r="93" spans="1:11" ht="12.75" customHeight="1" thickBot="1" x14ac:dyDescent="0.25">
      <c r="A93" s="1730" t="s">
        <v>261</v>
      </c>
      <c r="B93" s="1731"/>
      <c r="C93" s="1710">
        <f>SUM(C84:C92)</f>
        <v>6517</v>
      </c>
      <c r="D93" s="468"/>
      <c r="E93" s="468"/>
      <c r="F93" s="468"/>
      <c r="G93" s="468"/>
      <c r="H93" s="468"/>
      <c r="I93" s="468"/>
      <c r="J93" s="468"/>
      <c r="K93" s="468"/>
    </row>
    <row r="94" spans="1:11" ht="15.75" customHeight="1" thickTop="1" x14ac:dyDescent="0.2">
      <c r="A94" s="1614" t="s">
        <v>1198</v>
      </c>
      <c r="B94" s="1616">
        <v>1900</v>
      </c>
      <c r="C94" s="553"/>
      <c r="D94" s="521"/>
      <c r="E94" s="468"/>
      <c r="F94" s="468"/>
      <c r="G94" s="468"/>
      <c r="H94" s="468"/>
      <c r="I94" s="468"/>
      <c r="J94" s="468"/>
      <c r="K94" s="468"/>
    </row>
    <row r="95" spans="1:11" ht="12.75" customHeight="1" x14ac:dyDescent="0.2">
      <c r="A95" s="463" t="s">
        <v>1123</v>
      </c>
      <c r="B95" s="470">
        <v>1910</v>
      </c>
      <c r="C95" s="466"/>
      <c r="D95" s="551">
        <v>640</v>
      </c>
      <c r="E95" s="521"/>
      <c r="F95" s="521"/>
      <c r="G95" s="521"/>
      <c r="H95" s="521"/>
      <c r="I95" s="521"/>
      <c r="J95" s="521"/>
      <c r="K95" s="521"/>
    </row>
    <row r="96" spans="1:11" ht="12.75" customHeight="1" x14ac:dyDescent="0.2">
      <c r="A96" s="463" t="s">
        <v>408</v>
      </c>
      <c r="B96" s="470">
        <v>1920</v>
      </c>
      <c r="C96" s="551">
        <v>10</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v>9108</v>
      </c>
      <c r="D98" s="466"/>
      <c r="E98" s="512"/>
      <c r="F98" s="466"/>
      <c r="G98" s="512"/>
      <c r="H98" s="512"/>
      <c r="I98" s="510"/>
      <c r="J98" s="512"/>
      <c r="K98" s="512"/>
    </row>
    <row r="99" spans="1:12" ht="12.75" customHeight="1" x14ac:dyDescent="0.2">
      <c r="A99" s="463" t="s">
        <v>874</v>
      </c>
      <c r="B99" s="470">
        <v>1950</v>
      </c>
      <c r="C99" s="489"/>
      <c r="D99" s="466"/>
      <c r="E99" s="466"/>
      <c r="F99" s="466">
        <v>705</v>
      </c>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918</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362</v>
      </c>
      <c r="B103" s="470">
        <v>1983</v>
      </c>
      <c r="C103" s="468"/>
      <c r="D103" s="468"/>
      <c r="E103" s="560"/>
      <c r="F103" s="468"/>
      <c r="G103" s="468"/>
      <c r="H103" s="489"/>
      <c r="I103" s="468"/>
      <c r="J103" s="510"/>
      <c r="K103" s="510"/>
    </row>
    <row r="104" spans="1:12" ht="12.75" customHeight="1" x14ac:dyDescent="0.2">
      <c r="A104" s="463" t="s">
        <v>884</v>
      </c>
      <c r="B104" s="470">
        <v>1991</v>
      </c>
      <c r="C104" s="489">
        <v>10782</v>
      </c>
      <c r="D104" s="466"/>
      <c r="E104" s="481"/>
      <c r="F104" s="467"/>
      <c r="G104" s="467"/>
      <c r="H104" s="466"/>
      <c r="I104" s="468"/>
      <c r="J104" s="468"/>
      <c r="K104" s="468"/>
    </row>
    <row r="105" spans="1:12" ht="12.75" customHeight="1" x14ac:dyDescent="0.2">
      <c r="A105" s="463" t="s">
        <v>875</v>
      </c>
      <c r="B105" s="470">
        <v>1992</v>
      </c>
      <c r="C105" s="466"/>
      <c r="D105" s="561"/>
      <c r="E105" s="468"/>
      <c r="F105" s="468"/>
      <c r="G105" s="468"/>
      <c r="H105" s="510"/>
      <c r="I105" s="468"/>
      <c r="J105" s="468"/>
      <c r="K105" s="468"/>
    </row>
    <row r="106" spans="1:12" ht="12.75" customHeight="1" x14ac:dyDescent="0.2">
      <c r="A106" s="463" t="s">
        <v>1504</v>
      </c>
      <c r="B106" s="470">
        <v>1993</v>
      </c>
      <c r="C106" s="466"/>
      <c r="D106" s="489"/>
      <c r="E106" s="467"/>
      <c r="F106" s="467"/>
      <c r="G106" s="467"/>
      <c r="H106" s="467"/>
      <c r="I106" s="521"/>
      <c r="J106" s="467"/>
      <c r="K106" s="467"/>
    </row>
    <row r="107" spans="1:12" ht="12.75" customHeight="1" x14ac:dyDescent="0.2">
      <c r="A107" s="463" t="s">
        <v>80</v>
      </c>
      <c r="B107" s="470">
        <v>1999</v>
      </c>
      <c r="C107" s="551">
        <v>6190</v>
      </c>
      <c r="D107" s="466">
        <v>8115</v>
      </c>
      <c r="E107" s="466"/>
      <c r="F107" s="466"/>
      <c r="G107" s="466"/>
      <c r="H107" s="466"/>
      <c r="I107" s="466"/>
      <c r="J107" s="467"/>
      <c r="K107" s="466"/>
    </row>
    <row r="108" spans="1:12" ht="12.75" customHeight="1" thickBot="1" x14ac:dyDescent="0.25">
      <c r="A108" s="1730" t="s">
        <v>507</v>
      </c>
      <c r="B108" s="1734"/>
      <c r="C108" s="1729">
        <f>SUM(C95:C107)</f>
        <v>27008</v>
      </c>
      <c r="D108" s="1729">
        <f t="shared" ref="D108:K108" si="3">SUM(D95:D107)</f>
        <v>8755</v>
      </c>
      <c r="E108" s="1729">
        <f t="shared" si="3"/>
        <v>0</v>
      </c>
      <c r="F108" s="1729">
        <f t="shared" si="3"/>
        <v>705</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590</v>
      </c>
      <c r="C109" s="1737">
        <f t="shared" ref="C109:K109" si="4">SUM(C12,C18,C40,C63,C67,C75,C82,C93,C108,)</f>
        <v>1567637</v>
      </c>
      <c r="D109" s="1737">
        <f t="shared" si="4"/>
        <v>306283</v>
      </c>
      <c r="E109" s="1737">
        <f t="shared" si="4"/>
        <v>151667</v>
      </c>
      <c r="F109" s="1737">
        <f t="shared" si="4"/>
        <v>99894</v>
      </c>
      <c r="G109" s="1737">
        <f t="shared" si="4"/>
        <v>164274</v>
      </c>
      <c r="H109" s="1737">
        <f t="shared" si="4"/>
        <v>0</v>
      </c>
      <c r="I109" s="1737">
        <f t="shared" si="4"/>
        <v>21024</v>
      </c>
      <c r="J109" s="1737">
        <f t="shared" si="4"/>
        <v>246336</v>
      </c>
      <c r="K109" s="1724">
        <f t="shared" si="4"/>
        <v>21070</v>
      </c>
    </row>
    <row r="110" spans="1:12" ht="30" customHeight="1" thickTop="1" x14ac:dyDescent="0.2">
      <c r="A110" s="1607" t="s">
        <v>363</v>
      </c>
      <c r="B110" s="1608"/>
      <c r="C110" s="1593"/>
      <c r="D110" s="1593"/>
      <c r="E110" s="1593"/>
      <c r="F110" s="1593"/>
      <c r="G110" s="1593"/>
      <c r="H110" s="1593"/>
      <c r="I110" s="1593"/>
      <c r="J110" s="1593"/>
      <c r="K110" s="1594"/>
    </row>
    <row r="111" spans="1:12" ht="12.75" customHeight="1" x14ac:dyDescent="0.2">
      <c r="A111" s="493" t="s">
        <v>876</v>
      </c>
      <c r="B111" s="491">
        <v>2100</v>
      </c>
      <c r="C111" s="516"/>
      <c r="D111" s="481"/>
      <c r="E111" s="561"/>
      <c r="F111" s="481"/>
      <c r="G111" s="481"/>
      <c r="H111" s="561"/>
      <c r="I111" s="468"/>
      <c r="J111" s="468"/>
      <c r="K111" s="468"/>
    </row>
    <row r="112" spans="1:12" ht="12.75" customHeight="1" x14ac:dyDescent="0.2">
      <c r="A112" s="463" t="s">
        <v>877</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838</v>
      </c>
      <c r="B114" s="1739" t="s">
        <v>589</v>
      </c>
      <c r="C114" s="1740">
        <f>SUM(C111:C113)</f>
        <v>0</v>
      </c>
      <c r="D114" s="1740">
        <f>SUM(D111:D113)</f>
        <v>0</v>
      </c>
      <c r="E114" s="561" t="s">
        <v>1230</v>
      </c>
      <c r="F114" s="1740">
        <f>SUM(F111:F113)</f>
        <v>0</v>
      </c>
      <c r="G114" s="1740">
        <f>SUM(G111:G113)</f>
        <v>0</v>
      </c>
      <c r="H114" s="561"/>
      <c r="I114" s="468"/>
      <c r="J114" s="468"/>
      <c r="K114" s="468"/>
    </row>
    <row r="115" spans="1:11" ht="16.7" customHeight="1" thickTop="1" x14ac:dyDescent="0.2">
      <c r="A115" s="1609" t="s">
        <v>835</v>
      </c>
      <c r="B115" s="1610"/>
      <c r="C115" s="1592"/>
      <c r="D115" s="1593"/>
      <c r="E115" s="1593"/>
      <c r="F115" s="1593"/>
      <c r="G115" s="1593"/>
      <c r="H115" s="1593"/>
      <c r="I115" s="1593"/>
      <c r="J115" s="1593"/>
      <c r="K115" s="1594"/>
    </row>
    <row r="116" spans="1:11" ht="18" customHeight="1" x14ac:dyDescent="0.2">
      <c r="A116" s="1617" t="s">
        <v>1570</v>
      </c>
      <c r="B116" s="1618"/>
      <c r="C116" s="522"/>
      <c r="D116" s="521"/>
      <c r="E116" s="561"/>
      <c r="F116" s="521"/>
      <c r="G116" s="521"/>
      <c r="H116" s="561"/>
      <c r="I116" s="468"/>
      <c r="J116" s="521"/>
      <c r="K116" s="521"/>
    </row>
    <row r="117" spans="1:11" ht="12.75" customHeight="1" x14ac:dyDescent="0.2">
      <c r="A117" s="463" t="s">
        <v>1765</v>
      </c>
      <c r="B117" s="562">
        <v>3001</v>
      </c>
      <c r="C117" s="516">
        <v>563103</v>
      </c>
      <c r="D117" s="481"/>
      <c r="E117" s="466"/>
      <c r="F117" s="481"/>
      <c r="G117" s="481"/>
      <c r="H117" s="466"/>
      <c r="I117" s="468"/>
      <c r="J117" s="467"/>
      <c r="K117" s="466"/>
    </row>
    <row r="118" spans="1:11" ht="12.75" customHeight="1" x14ac:dyDescent="0.2">
      <c r="A118" s="463" t="s">
        <v>1901</v>
      </c>
      <c r="B118" s="562">
        <v>3002</v>
      </c>
      <c r="C118" s="551"/>
      <c r="D118" s="466"/>
      <c r="E118" s="466"/>
      <c r="F118" s="466"/>
      <c r="G118" s="466"/>
      <c r="H118" s="466"/>
      <c r="I118" s="468"/>
      <c r="J118" s="467"/>
      <c r="K118" s="466"/>
    </row>
    <row r="119" spans="1:11" ht="12.75" customHeight="1" x14ac:dyDescent="0.2">
      <c r="A119" s="463" t="s">
        <v>1902</v>
      </c>
      <c r="B119" s="562">
        <v>3005</v>
      </c>
      <c r="C119" s="551"/>
      <c r="D119" s="466"/>
      <c r="E119" s="466"/>
      <c r="F119" s="466"/>
      <c r="G119" s="466"/>
      <c r="H119" s="466"/>
      <c r="I119" s="468"/>
      <c r="J119" s="467"/>
      <c r="K119" s="466"/>
    </row>
    <row r="120" spans="1:11" x14ac:dyDescent="0.2">
      <c r="A120" s="1518" t="s">
        <v>1903</v>
      </c>
      <c r="B120" s="564">
        <v>3099</v>
      </c>
      <c r="C120" s="551"/>
      <c r="D120" s="466"/>
      <c r="E120" s="466"/>
      <c r="F120" s="466"/>
      <c r="G120" s="466"/>
      <c r="H120" s="466"/>
      <c r="I120" s="468"/>
      <c r="J120" s="467"/>
      <c r="K120" s="466"/>
    </row>
    <row r="121" spans="1:11" ht="12.6" customHeight="1" thickBot="1" x14ac:dyDescent="0.25">
      <c r="A121" s="1730" t="s">
        <v>508</v>
      </c>
      <c r="B121" s="1741"/>
      <c r="C121" s="1729">
        <f t="shared" ref="C121:H121" si="5">SUM(C117:C120)</f>
        <v>563103</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1569</v>
      </c>
      <c r="B122" s="1619"/>
      <c r="C122" s="565"/>
      <c r="D122" s="509"/>
      <c r="E122" s="468"/>
      <c r="F122" s="566"/>
      <c r="G122" s="468"/>
      <c r="H122" s="468"/>
      <c r="I122" s="468"/>
      <c r="J122" s="468"/>
      <c r="K122" s="468"/>
    </row>
    <row r="123" spans="1:11" ht="15" customHeight="1" x14ac:dyDescent="0.2">
      <c r="A123" s="1620" t="s">
        <v>687</v>
      </c>
      <c r="B123" s="1621"/>
      <c r="C123" s="521"/>
      <c r="D123" s="509"/>
      <c r="E123" s="468"/>
      <c r="F123" s="521"/>
      <c r="G123" s="468"/>
      <c r="H123" s="468"/>
      <c r="I123" s="468"/>
      <c r="J123" s="468"/>
      <c r="K123" s="468"/>
    </row>
    <row r="124" spans="1:11" ht="12.75" customHeight="1" x14ac:dyDescent="0.2">
      <c r="A124" s="463" t="s">
        <v>920</v>
      </c>
      <c r="B124" s="567">
        <v>3100</v>
      </c>
      <c r="C124" s="481"/>
      <c r="D124" s="561"/>
      <c r="E124" s="468"/>
      <c r="F124" s="548"/>
      <c r="G124" s="468"/>
      <c r="H124" s="468"/>
      <c r="I124" s="468"/>
      <c r="J124" s="468"/>
      <c r="K124" s="468"/>
    </row>
    <row r="125" spans="1:11" ht="12.75" customHeight="1" x14ac:dyDescent="0.2">
      <c r="A125" s="463" t="s">
        <v>1520</v>
      </c>
      <c r="B125" s="562">
        <v>3105</v>
      </c>
      <c r="C125" s="466">
        <v>17382</v>
      </c>
      <c r="D125" s="561"/>
      <c r="E125" s="468"/>
      <c r="F125" s="466"/>
      <c r="G125" s="468"/>
      <c r="H125" s="468"/>
      <c r="I125" s="468"/>
      <c r="J125" s="468"/>
      <c r="K125" s="468"/>
    </row>
    <row r="126" spans="1:11" ht="12.75" customHeight="1" x14ac:dyDescent="0.2">
      <c r="A126" s="463" t="s">
        <v>921</v>
      </c>
      <c r="B126" s="562">
        <v>3110</v>
      </c>
      <c r="C126" s="551">
        <v>51278</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1521</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1091</v>
      </c>
      <c r="B131" s="1742"/>
      <c r="C131" s="1729">
        <f>SUM(C124:C130)</f>
        <v>68660</v>
      </c>
      <c r="D131" s="1729">
        <f>SUM(D124:D130)</f>
        <v>0</v>
      </c>
      <c r="E131" s="469" t="s">
        <v>1230</v>
      </c>
      <c r="F131" s="1729">
        <f>SUM(F124:F130)</f>
        <v>0</v>
      </c>
      <c r="G131" s="468" t="s">
        <v>1230</v>
      </c>
      <c r="H131" s="468" t="s">
        <v>1230</v>
      </c>
      <c r="I131" s="468" t="s">
        <v>1230</v>
      </c>
      <c r="J131" s="468" t="s">
        <v>1230</v>
      </c>
      <c r="K131" s="468" t="s">
        <v>1230</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619</v>
      </c>
      <c r="B133" s="562">
        <v>3200</v>
      </c>
      <c r="C133" s="551"/>
      <c r="D133" s="466"/>
      <c r="E133" s="561"/>
      <c r="F133" s="468"/>
      <c r="G133" s="466"/>
      <c r="H133" s="468"/>
      <c r="I133" s="468"/>
      <c r="J133" s="468"/>
      <c r="K133" s="468"/>
    </row>
    <row r="134" spans="1:11" ht="12.75" customHeight="1" x14ac:dyDescent="0.2">
      <c r="A134" s="463" t="s">
        <v>689</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620</v>
      </c>
      <c r="B136" s="562">
        <v>3235</v>
      </c>
      <c r="C136" s="489">
        <v>2170</v>
      </c>
      <c r="D136" s="467"/>
      <c r="E136" s="561"/>
      <c r="F136" s="468"/>
      <c r="G136" s="467"/>
      <c r="H136" s="468"/>
      <c r="I136" s="468"/>
      <c r="J136" s="468"/>
      <c r="K136" s="468"/>
    </row>
    <row r="137" spans="1:11" ht="12.75" customHeight="1" x14ac:dyDescent="0.2">
      <c r="A137" s="463" t="s">
        <v>621</v>
      </c>
      <c r="B137" s="562">
        <v>3240</v>
      </c>
      <c r="C137" s="489"/>
      <c r="D137" s="467"/>
      <c r="E137" s="561"/>
      <c r="F137" s="468"/>
      <c r="G137" s="467"/>
      <c r="H137" s="468"/>
      <c r="I137" s="468"/>
      <c r="J137" s="468"/>
      <c r="K137" s="468"/>
    </row>
    <row r="138" spans="1:11" ht="12.75" customHeight="1" x14ac:dyDescent="0.2">
      <c r="A138" s="463" t="s">
        <v>622</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623</v>
      </c>
      <c r="B140" s="1742"/>
      <c r="C140" s="1729">
        <f>SUM(C133:C139)</f>
        <v>2170</v>
      </c>
      <c r="D140" s="1729">
        <f>SUM(D133:D139)</f>
        <v>0</v>
      </c>
      <c r="E140" s="561" t="s">
        <v>1230</v>
      </c>
      <c r="F140" s="477"/>
      <c r="G140" s="1729">
        <f>SUM(G133:G139)</f>
        <v>0</v>
      </c>
      <c r="H140" s="468" t="s">
        <v>1230</v>
      </c>
      <c r="I140" s="468" t="s">
        <v>1230</v>
      </c>
      <c r="J140" s="468" t="s">
        <v>1230</v>
      </c>
      <c r="K140" s="468" t="s">
        <v>1230</v>
      </c>
    </row>
    <row r="141" spans="1:11" ht="15.75" customHeight="1" thickTop="1" x14ac:dyDescent="0.2">
      <c r="A141" s="1622" t="s">
        <v>690</v>
      </c>
      <c r="B141" s="1623"/>
      <c r="C141" s="553"/>
      <c r="D141" s="566"/>
      <c r="E141" s="561"/>
      <c r="F141" s="553"/>
      <c r="G141" s="553"/>
      <c r="H141" s="468"/>
      <c r="I141" s="468"/>
      <c r="J141" s="468"/>
      <c r="K141" s="468"/>
    </row>
    <row r="142" spans="1:11" ht="12.75" customHeight="1" x14ac:dyDescent="0.2">
      <c r="A142" s="463" t="s">
        <v>624</v>
      </c>
      <c r="B142" s="562">
        <v>3305</v>
      </c>
      <c r="C142" s="466"/>
      <c r="D142" s="468"/>
      <c r="E142" s="561"/>
      <c r="F142" s="468"/>
      <c r="G142" s="466"/>
      <c r="H142" s="468"/>
      <c r="I142" s="468"/>
      <c r="J142" s="468"/>
      <c r="K142" s="468"/>
    </row>
    <row r="143" spans="1:11" ht="12.75" customHeight="1" x14ac:dyDescent="0.2">
      <c r="A143" s="463" t="s">
        <v>364</v>
      </c>
      <c r="B143" s="562">
        <v>3310</v>
      </c>
      <c r="C143" s="551"/>
      <c r="D143" s="468"/>
      <c r="E143" s="561"/>
      <c r="F143" s="468"/>
      <c r="G143" s="466"/>
      <c r="H143" s="468"/>
      <c r="I143" s="468"/>
      <c r="J143" s="468"/>
      <c r="K143" s="468"/>
    </row>
    <row r="144" spans="1:11" s="202" customFormat="1" ht="13.5" thickBot="1" x14ac:dyDescent="0.25">
      <c r="A144" s="1730" t="s">
        <v>413</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1115</v>
      </c>
      <c r="B145" s="568">
        <v>3360</v>
      </c>
      <c r="C145" s="569">
        <v>746</v>
      </c>
      <c r="D145" s="570"/>
      <c r="E145" s="509"/>
      <c r="F145" s="468"/>
      <c r="G145" s="571"/>
      <c r="H145" s="468"/>
      <c r="I145" s="468"/>
      <c r="J145" s="468"/>
      <c r="K145" s="468"/>
    </row>
    <row r="146" spans="1:11" ht="12.75" customHeight="1" thickBot="1" x14ac:dyDescent="0.25">
      <c r="A146" s="1521" t="s">
        <v>978</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4888</v>
      </c>
      <c r="D147" s="573"/>
      <c r="E147" s="509"/>
      <c r="F147" s="468"/>
      <c r="G147" s="468"/>
      <c r="H147" s="468"/>
      <c r="I147" s="468"/>
      <c r="J147" s="468"/>
      <c r="K147" s="468"/>
    </row>
    <row r="148" spans="1:11" ht="12.75" customHeight="1" thickTop="1" thickBot="1" x14ac:dyDescent="0.25">
      <c r="A148" s="1522" t="s">
        <v>790</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472</v>
      </c>
      <c r="B150" s="1624"/>
      <c r="C150" s="553"/>
      <c r="D150" s="468"/>
      <c r="E150" s="561"/>
      <c r="F150" s="468"/>
      <c r="G150" s="468"/>
      <c r="H150" s="468"/>
      <c r="I150" s="468"/>
      <c r="J150" s="468"/>
      <c r="K150" s="468"/>
    </row>
    <row r="151" spans="1:11" ht="12.75" customHeight="1" x14ac:dyDescent="0.2">
      <c r="A151" s="463" t="s">
        <v>1522</v>
      </c>
      <c r="B151" s="562">
        <v>3500</v>
      </c>
      <c r="C151" s="551"/>
      <c r="D151" s="466"/>
      <c r="E151" s="561"/>
      <c r="F151" s="466">
        <v>131972</v>
      </c>
      <c r="G151" s="467"/>
      <c r="H151" s="468"/>
      <c r="I151" s="468"/>
      <c r="J151" s="468"/>
      <c r="K151" s="468"/>
    </row>
    <row r="152" spans="1:11" ht="12.75" customHeight="1" x14ac:dyDescent="0.2">
      <c r="A152" s="463" t="s">
        <v>1116</v>
      </c>
      <c r="B152" s="562">
        <v>3510</v>
      </c>
      <c r="C152" s="551"/>
      <c r="D152" s="466"/>
      <c r="E152" s="561"/>
      <c r="F152" s="466">
        <v>53316</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185288</v>
      </c>
      <c r="G154" s="1729">
        <f>SUM(G151:G153)</f>
        <v>0</v>
      </c>
      <c r="H154" s="468"/>
      <c r="I154" s="468"/>
      <c r="J154" s="468"/>
      <c r="K154" s="468"/>
    </row>
    <row r="155" spans="1:11" ht="12.75" customHeight="1" thickTop="1" thickBot="1" x14ac:dyDescent="0.25">
      <c r="A155" s="1522" t="s">
        <v>397</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1056</v>
      </c>
      <c r="B157" s="574">
        <v>3695</v>
      </c>
      <c r="C157" s="576"/>
      <c r="D157" s="468"/>
      <c r="E157" s="561"/>
      <c r="F157" s="576"/>
      <c r="G157" s="576"/>
      <c r="H157" s="468"/>
      <c r="I157" s="468"/>
      <c r="J157" s="468"/>
      <c r="K157" s="468"/>
    </row>
    <row r="158" spans="1:11" ht="12.75" customHeight="1" thickTop="1" thickBot="1" x14ac:dyDescent="0.25">
      <c r="A158" s="1522" t="s">
        <v>1110</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414</v>
      </c>
      <c r="B161" s="574">
        <v>3725</v>
      </c>
      <c r="C161" s="531"/>
      <c r="D161" s="468"/>
      <c r="E161" s="561"/>
      <c r="F161" s="531"/>
      <c r="G161" s="531"/>
      <c r="H161" s="468"/>
      <c r="I161" s="468"/>
      <c r="J161" s="468"/>
      <c r="K161" s="468"/>
    </row>
    <row r="162" spans="1:11" ht="12.75" customHeight="1" thickTop="1" thickBot="1" x14ac:dyDescent="0.25">
      <c r="A162" s="1522" t="s">
        <v>415</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1041</v>
      </c>
      <c r="B164" s="574">
        <v>3767</v>
      </c>
      <c r="C164" s="576"/>
      <c r="D164" s="531"/>
      <c r="E164" s="561"/>
      <c r="F164" s="531"/>
      <c r="G164" s="531"/>
      <c r="H164" s="468"/>
      <c r="I164" s="468"/>
      <c r="J164" s="468"/>
      <c r="K164" s="468"/>
    </row>
    <row r="165" spans="1:11" ht="12.75" customHeight="1" thickTop="1" thickBot="1" x14ac:dyDescent="0.25">
      <c r="A165" s="1522" t="s">
        <v>1042</v>
      </c>
      <c r="B165" s="574">
        <v>3775</v>
      </c>
      <c r="C165" s="576"/>
      <c r="D165" s="573"/>
      <c r="E165" s="530"/>
      <c r="F165" s="573"/>
      <c r="G165" s="532"/>
      <c r="H165" s="530"/>
      <c r="I165" s="468"/>
      <c r="J165" s="468"/>
      <c r="K165" s="530"/>
    </row>
    <row r="166" spans="1:11" ht="12.75" customHeight="1" thickTop="1" thickBot="1" x14ac:dyDescent="0.25">
      <c r="A166" s="1522" t="s">
        <v>1523</v>
      </c>
      <c r="B166" s="574">
        <v>3780</v>
      </c>
      <c r="C166" s="531"/>
      <c r="D166" s="530"/>
      <c r="E166" s="531"/>
      <c r="F166" s="531"/>
      <c r="G166" s="531"/>
      <c r="H166" s="531"/>
      <c r="I166" s="468"/>
      <c r="J166" s="468"/>
      <c r="K166" s="531"/>
    </row>
    <row r="167" spans="1:11" ht="12.75" customHeight="1" thickTop="1" thickBot="1" x14ac:dyDescent="0.25">
      <c r="A167" s="1522" t="s">
        <v>912</v>
      </c>
      <c r="B167" s="574">
        <v>3815</v>
      </c>
      <c r="C167" s="576"/>
      <c r="D167" s="468"/>
      <c r="E167" s="561"/>
      <c r="F167" s="576"/>
      <c r="G167" s="468"/>
      <c r="H167" s="468"/>
      <c r="I167" s="468"/>
      <c r="J167" s="468"/>
      <c r="K167" s="468"/>
    </row>
    <row r="168" spans="1:11" ht="12.75" customHeight="1" thickTop="1" thickBot="1" x14ac:dyDescent="0.25">
      <c r="A168" s="1522" t="s">
        <v>416</v>
      </c>
      <c r="B168" s="574">
        <v>3825</v>
      </c>
      <c r="C168" s="576"/>
      <c r="D168" s="468"/>
      <c r="E168" s="561"/>
      <c r="F168" s="576"/>
      <c r="G168" s="468"/>
      <c r="H168" s="468"/>
      <c r="I168" s="468"/>
      <c r="J168" s="468"/>
      <c r="K168" s="468"/>
    </row>
    <row r="169" spans="1:11" ht="12.75" customHeight="1" thickTop="1" thickBot="1" x14ac:dyDescent="0.25">
      <c r="A169" s="1522" t="s">
        <v>365</v>
      </c>
      <c r="B169" s="574">
        <v>3920</v>
      </c>
      <c r="C169" s="566"/>
      <c r="D169" s="578"/>
      <c r="E169" s="468"/>
      <c r="F169" s="566"/>
      <c r="G169" s="468"/>
      <c r="H169" s="530"/>
      <c r="I169" s="468"/>
      <c r="J169" s="468"/>
      <c r="K169" s="468"/>
    </row>
    <row r="170" spans="1:11" ht="12.75" customHeight="1" thickTop="1" thickBot="1" x14ac:dyDescent="0.25">
      <c r="A170" s="1522" t="s">
        <v>366</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1" t="s">
        <v>417</v>
      </c>
      <c r="B172" s="2162"/>
      <c r="C172" s="1744">
        <f t="shared" ref="C172:K172" si="6">SUM(C131,C140,C144,C145:C149,C154,C155:C170,C171)</f>
        <v>76464</v>
      </c>
      <c r="D172" s="1744">
        <f t="shared" si="6"/>
        <v>0</v>
      </c>
      <c r="E172" s="1744">
        <f t="shared" si="6"/>
        <v>0</v>
      </c>
      <c r="F172" s="1744">
        <f t="shared" si="6"/>
        <v>185288</v>
      </c>
      <c r="G172" s="1744">
        <f t="shared" si="6"/>
        <v>0</v>
      </c>
      <c r="H172" s="1744">
        <f t="shared" si="6"/>
        <v>0</v>
      </c>
      <c r="I172" s="1744">
        <f t="shared" si="6"/>
        <v>0</v>
      </c>
      <c r="J172" s="1744">
        <f t="shared" si="6"/>
        <v>0</v>
      </c>
      <c r="K172" s="1725">
        <f t="shared" si="6"/>
        <v>0</v>
      </c>
    </row>
    <row r="173" spans="1:11" ht="12.75" customHeight="1" thickTop="1" thickBot="1" x14ac:dyDescent="0.25">
      <c r="A173" s="1730" t="s">
        <v>418</v>
      </c>
      <c r="B173" s="1736" t="s">
        <v>595</v>
      </c>
      <c r="C173" s="1737">
        <f>SUM(C121,C172)</f>
        <v>639567</v>
      </c>
      <c r="D173" s="1737">
        <f>SUM(D121,D172)</f>
        <v>0</v>
      </c>
      <c r="E173" s="1737">
        <f>SUM(E121,E172)</f>
        <v>0</v>
      </c>
      <c r="F173" s="1737">
        <f t="shared" ref="F173:K173" si="7">SUM(F121,F172)</f>
        <v>185288</v>
      </c>
      <c r="G173" s="1737">
        <f t="shared" si="7"/>
        <v>0</v>
      </c>
      <c r="H173" s="1737">
        <f t="shared" si="7"/>
        <v>0</v>
      </c>
      <c r="I173" s="1737">
        <f t="shared" si="7"/>
        <v>0</v>
      </c>
      <c r="J173" s="1737">
        <f t="shared" si="7"/>
        <v>0</v>
      </c>
      <c r="K173" s="1724">
        <f t="shared" si="7"/>
        <v>0</v>
      </c>
    </row>
    <row r="174" spans="1:11" ht="16.7" customHeight="1" thickTop="1" x14ac:dyDescent="0.2">
      <c r="A174" s="1611" t="s">
        <v>836</v>
      </c>
      <c r="B174" s="1589"/>
      <c r="C174" s="1592"/>
      <c r="D174" s="1593"/>
      <c r="E174" s="1593"/>
      <c r="F174" s="1593"/>
      <c r="G174" s="1593"/>
      <c r="H174" s="1593"/>
      <c r="I174" s="1593"/>
      <c r="J174" s="1593"/>
      <c r="K174" s="1594"/>
    </row>
    <row r="175" spans="1:11" ht="15.75" customHeight="1" x14ac:dyDescent="0.2">
      <c r="A175" s="2163" t="s">
        <v>1571</v>
      </c>
      <c r="B175" s="2164"/>
      <c r="C175" s="520"/>
      <c r="D175" s="520"/>
      <c r="E175" s="509"/>
      <c r="F175" s="468"/>
      <c r="G175" s="468"/>
      <c r="H175" s="468"/>
      <c r="I175" s="468"/>
      <c r="J175" s="468"/>
      <c r="K175" s="468"/>
    </row>
    <row r="176" spans="1:11" ht="12.6" customHeight="1" x14ac:dyDescent="0.2">
      <c r="A176" s="493" t="s">
        <v>1103</v>
      </c>
      <c r="B176" s="491">
        <v>4001</v>
      </c>
      <c r="C176" s="516"/>
      <c r="D176" s="481"/>
      <c r="E176" s="467"/>
      <c r="F176" s="466"/>
      <c r="G176" s="466"/>
      <c r="H176" s="467"/>
      <c r="I176" s="467"/>
      <c r="J176" s="467"/>
      <c r="K176" s="467"/>
    </row>
    <row r="177" spans="1:11" ht="22.5" x14ac:dyDescent="0.2">
      <c r="A177" s="563" t="s">
        <v>837</v>
      </c>
      <c r="B177" s="583">
        <v>4009</v>
      </c>
      <c r="C177" s="551"/>
      <c r="D177" s="466"/>
      <c r="E177" s="467"/>
      <c r="F177" s="466"/>
      <c r="G177" s="466"/>
      <c r="H177" s="467"/>
      <c r="I177" s="467"/>
      <c r="J177" s="467"/>
      <c r="K177" s="467"/>
    </row>
    <row r="178" spans="1:11" ht="13.5" thickBot="1" x14ac:dyDescent="0.25">
      <c r="A178" s="2167" t="s">
        <v>1763</v>
      </c>
      <c r="B178" s="2168"/>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1" t="s">
        <v>1762</v>
      </c>
      <c r="B179" s="2172"/>
      <c r="C179" s="599"/>
      <c r="D179" s="600"/>
      <c r="E179" s="601"/>
      <c r="F179" s="602"/>
      <c r="G179" s="602"/>
      <c r="H179" s="602"/>
      <c r="I179" s="602"/>
      <c r="J179" s="602"/>
      <c r="K179" s="602"/>
    </row>
    <row r="180" spans="1:11" ht="12.75" customHeight="1" x14ac:dyDescent="0.2">
      <c r="A180" s="463" t="s">
        <v>1104</v>
      </c>
      <c r="B180" s="470">
        <v>4045</v>
      </c>
      <c r="C180" s="551"/>
      <c r="D180" s="468"/>
      <c r="E180" s="561"/>
      <c r="F180" s="468"/>
      <c r="G180" s="468"/>
      <c r="H180" s="468"/>
      <c r="I180" s="468"/>
      <c r="J180" s="468"/>
      <c r="K180" s="468"/>
    </row>
    <row r="181" spans="1:11" ht="12.75" customHeight="1" x14ac:dyDescent="0.2">
      <c r="A181" s="463" t="s">
        <v>1105</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818</v>
      </c>
      <c r="B183" s="583">
        <v>4090</v>
      </c>
      <c r="C183" s="551"/>
      <c r="D183" s="466"/>
      <c r="E183" s="468"/>
      <c r="F183" s="466"/>
      <c r="G183" s="466"/>
      <c r="H183" s="466"/>
      <c r="I183" s="468"/>
      <c r="J183" s="468"/>
      <c r="K183" s="466"/>
    </row>
    <row r="184" spans="1:11" ht="13.5" thickBot="1" x14ac:dyDescent="0.25">
      <c r="A184" s="2169" t="s">
        <v>817</v>
      </c>
      <c r="B184" s="2170"/>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5" t="s">
        <v>1905</v>
      </c>
      <c r="B185" s="2166"/>
      <c r="C185" s="584"/>
      <c r="D185" s="566"/>
      <c r="E185" s="509"/>
      <c r="F185" s="566"/>
      <c r="G185" s="566"/>
      <c r="H185" s="468"/>
      <c r="I185" s="468"/>
      <c r="J185" s="468"/>
      <c r="K185" s="468"/>
    </row>
    <row r="186" spans="1:11" ht="15.75" customHeight="1" x14ac:dyDescent="0.2">
      <c r="A186" s="1625" t="s">
        <v>1691</v>
      </c>
      <c r="B186" s="1626"/>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v>17320</v>
      </c>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30" t="s">
        <v>1696</v>
      </c>
      <c r="B191" s="1731"/>
      <c r="C191" s="1729">
        <f>SUM(C187:C190)</f>
        <v>17320</v>
      </c>
      <c r="D191" s="1729">
        <f>SUM(D187:D190)</f>
        <v>0</v>
      </c>
      <c r="E191" s="561"/>
      <c r="F191" s="1729">
        <f>SUM(F187:F190)</f>
        <v>0</v>
      </c>
      <c r="G191" s="1729">
        <f>SUM(G187:G190)</f>
        <v>0</v>
      </c>
      <c r="H191" s="468"/>
      <c r="I191" s="468"/>
      <c r="J191" s="468"/>
      <c r="K191" s="468"/>
    </row>
    <row r="192" spans="1:11" ht="15.75" customHeight="1" thickTop="1" x14ac:dyDescent="0.2">
      <c r="A192" s="1622" t="s">
        <v>474</v>
      </c>
      <c r="B192" s="1627"/>
      <c r="C192" s="553"/>
      <c r="D192" s="566"/>
      <c r="E192" s="561"/>
      <c r="F192" s="553"/>
      <c r="G192" s="553"/>
      <c r="H192" s="468"/>
      <c r="I192" s="468"/>
      <c r="J192" s="468"/>
      <c r="K192" s="468"/>
    </row>
    <row r="193" spans="1:11" x14ac:dyDescent="0.2">
      <c r="A193" s="463" t="s">
        <v>1524</v>
      </c>
      <c r="B193" s="470">
        <v>4200</v>
      </c>
      <c r="C193" s="467"/>
      <c r="D193" s="468"/>
      <c r="E193" s="561"/>
      <c r="F193" s="553"/>
      <c r="G193" s="585"/>
      <c r="H193" s="468"/>
      <c r="I193" s="468"/>
      <c r="J193" s="468"/>
      <c r="K193" s="468"/>
    </row>
    <row r="194" spans="1:11" ht="12.75" customHeight="1" x14ac:dyDescent="0.2">
      <c r="A194" s="463" t="s">
        <v>1117</v>
      </c>
      <c r="B194" s="470">
        <v>4210</v>
      </c>
      <c r="C194" s="466">
        <v>49163</v>
      </c>
      <c r="D194" s="468"/>
      <c r="E194" s="561"/>
      <c r="F194" s="468"/>
      <c r="G194" s="585"/>
      <c r="H194" s="468"/>
      <c r="I194" s="468"/>
      <c r="J194" s="468"/>
      <c r="K194" s="468"/>
    </row>
    <row r="195" spans="1:11" ht="12.75" customHeight="1" x14ac:dyDescent="0.2">
      <c r="A195" s="463" t="s">
        <v>1106</v>
      </c>
      <c r="B195" s="470">
        <v>4215</v>
      </c>
      <c r="C195" s="551"/>
      <c r="D195" s="468"/>
      <c r="E195" s="561"/>
      <c r="F195" s="468"/>
      <c r="G195" s="585"/>
      <c r="H195" s="468"/>
      <c r="I195" s="468"/>
      <c r="J195" s="468"/>
      <c r="K195" s="468"/>
    </row>
    <row r="196" spans="1:11" ht="12.75" customHeight="1" x14ac:dyDescent="0.2">
      <c r="A196" s="463" t="s">
        <v>1118</v>
      </c>
      <c r="B196" s="470">
        <v>4220</v>
      </c>
      <c r="C196" s="551">
        <v>10259</v>
      </c>
      <c r="D196" s="468"/>
      <c r="E196" s="561"/>
      <c r="F196" s="468"/>
      <c r="G196" s="585"/>
      <c r="H196" s="468"/>
      <c r="I196" s="468"/>
      <c r="J196" s="468"/>
      <c r="K196" s="468"/>
    </row>
    <row r="197" spans="1:11" ht="12.75" customHeight="1" x14ac:dyDescent="0.2">
      <c r="A197" s="463" t="s">
        <v>1525</v>
      </c>
      <c r="B197" s="470">
        <v>4225</v>
      </c>
      <c r="C197" s="551"/>
      <c r="D197" s="468"/>
      <c r="E197" s="561"/>
      <c r="F197" s="468"/>
      <c r="G197" s="585"/>
      <c r="H197" s="468"/>
      <c r="I197" s="468"/>
      <c r="J197" s="468"/>
      <c r="K197" s="468"/>
    </row>
    <row r="198" spans="1:11" ht="12.75" customHeight="1" x14ac:dyDescent="0.2">
      <c r="A198" s="463" t="s">
        <v>1526</v>
      </c>
      <c r="B198" s="470">
        <v>4226</v>
      </c>
      <c r="C198" s="551"/>
      <c r="D198" s="468"/>
      <c r="E198" s="561"/>
      <c r="F198" s="468"/>
      <c r="G198" s="585"/>
      <c r="H198" s="468"/>
      <c r="I198" s="468"/>
      <c r="J198" s="468"/>
      <c r="K198" s="468"/>
    </row>
    <row r="199" spans="1:11" ht="12.75" customHeight="1" x14ac:dyDescent="0.2">
      <c r="A199" s="463" t="s">
        <v>824</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568</v>
      </c>
      <c r="B201" s="1731"/>
      <c r="C201" s="1710">
        <f>SUM(C193:C200)</f>
        <v>59422</v>
      </c>
      <c r="D201" s="468"/>
      <c r="E201" s="468"/>
      <c r="F201" s="468"/>
      <c r="G201" s="1710">
        <f>SUM(G193:G200)</f>
        <v>0</v>
      </c>
      <c r="H201" s="468"/>
      <c r="I201" s="468"/>
      <c r="J201" s="468"/>
      <c r="K201" s="468"/>
    </row>
    <row r="202" spans="1:11" ht="15.75" customHeight="1" thickTop="1" x14ac:dyDescent="0.2">
      <c r="A202" s="1622" t="s">
        <v>1199</v>
      </c>
      <c r="B202" s="1627"/>
      <c r="C202" s="553"/>
      <c r="D202" s="468"/>
      <c r="E202" s="468"/>
      <c r="F202" s="468"/>
      <c r="G202" s="468"/>
      <c r="H202" s="468"/>
      <c r="I202" s="468"/>
      <c r="J202" s="468"/>
      <c r="K202" s="468"/>
    </row>
    <row r="203" spans="1:11" ht="12.75" customHeight="1" x14ac:dyDescent="0.2">
      <c r="A203" s="463" t="s">
        <v>973</v>
      </c>
      <c r="B203" s="470">
        <v>4300</v>
      </c>
      <c r="C203" s="466">
        <v>66084</v>
      </c>
      <c r="D203" s="466"/>
      <c r="E203" s="468"/>
      <c r="F203" s="466"/>
      <c r="G203" s="466"/>
      <c r="H203" s="468"/>
      <c r="I203" s="468"/>
      <c r="J203" s="468"/>
      <c r="K203" s="468"/>
    </row>
    <row r="204" spans="1:11" ht="12.75" customHeight="1" x14ac:dyDescent="0.2">
      <c r="A204" s="463" t="s">
        <v>974</v>
      </c>
      <c r="B204" s="470">
        <v>4305</v>
      </c>
      <c r="C204" s="551"/>
      <c r="D204" s="466"/>
      <c r="E204" s="468"/>
      <c r="F204" s="466"/>
      <c r="G204" s="466"/>
      <c r="H204" s="468"/>
      <c r="I204" s="468"/>
      <c r="J204" s="468"/>
      <c r="K204" s="468"/>
    </row>
    <row r="205" spans="1:11" ht="12.75" customHeight="1" x14ac:dyDescent="0.2">
      <c r="A205" s="463" t="s">
        <v>975</v>
      </c>
      <c r="B205" s="470">
        <v>4332</v>
      </c>
      <c r="C205" s="551"/>
      <c r="D205" s="466"/>
      <c r="E205" s="468"/>
      <c r="F205" s="466"/>
      <c r="G205" s="466"/>
      <c r="H205" s="468"/>
      <c r="I205" s="468"/>
      <c r="J205" s="468"/>
      <c r="K205" s="468"/>
    </row>
    <row r="206" spans="1:11" ht="12.75" customHeight="1" x14ac:dyDescent="0.2">
      <c r="A206" s="463" t="s">
        <v>1088</v>
      </c>
      <c r="B206" s="470">
        <v>4334</v>
      </c>
      <c r="C206" s="551"/>
      <c r="D206" s="466"/>
      <c r="E206" s="468"/>
      <c r="F206" s="466"/>
      <c r="G206" s="466"/>
      <c r="H206" s="468"/>
      <c r="I206" s="468"/>
      <c r="J206" s="468"/>
      <c r="K206" s="468"/>
    </row>
    <row r="207" spans="1:11" ht="12.75" customHeight="1" x14ac:dyDescent="0.2">
      <c r="A207" s="463" t="s">
        <v>1089</v>
      </c>
      <c r="B207" s="470">
        <v>4335</v>
      </c>
      <c r="C207" s="551"/>
      <c r="D207" s="466"/>
      <c r="E207" s="468"/>
      <c r="F207" s="466"/>
      <c r="G207" s="466"/>
      <c r="H207" s="468"/>
      <c r="I207" s="468"/>
      <c r="J207" s="468"/>
      <c r="K207" s="468"/>
    </row>
    <row r="208" spans="1:11" ht="12.75" customHeight="1" x14ac:dyDescent="0.2">
      <c r="A208" s="463" t="s">
        <v>1152</v>
      </c>
      <c r="B208" s="470">
        <v>4337</v>
      </c>
      <c r="C208" s="489"/>
      <c r="D208" s="467"/>
      <c r="E208" s="468"/>
      <c r="F208" s="467"/>
      <c r="G208" s="467"/>
      <c r="H208" s="468"/>
      <c r="I208" s="468"/>
      <c r="J208" s="468"/>
      <c r="K208" s="468"/>
    </row>
    <row r="209" spans="1:11" ht="12.75" customHeight="1" x14ac:dyDescent="0.2">
      <c r="A209" s="463" t="s">
        <v>1090</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419</v>
      </c>
      <c r="B211" s="1731"/>
      <c r="C211" s="1729">
        <f>SUM(C203:C210)</f>
        <v>66084</v>
      </c>
      <c r="D211" s="1729">
        <f>SUM(D203:D210)</f>
        <v>0</v>
      </c>
      <c r="E211" s="468"/>
      <c r="F211" s="1729">
        <f>SUM(F203:F210)</f>
        <v>0</v>
      </c>
      <c r="G211" s="1729">
        <f>SUM(G203:G210)</f>
        <v>0</v>
      </c>
      <c r="H211" s="468"/>
      <c r="I211" s="468"/>
      <c r="J211" s="468"/>
      <c r="K211" s="468"/>
    </row>
    <row r="212" spans="1:11" ht="15.75" customHeight="1" thickTop="1" x14ac:dyDescent="0.2">
      <c r="A212" s="1622" t="s">
        <v>1200</v>
      </c>
      <c r="B212" s="1627"/>
      <c r="C212" s="553"/>
      <c r="D212" s="553"/>
      <c r="E212" s="468"/>
      <c r="F212" s="553"/>
      <c r="G212" s="553"/>
      <c r="H212" s="468"/>
      <c r="I212" s="468"/>
      <c r="J212" s="468"/>
      <c r="K212" s="468"/>
    </row>
    <row r="213" spans="1:11" ht="12.75" customHeight="1" x14ac:dyDescent="0.2">
      <c r="A213" s="463" t="s">
        <v>782</v>
      </c>
      <c r="B213" s="470">
        <v>4400</v>
      </c>
      <c r="C213" s="551"/>
      <c r="D213" s="466"/>
      <c r="E213" s="468"/>
      <c r="F213" s="466"/>
      <c r="G213" s="466"/>
      <c r="H213" s="468"/>
      <c r="I213" s="468"/>
      <c r="J213" s="468"/>
      <c r="K213" s="468"/>
    </row>
    <row r="214" spans="1:11" ht="12.75" customHeight="1" x14ac:dyDescent="0.2">
      <c r="A214" s="463" t="s">
        <v>1527</v>
      </c>
      <c r="B214" s="470">
        <v>4421</v>
      </c>
      <c r="C214" s="551">
        <v>17800</v>
      </c>
      <c r="D214" s="466"/>
      <c r="E214" s="468"/>
      <c r="F214" s="466">
        <v>1744</v>
      </c>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943</v>
      </c>
      <c r="B216" s="1731"/>
      <c r="C216" s="1729">
        <f>SUM(C213:C215)</f>
        <v>17800</v>
      </c>
      <c r="D216" s="1729">
        <f>SUM(D213:D215)</f>
        <v>0</v>
      </c>
      <c r="E216" s="468" t="s">
        <v>1230</v>
      </c>
      <c r="F216" s="1729">
        <f>SUM(F213:F215)</f>
        <v>1744</v>
      </c>
      <c r="G216" s="1729">
        <f>SUM(G213:G215)</f>
        <v>0</v>
      </c>
      <c r="H216" s="468"/>
      <c r="I216" s="468"/>
      <c r="J216" s="468"/>
      <c r="K216" s="468"/>
    </row>
    <row r="217" spans="1:11" ht="15.75" customHeight="1" thickTop="1" x14ac:dyDescent="0.2">
      <c r="A217" s="1622" t="s">
        <v>1153</v>
      </c>
      <c r="B217" s="1627"/>
      <c r="C217" s="553"/>
      <c r="D217" s="553"/>
      <c r="E217" s="468"/>
      <c r="F217" s="553"/>
      <c r="G217" s="553"/>
      <c r="H217" s="468"/>
      <c r="I217" s="468"/>
      <c r="J217" s="468"/>
      <c r="K217" s="468"/>
    </row>
    <row r="218" spans="1:11" ht="12.75" customHeight="1" x14ac:dyDescent="0.2">
      <c r="A218" s="463" t="s">
        <v>1111</v>
      </c>
      <c r="B218" s="470">
        <v>4600</v>
      </c>
      <c r="C218" s="551"/>
      <c r="D218" s="466"/>
      <c r="E218" s="468"/>
      <c r="F218" s="466"/>
      <c r="G218" s="466"/>
      <c r="H218" s="468"/>
      <c r="I218" s="468"/>
      <c r="J218" s="468"/>
      <c r="K218" s="468"/>
    </row>
    <row r="219" spans="1:11" ht="12.75" customHeight="1" x14ac:dyDescent="0.2">
      <c r="A219" s="463" t="s">
        <v>1112</v>
      </c>
      <c r="B219" s="470">
        <v>4605</v>
      </c>
      <c r="C219" s="551"/>
      <c r="D219" s="466"/>
      <c r="E219" s="468"/>
      <c r="F219" s="466"/>
      <c r="G219" s="466"/>
      <c r="H219" s="468"/>
      <c r="I219" s="468"/>
      <c r="J219" s="468"/>
      <c r="K219" s="468"/>
    </row>
    <row r="220" spans="1:11" ht="12.75" customHeight="1" x14ac:dyDescent="0.2">
      <c r="A220" s="463" t="s">
        <v>1528</v>
      </c>
      <c r="B220" s="557">
        <v>4620</v>
      </c>
      <c r="C220" s="551"/>
      <c r="D220" s="466"/>
      <c r="E220" s="468"/>
      <c r="F220" s="466"/>
      <c r="G220" s="466"/>
      <c r="H220" s="468"/>
      <c r="I220" s="468"/>
      <c r="J220" s="468"/>
      <c r="K220" s="468"/>
    </row>
    <row r="221" spans="1:11" ht="12.75" customHeight="1" x14ac:dyDescent="0.2">
      <c r="A221" s="463" t="s">
        <v>1113</v>
      </c>
      <c r="B221" s="470">
        <v>4625</v>
      </c>
      <c r="C221" s="551"/>
      <c r="D221" s="466"/>
      <c r="E221" s="468"/>
      <c r="F221" s="466"/>
      <c r="G221" s="466"/>
      <c r="H221" s="468"/>
      <c r="I221" s="468"/>
      <c r="J221" s="468"/>
      <c r="K221" s="468"/>
    </row>
    <row r="222" spans="1:11" ht="12.75" customHeight="1" x14ac:dyDescent="0.2">
      <c r="A222" s="463" t="s">
        <v>1114</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466</v>
      </c>
      <c r="B224" s="1731"/>
      <c r="C224" s="1729">
        <f>SUM(C218:C223)</f>
        <v>0</v>
      </c>
      <c r="D224" s="1729">
        <f>SUM(D218:D223)</f>
        <v>0</v>
      </c>
      <c r="E224" s="468"/>
      <c r="F224" s="1729">
        <f>SUM(F218:F223)</f>
        <v>0</v>
      </c>
      <c r="G224" s="1729">
        <f>SUM(G218:G223)</f>
        <v>0</v>
      </c>
      <c r="H224" s="468"/>
      <c r="I224" s="468"/>
      <c r="J224" s="468"/>
      <c r="K224" s="468"/>
    </row>
    <row r="225" spans="1:11" ht="15.75" customHeight="1" thickTop="1" x14ac:dyDescent="0.2">
      <c r="A225" s="1622" t="s">
        <v>1154</v>
      </c>
      <c r="B225" s="1627"/>
      <c r="C225" s="553"/>
      <c r="D225" s="553"/>
      <c r="E225" s="468"/>
      <c r="F225" s="553"/>
      <c r="G225" s="553"/>
      <c r="H225" s="468"/>
      <c r="I225" s="468"/>
      <c r="J225" s="468"/>
      <c r="K225" s="468"/>
    </row>
    <row r="226" spans="1:11" ht="12.75" customHeight="1" x14ac:dyDescent="0.2">
      <c r="A226" s="463" t="s">
        <v>819</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1144</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780</v>
      </c>
      <c r="B229" s="491">
        <v>4810</v>
      </c>
      <c r="C229" s="575"/>
      <c r="D229" s="576"/>
      <c r="E229" s="468"/>
      <c r="F229" s="468"/>
      <c r="G229" s="576"/>
      <c r="H229" s="468"/>
      <c r="I229" s="468"/>
      <c r="J229" s="468"/>
      <c r="K229" s="468"/>
    </row>
    <row r="230" spans="1:11" ht="12.75" customHeight="1" thickTop="1" x14ac:dyDescent="0.2">
      <c r="A230" s="493" t="s">
        <v>367</v>
      </c>
      <c r="B230" s="491">
        <v>4850</v>
      </c>
      <c r="C230" s="489"/>
      <c r="D230" s="467"/>
      <c r="E230" s="467"/>
      <c r="F230" s="467"/>
      <c r="G230" s="467"/>
      <c r="H230" s="467"/>
      <c r="I230" s="468"/>
      <c r="J230" s="467"/>
      <c r="K230" s="467"/>
    </row>
    <row r="231" spans="1:11" ht="12.75" customHeight="1" x14ac:dyDescent="0.2">
      <c r="A231" s="493" t="s">
        <v>368</v>
      </c>
      <c r="B231" s="491">
        <v>4851</v>
      </c>
      <c r="C231" s="489"/>
      <c r="D231" s="467"/>
      <c r="E231" s="468"/>
      <c r="F231" s="474"/>
      <c r="G231" s="467"/>
      <c r="H231" s="468"/>
      <c r="I231" s="468"/>
      <c r="J231" s="468"/>
      <c r="K231" s="468"/>
    </row>
    <row r="232" spans="1:11" ht="12.75" customHeight="1" x14ac:dyDescent="0.2">
      <c r="A232" s="493" t="s">
        <v>369</v>
      </c>
      <c r="B232" s="491">
        <v>4852</v>
      </c>
      <c r="C232" s="489"/>
      <c r="D232" s="467"/>
      <c r="E232" s="467"/>
      <c r="F232" s="467"/>
      <c r="G232" s="467"/>
      <c r="H232" s="467"/>
      <c r="I232" s="468"/>
      <c r="J232" s="467"/>
      <c r="K232" s="467"/>
    </row>
    <row r="233" spans="1:11" ht="12.75" customHeight="1" x14ac:dyDescent="0.2">
      <c r="A233" s="493" t="s">
        <v>370</v>
      </c>
      <c r="B233" s="491">
        <v>4853</v>
      </c>
      <c r="C233" s="489"/>
      <c r="D233" s="467"/>
      <c r="E233" s="467"/>
      <c r="F233" s="467"/>
      <c r="G233" s="467"/>
      <c r="H233" s="467"/>
      <c r="I233" s="468"/>
      <c r="J233" s="467"/>
      <c r="K233" s="467"/>
    </row>
    <row r="234" spans="1:11" ht="12.75" customHeight="1" x14ac:dyDescent="0.2">
      <c r="A234" s="493" t="s">
        <v>371</v>
      </c>
      <c r="B234" s="491">
        <v>4854</v>
      </c>
      <c r="C234" s="489"/>
      <c r="D234" s="467"/>
      <c r="E234" s="467"/>
      <c r="F234" s="467"/>
      <c r="G234" s="467"/>
      <c r="H234" s="467"/>
      <c r="I234" s="468"/>
      <c r="J234" s="467"/>
      <c r="K234" s="467"/>
    </row>
    <row r="235" spans="1:11" ht="12.75" customHeight="1" x14ac:dyDescent="0.2">
      <c r="A235" s="493" t="s">
        <v>483</v>
      </c>
      <c r="B235" s="491">
        <v>4855</v>
      </c>
      <c r="C235" s="489"/>
      <c r="D235" s="467"/>
      <c r="E235" s="467"/>
      <c r="F235" s="467"/>
      <c r="G235" s="467"/>
      <c r="H235" s="467"/>
      <c r="I235" s="468"/>
      <c r="J235" s="467"/>
      <c r="K235" s="467"/>
    </row>
    <row r="236" spans="1:11" ht="12.75" customHeight="1" x14ac:dyDescent="0.2">
      <c r="A236" s="493" t="s">
        <v>372</v>
      </c>
      <c r="B236" s="491">
        <v>4856</v>
      </c>
      <c r="C236" s="489"/>
      <c r="D236" s="467"/>
      <c r="E236" s="467"/>
      <c r="F236" s="467"/>
      <c r="G236" s="467"/>
      <c r="H236" s="467"/>
      <c r="I236" s="468"/>
      <c r="J236" s="467"/>
      <c r="K236" s="467"/>
    </row>
    <row r="237" spans="1:11" ht="12.75" customHeight="1" x14ac:dyDescent="0.2">
      <c r="A237" s="493" t="s">
        <v>373</v>
      </c>
      <c r="B237" s="491">
        <v>4857</v>
      </c>
      <c r="C237" s="489"/>
      <c r="D237" s="467"/>
      <c r="E237" s="467"/>
      <c r="F237" s="467"/>
      <c r="G237" s="467"/>
      <c r="H237" s="467"/>
      <c r="I237" s="468"/>
      <c r="J237" s="467"/>
      <c r="K237" s="467"/>
    </row>
    <row r="238" spans="1:11" ht="12.75" customHeight="1" x14ac:dyDescent="0.2">
      <c r="A238" s="493" t="s">
        <v>374</v>
      </c>
      <c r="B238" s="491">
        <v>4860</v>
      </c>
      <c r="C238" s="489"/>
      <c r="D238" s="467"/>
      <c r="E238" s="467"/>
      <c r="F238" s="467"/>
      <c r="G238" s="467"/>
      <c r="H238" s="467"/>
      <c r="I238" s="468"/>
      <c r="J238" s="467"/>
      <c r="K238" s="467"/>
    </row>
    <row r="239" spans="1:11" ht="12.75" customHeight="1" x14ac:dyDescent="0.2">
      <c r="A239" s="493" t="s">
        <v>375</v>
      </c>
      <c r="B239" s="491">
        <v>4861</v>
      </c>
      <c r="C239" s="489"/>
      <c r="D239" s="467"/>
      <c r="E239" s="467"/>
      <c r="F239" s="467"/>
      <c r="G239" s="467"/>
      <c r="H239" s="467"/>
      <c r="I239" s="468"/>
      <c r="J239" s="467"/>
      <c r="K239" s="467"/>
    </row>
    <row r="240" spans="1:11" ht="12.75" customHeight="1" x14ac:dyDescent="0.2">
      <c r="A240" s="493" t="s">
        <v>376</v>
      </c>
      <c r="B240" s="491">
        <v>4862</v>
      </c>
      <c r="C240" s="489"/>
      <c r="D240" s="467"/>
      <c r="E240" s="475"/>
      <c r="F240" s="467"/>
      <c r="G240" s="467"/>
      <c r="H240" s="475"/>
      <c r="I240" s="468"/>
      <c r="J240" s="475"/>
      <c r="K240" s="475"/>
    </row>
    <row r="241" spans="1:11" ht="12.75" customHeight="1" x14ac:dyDescent="0.2">
      <c r="A241" s="493" t="s">
        <v>377</v>
      </c>
      <c r="B241" s="491">
        <v>4863</v>
      </c>
      <c r="C241" s="489"/>
      <c r="D241" s="467"/>
      <c r="E241" s="468"/>
      <c r="F241" s="475"/>
      <c r="G241" s="526"/>
      <c r="H241" s="468"/>
      <c r="I241" s="468"/>
      <c r="J241" s="468"/>
      <c r="K241" s="468"/>
    </row>
    <row r="242" spans="1:11" ht="12.75" customHeight="1" x14ac:dyDescent="0.2">
      <c r="A242" s="493" t="s">
        <v>488</v>
      </c>
      <c r="B242" s="491">
        <v>4864</v>
      </c>
      <c r="C242" s="489"/>
      <c r="D242" s="467"/>
      <c r="E242" s="467"/>
      <c r="F242" s="467"/>
      <c r="G242" s="467"/>
      <c r="H242" s="467"/>
      <c r="I242" s="468"/>
      <c r="J242" s="467"/>
      <c r="K242" s="467"/>
    </row>
    <row r="243" spans="1:11" ht="12.75" customHeight="1" x14ac:dyDescent="0.2">
      <c r="A243" s="493" t="s">
        <v>489</v>
      </c>
      <c r="B243" s="491">
        <v>4865</v>
      </c>
      <c r="C243" s="489"/>
      <c r="D243" s="467"/>
      <c r="E243" s="467"/>
      <c r="F243" s="467"/>
      <c r="G243" s="467"/>
      <c r="H243" s="467"/>
      <c r="I243" s="468"/>
      <c r="J243" s="467"/>
      <c r="K243" s="467"/>
    </row>
    <row r="244" spans="1:11" ht="12.75" customHeight="1" x14ac:dyDescent="0.2">
      <c r="A244" s="493" t="s">
        <v>487</v>
      </c>
      <c r="B244" s="491">
        <v>4866</v>
      </c>
      <c r="C244" s="489"/>
      <c r="D244" s="467"/>
      <c r="E244" s="467"/>
      <c r="F244" s="467"/>
      <c r="G244" s="467"/>
      <c r="H244" s="467"/>
      <c r="I244" s="468"/>
      <c r="J244" s="467"/>
      <c r="K244" s="467"/>
    </row>
    <row r="245" spans="1:11" ht="12.75" customHeight="1" x14ac:dyDescent="0.2">
      <c r="A245" s="493" t="s">
        <v>486</v>
      </c>
      <c r="B245" s="491">
        <v>4867</v>
      </c>
      <c r="C245" s="489"/>
      <c r="D245" s="467"/>
      <c r="E245" s="467"/>
      <c r="F245" s="467"/>
      <c r="G245" s="467"/>
      <c r="H245" s="467"/>
      <c r="I245" s="468"/>
      <c r="J245" s="467"/>
      <c r="K245" s="467"/>
    </row>
    <row r="246" spans="1:11" ht="12.75" customHeight="1" x14ac:dyDescent="0.2">
      <c r="A246" s="493" t="s">
        <v>485</v>
      </c>
      <c r="B246" s="491">
        <v>4868</v>
      </c>
      <c r="C246" s="489"/>
      <c r="D246" s="467"/>
      <c r="E246" s="467"/>
      <c r="F246" s="467"/>
      <c r="G246" s="467"/>
      <c r="H246" s="467"/>
      <c r="I246" s="468"/>
      <c r="J246" s="467"/>
      <c r="K246" s="467"/>
    </row>
    <row r="247" spans="1:11" ht="12.75" customHeight="1" x14ac:dyDescent="0.2">
      <c r="A247" s="493" t="s">
        <v>484</v>
      </c>
      <c r="B247" s="491">
        <v>4869</v>
      </c>
      <c r="C247" s="489"/>
      <c r="D247" s="467"/>
      <c r="E247" s="467"/>
      <c r="F247" s="467"/>
      <c r="G247" s="467"/>
      <c r="H247" s="467"/>
      <c r="I247" s="468"/>
      <c r="J247" s="467"/>
      <c r="K247" s="467"/>
    </row>
    <row r="248" spans="1:11" ht="12.75" customHeight="1" x14ac:dyDescent="0.2">
      <c r="A248" s="493" t="s">
        <v>1189</v>
      </c>
      <c r="B248" s="491">
        <v>4870</v>
      </c>
      <c r="C248" s="489"/>
      <c r="D248" s="467"/>
      <c r="E248" s="467"/>
      <c r="F248" s="467"/>
      <c r="G248" s="467"/>
      <c r="H248" s="467"/>
      <c r="I248" s="468"/>
      <c r="J248" s="467"/>
      <c r="K248" s="467"/>
    </row>
    <row r="249" spans="1:11" ht="12.75" customHeight="1" x14ac:dyDescent="0.2">
      <c r="A249" s="493" t="s">
        <v>820</v>
      </c>
      <c r="B249" s="491">
        <v>4871</v>
      </c>
      <c r="C249" s="489"/>
      <c r="D249" s="467"/>
      <c r="E249" s="467"/>
      <c r="F249" s="467"/>
      <c r="G249" s="467"/>
      <c r="H249" s="467"/>
      <c r="I249" s="468"/>
      <c r="J249" s="467"/>
      <c r="K249" s="467"/>
    </row>
    <row r="250" spans="1:11" ht="12.75" customHeight="1" x14ac:dyDescent="0.2">
      <c r="A250" s="493" t="s">
        <v>821</v>
      </c>
      <c r="B250" s="491">
        <v>4872</v>
      </c>
      <c r="C250" s="489"/>
      <c r="D250" s="467"/>
      <c r="E250" s="467"/>
      <c r="F250" s="467"/>
      <c r="G250" s="467"/>
      <c r="H250" s="467"/>
      <c r="I250" s="468"/>
      <c r="J250" s="467"/>
      <c r="K250" s="467"/>
    </row>
    <row r="251" spans="1:11" ht="12.75" customHeight="1" x14ac:dyDescent="0.2">
      <c r="A251" s="493" t="s">
        <v>822</v>
      </c>
      <c r="B251" s="491">
        <v>4873</v>
      </c>
      <c r="C251" s="489"/>
      <c r="D251" s="467"/>
      <c r="E251" s="467"/>
      <c r="F251" s="467"/>
      <c r="G251" s="467"/>
      <c r="H251" s="467"/>
      <c r="I251" s="468"/>
      <c r="J251" s="467"/>
      <c r="K251" s="467"/>
    </row>
    <row r="252" spans="1:11" ht="12.75" customHeight="1" x14ac:dyDescent="0.2">
      <c r="A252" s="493" t="s">
        <v>823</v>
      </c>
      <c r="B252" s="491">
        <v>4874</v>
      </c>
      <c r="C252" s="489"/>
      <c r="D252" s="467"/>
      <c r="E252" s="467"/>
      <c r="F252" s="467"/>
      <c r="G252" s="467"/>
      <c r="H252" s="467"/>
      <c r="I252" s="468"/>
      <c r="J252" s="467"/>
      <c r="K252" s="467"/>
    </row>
    <row r="253" spans="1:11" ht="12.75" customHeight="1" x14ac:dyDescent="0.2">
      <c r="A253" s="493" t="s">
        <v>490</v>
      </c>
      <c r="B253" s="491">
        <v>4875</v>
      </c>
      <c r="C253" s="489"/>
      <c r="D253" s="467"/>
      <c r="E253" s="467"/>
      <c r="F253" s="467"/>
      <c r="G253" s="467"/>
      <c r="H253" s="467"/>
      <c r="I253" s="468"/>
      <c r="J253" s="467"/>
      <c r="K253" s="467"/>
    </row>
    <row r="254" spans="1:11" ht="12.75" customHeight="1" x14ac:dyDescent="0.2">
      <c r="A254" s="493" t="s">
        <v>793</v>
      </c>
      <c r="B254" s="491">
        <v>4876</v>
      </c>
      <c r="C254" s="489"/>
      <c r="D254" s="467"/>
      <c r="E254" s="467"/>
      <c r="F254" s="467"/>
      <c r="G254" s="467"/>
      <c r="H254" s="467"/>
      <c r="I254" s="468"/>
      <c r="J254" s="467"/>
      <c r="K254" s="467"/>
    </row>
    <row r="255" spans="1:11" ht="12.75" customHeight="1" x14ac:dyDescent="0.2">
      <c r="A255" s="493" t="s">
        <v>794</v>
      </c>
      <c r="B255" s="491">
        <v>4877</v>
      </c>
      <c r="C255" s="489"/>
      <c r="D255" s="467"/>
      <c r="E255" s="467"/>
      <c r="F255" s="467"/>
      <c r="G255" s="467"/>
      <c r="H255" s="467"/>
      <c r="I255" s="468"/>
      <c r="J255" s="467"/>
      <c r="K255" s="467"/>
    </row>
    <row r="256" spans="1:11" ht="12.75" customHeight="1" x14ac:dyDescent="0.2">
      <c r="A256" s="493" t="s">
        <v>795</v>
      </c>
      <c r="B256" s="491">
        <v>4878</v>
      </c>
      <c r="C256" s="489"/>
      <c r="D256" s="467"/>
      <c r="E256" s="467"/>
      <c r="F256" s="467"/>
      <c r="G256" s="467"/>
      <c r="H256" s="467"/>
      <c r="I256" s="468"/>
      <c r="J256" s="467"/>
      <c r="K256" s="467"/>
    </row>
    <row r="257" spans="1:11" ht="12.75" customHeight="1" x14ac:dyDescent="0.2">
      <c r="A257" s="493" t="s">
        <v>796</v>
      </c>
      <c r="B257" s="491">
        <v>4879</v>
      </c>
      <c r="C257" s="489"/>
      <c r="D257" s="467"/>
      <c r="E257" s="467"/>
      <c r="F257" s="467"/>
      <c r="G257" s="467"/>
      <c r="H257" s="467"/>
      <c r="I257" s="468"/>
      <c r="J257" s="467"/>
      <c r="K257" s="467"/>
    </row>
    <row r="258" spans="1:11" ht="12.75" customHeight="1" x14ac:dyDescent="0.2">
      <c r="A258" s="225" t="s">
        <v>1529</v>
      </c>
      <c r="B258" s="587">
        <v>4880</v>
      </c>
      <c r="C258" s="489"/>
      <c r="D258" s="467"/>
      <c r="E258" s="467"/>
      <c r="F258" s="467"/>
      <c r="G258" s="467"/>
      <c r="H258" s="467"/>
      <c r="I258" s="468"/>
      <c r="J258" s="467"/>
      <c r="K258" s="467"/>
    </row>
    <row r="259" spans="1:11" ht="12.75" customHeight="1" thickBot="1" x14ac:dyDescent="0.25">
      <c r="A259" s="1747" t="s">
        <v>797</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1492</v>
      </c>
      <c r="B260" s="588">
        <v>4901</v>
      </c>
      <c r="C260" s="589"/>
      <c r="D260" s="469"/>
      <c r="E260" s="468"/>
      <c r="F260" s="468"/>
      <c r="G260" s="468"/>
      <c r="H260" s="468"/>
      <c r="I260" s="468"/>
      <c r="J260" s="468"/>
      <c r="K260" s="468"/>
    </row>
    <row r="261" spans="1:11" ht="12.75" customHeight="1" thickTop="1" thickBot="1" x14ac:dyDescent="0.25">
      <c r="A261" s="1525" t="s">
        <v>1537</v>
      </c>
      <c r="B261" s="590">
        <v>4902</v>
      </c>
      <c r="C261" s="591"/>
      <c r="D261" s="592"/>
      <c r="E261" s="469"/>
      <c r="F261" s="592"/>
      <c r="G261" s="592"/>
      <c r="H261" s="469"/>
      <c r="I261" s="468"/>
      <c r="J261" s="469"/>
      <c r="K261" s="469"/>
    </row>
    <row r="262" spans="1:11" ht="12.75" customHeight="1" thickTop="1" thickBot="1" x14ac:dyDescent="0.25">
      <c r="A262" s="493" t="s">
        <v>1145</v>
      </c>
      <c r="B262" s="491">
        <v>4904</v>
      </c>
      <c r="C262" s="593"/>
      <c r="D262" s="591"/>
      <c r="E262" s="469"/>
      <c r="F262" s="553"/>
      <c r="G262" s="591"/>
      <c r="H262" s="469"/>
      <c r="I262" s="468"/>
      <c r="J262" s="468"/>
      <c r="K262" s="468"/>
    </row>
    <row r="263" spans="1:11" ht="12.75" customHeight="1" thickTop="1" thickBot="1" x14ac:dyDescent="0.25">
      <c r="A263" s="463" t="s">
        <v>1530</v>
      </c>
      <c r="B263" s="470">
        <v>4905</v>
      </c>
      <c r="C263" s="573"/>
      <c r="D263" s="468"/>
      <c r="E263" s="468"/>
      <c r="F263" s="578"/>
      <c r="G263" s="573"/>
      <c r="H263" s="468"/>
      <c r="I263" s="468"/>
      <c r="J263" s="468"/>
      <c r="K263" s="468"/>
    </row>
    <row r="264" spans="1:11" ht="12.75" customHeight="1" thickTop="1" thickBot="1" x14ac:dyDescent="0.25">
      <c r="A264" s="463" t="s">
        <v>1531</v>
      </c>
      <c r="B264" s="470">
        <v>4909</v>
      </c>
      <c r="C264" s="576"/>
      <c r="D264" s="468"/>
      <c r="E264" s="468"/>
      <c r="F264" s="576"/>
      <c r="G264" s="576"/>
      <c r="H264" s="468"/>
      <c r="I264" s="468"/>
      <c r="J264" s="468"/>
      <c r="K264" s="468"/>
    </row>
    <row r="265" spans="1:11" ht="12.75" customHeight="1" thickTop="1" thickBot="1" x14ac:dyDescent="0.25">
      <c r="A265" s="463" t="s">
        <v>944</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440</v>
      </c>
      <c r="B267" s="470">
        <v>4930</v>
      </c>
      <c r="C267" s="576"/>
      <c r="D267" s="576"/>
      <c r="E267" s="468"/>
      <c r="F267" s="576"/>
      <c r="G267" s="576"/>
      <c r="H267" s="468"/>
      <c r="I267" s="468"/>
      <c r="J267" s="468"/>
      <c r="K267" s="468"/>
    </row>
    <row r="268" spans="1:11" ht="12.75" customHeight="1" thickTop="1" thickBot="1" x14ac:dyDescent="0.25">
      <c r="A268" s="463" t="s">
        <v>781</v>
      </c>
      <c r="B268" s="470">
        <v>4932</v>
      </c>
      <c r="C268" s="576">
        <v>7809</v>
      </c>
      <c r="D268" s="576"/>
      <c r="E268" s="468"/>
      <c r="F268" s="576"/>
      <c r="G268" s="576"/>
      <c r="H268" s="468"/>
      <c r="I268" s="468"/>
      <c r="J268" s="468"/>
      <c r="K268" s="468"/>
    </row>
    <row r="269" spans="1:11" ht="12.75" customHeight="1" thickTop="1" thickBot="1" x14ac:dyDescent="0.25">
      <c r="A269" s="463" t="s">
        <v>945</v>
      </c>
      <c r="B269" s="470">
        <v>4960</v>
      </c>
      <c r="C269" s="575"/>
      <c r="D269" s="576"/>
      <c r="E269" s="468"/>
      <c r="F269" s="576"/>
      <c r="G269" s="576"/>
      <c r="H269" s="468"/>
      <c r="I269" s="468"/>
      <c r="J269" s="468"/>
      <c r="K269" s="468"/>
    </row>
    <row r="270" spans="1:11" ht="12.75" customHeight="1" thickTop="1" thickBot="1" x14ac:dyDescent="0.25">
      <c r="A270" s="463" t="s">
        <v>588</v>
      </c>
      <c r="B270" s="470">
        <v>4991</v>
      </c>
      <c r="C270" s="575">
        <v>4672</v>
      </c>
      <c r="D270" s="576"/>
      <c r="E270" s="468"/>
      <c r="F270" s="576"/>
      <c r="G270" s="576"/>
      <c r="H270" s="468"/>
      <c r="I270" s="468"/>
      <c r="J270" s="468"/>
      <c r="K270" s="468"/>
    </row>
    <row r="271" spans="1:11" ht="12.75" customHeight="1" thickTop="1" thickBot="1" x14ac:dyDescent="0.25">
      <c r="A271" s="463" t="s">
        <v>394</v>
      </c>
      <c r="B271" s="470">
        <v>4992</v>
      </c>
      <c r="C271" s="575">
        <v>23272</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1764</v>
      </c>
      <c r="B273" s="1749"/>
      <c r="C273" s="1737">
        <f t="shared" ref="C273:H273" si="10">SUM(C191,C201,C211,C216,C224,C228,C229,C259:C272)</f>
        <v>196379</v>
      </c>
      <c r="D273" s="1737">
        <f t="shared" si="10"/>
        <v>0</v>
      </c>
      <c r="E273" s="1737">
        <f t="shared" si="10"/>
        <v>0</v>
      </c>
      <c r="F273" s="1737">
        <f t="shared" si="10"/>
        <v>1744</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1146</v>
      </c>
      <c r="B274" s="1751" t="s">
        <v>914</v>
      </c>
      <c r="C274" s="1737">
        <f>SUM(C178,C184,C273)</f>
        <v>196379</v>
      </c>
      <c r="D274" s="1737">
        <f>SUM(D178,D184,D273)</f>
        <v>0</v>
      </c>
      <c r="E274" s="1737">
        <f>SUM(E178,E273)</f>
        <v>0</v>
      </c>
      <c r="F274" s="1737">
        <f t="shared" ref="F274:K274" si="11">SUM(F178,F184,F273)</f>
        <v>1744</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2403583</v>
      </c>
      <c r="D275" s="1737">
        <f t="shared" si="12"/>
        <v>306283</v>
      </c>
      <c r="E275" s="1737">
        <f t="shared" si="12"/>
        <v>151667</v>
      </c>
      <c r="F275" s="1737">
        <f t="shared" si="12"/>
        <v>286926</v>
      </c>
      <c r="G275" s="1737">
        <f t="shared" si="12"/>
        <v>164274</v>
      </c>
      <c r="H275" s="1737">
        <f t="shared" si="12"/>
        <v>0</v>
      </c>
      <c r="I275" s="1737">
        <f t="shared" si="12"/>
        <v>21024</v>
      </c>
      <c r="J275" s="1737">
        <f t="shared" si="12"/>
        <v>246336</v>
      </c>
      <c r="K275" s="1724">
        <f t="shared" si="12"/>
        <v>21070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&amp;F&amp;CSee Accompanying Notes to the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90" zoomScaleNormal="90" workbookViewId="0">
      <pane ySplit="2" topLeftCell="A177" activePane="bottomLeft" state="frozen"/>
      <selection activeCell="A47" sqref="A47"/>
      <selection pane="bottomLeft" activeCell="V228" sqref="V228"/>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31" t="s">
        <v>1904</v>
      </c>
      <c r="B1" s="603"/>
      <c r="C1" s="604" t="s">
        <v>798</v>
      </c>
      <c r="D1" s="604" t="s">
        <v>1137</v>
      </c>
      <c r="E1" s="604" t="s">
        <v>1138</v>
      </c>
      <c r="F1" s="604" t="s">
        <v>1139</v>
      </c>
      <c r="G1" s="604" t="s">
        <v>1140</v>
      </c>
      <c r="H1" s="604" t="s">
        <v>1141</v>
      </c>
      <c r="I1" s="604" t="s">
        <v>1142</v>
      </c>
      <c r="J1" s="604" t="s">
        <v>1143</v>
      </c>
      <c r="K1" s="604" t="s">
        <v>270</v>
      </c>
      <c r="L1" s="605"/>
    </row>
    <row r="2" spans="1:14" s="609" customFormat="1" ht="28.5" customHeight="1" x14ac:dyDescent="0.2">
      <c r="A2" s="2175"/>
      <c r="B2" s="606" t="s">
        <v>47</v>
      </c>
      <c r="C2" s="607" t="s">
        <v>203</v>
      </c>
      <c r="D2" s="608" t="s">
        <v>51</v>
      </c>
      <c r="E2" s="608" t="s">
        <v>1161</v>
      </c>
      <c r="F2" s="608" t="s">
        <v>1155</v>
      </c>
      <c r="G2" s="607" t="s">
        <v>1156</v>
      </c>
      <c r="H2" s="607" t="s">
        <v>1157</v>
      </c>
      <c r="I2" s="608" t="s">
        <v>308</v>
      </c>
      <c r="J2" s="608" t="s">
        <v>309</v>
      </c>
      <c r="K2" s="607" t="s">
        <v>158</v>
      </c>
      <c r="L2" s="607" t="s">
        <v>30</v>
      </c>
      <c r="M2" s="257"/>
      <c r="N2" s="257"/>
    </row>
    <row r="3" spans="1:14" s="343" customFormat="1" ht="16.7" customHeight="1" x14ac:dyDescent="0.2">
      <c r="A3" s="2181" t="s">
        <v>314</v>
      </c>
      <c r="B3" s="2182"/>
      <c r="C3" s="1570"/>
      <c r="D3" s="1570"/>
      <c r="E3" s="1570"/>
      <c r="F3" s="1570"/>
      <c r="G3" s="1570"/>
      <c r="H3" s="1570"/>
      <c r="I3" s="1570"/>
      <c r="J3" s="1570"/>
      <c r="K3" s="1571"/>
      <c r="L3" s="1572"/>
      <c r="M3" s="610"/>
      <c r="N3" s="610"/>
    </row>
    <row r="4" spans="1:14" s="259" customFormat="1" ht="15.75" customHeight="1" x14ac:dyDescent="0.2">
      <c r="A4" s="1628" t="s">
        <v>46</v>
      </c>
      <c r="B4" s="1629" t="s">
        <v>590</v>
      </c>
      <c r="C4" s="611"/>
      <c r="D4" s="611"/>
      <c r="E4" s="611"/>
      <c r="F4" s="611"/>
      <c r="G4" s="611"/>
      <c r="H4" s="611"/>
      <c r="I4" s="612"/>
      <c r="J4" s="611"/>
      <c r="K4" s="613"/>
      <c r="L4" s="611"/>
      <c r="M4" s="614"/>
      <c r="N4" s="614"/>
    </row>
    <row r="5" spans="1:14" x14ac:dyDescent="0.2">
      <c r="A5" s="1526" t="s">
        <v>1017</v>
      </c>
      <c r="B5" s="615">
        <v>1100</v>
      </c>
      <c r="C5" s="466">
        <v>1252256</v>
      </c>
      <c r="D5" s="466">
        <v>208165</v>
      </c>
      <c r="E5" s="466">
        <v>32033</v>
      </c>
      <c r="F5" s="466">
        <v>33215</v>
      </c>
      <c r="G5" s="466"/>
      <c r="H5" s="466"/>
      <c r="I5" s="467"/>
      <c r="J5" s="467"/>
      <c r="K5" s="1693">
        <f>SUM(C5:J5)</f>
        <v>1525669</v>
      </c>
      <c r="L5" s="466">
        <v>1482500</v>
      </c>
    </row>
    <row r="6" spans="1:14" x14ac:dyDescent="0.2">
      <c r="A6" s="1526" t="s">
        <v>1507</v>
      </c>
      <c r="B6" s="615" t="s">
        <v>1505</v>
      </c>
      <c r="C6" s="477"/>
      <c r="D6" s="477"/>
      <c r="E6" s="466"/>
      <c r="F6" s="477"/>
      <c r="G6" s="477"/>
      <c r="H6" s="477"/>
      <c r="I6" s="477"/>
      <c r="J6" s="477"/>
      <c r="K6" s="1693">
        <f>SUM(C6,E6)</f>
        <v>0</v>
      </c>
      <c r="L6" s="466">
        <v>0</v>
      </c>
    </row>
    <row r="7" spans="1:14" x14ac:dyDescent="0.2">
      <c r="A7" s="1526" t="s">
        <v>165</v>
      </c>
      <c r="B7" s="615" t="s">
        <v>1023</v>
      </c>
      <c r="C7" s="467"/>
      <c r="D7" s="467"/>
      <c r="E7" s="467"/>
      <c r="F7" s="467"/>
      <c r="G7" s="467"/>
      <c r="H7" s="467"/>
      <c r="I7" s="467"/>
      <c r="J7" s="467"/>
      <c r="K7" s="1693">
        <f t="shared" ref="K7:K32" si="0">SUM(C7:J7)</f>
        <v>0</v>
      </c>
      <c r="L7" s="466">
        <v>0</v>
      </c>
    </row>
    <row r="8" spans="1:14" x14ac:dyDescent="0.2">
      <c r="A8" s="1526" t="s">
        <v>166</v>
      </c>
      <c r="B8" s="615">
        <v>1200</v>
      </c>
      <c r="C8" s="466">
        <v>173155</v>
      </c>
      <c r="D8" s="466">
        <v>18155</v>
      </c>
      <c r="E8" s="466">
        <v>4727</v>
      </c>
      <c r="F8" s="466">
        <v>349</v>
      </c>
      <c r="G8" s="466"/>
      <c r="H8" s="466"/>
      <c r="I8" s="467"/>
      <c r="J8" s="467"/>
      <c r="K8" s="1693">
        <f t="shared" si="0"/>
        <v>196386</v>
      </c>
      <c r="L8" s="466">
        <v>187520</v>
      </c>
    </row>
    <row r="9" spans="1:14" x14ac:dyDescent="0.2">
      <c r="A9" s="1526" t="s">
        <v>744</v>
      </c>
      <c r="B9" s="615" t="s">
        <v>1024</v>
      </c>
      <c r="C9" s="467"/>
      <c r="D9" s="467"/>
      <c r="E9" s="467"/>
      <c r="F9" s="467"/>
      <c r="G9" s="467"/>
      <c r="H9" s="467"/>
      <c r="I9" s="467"/>
      <c r="J9" s="467"/>
      <c r="K9" s="1693">
        <f t="shared" si="0"/>
        <v>0</v>
      </c>
      <c r="L9" s="466">
        <v>0</v>
      </c>
    </row>
    <row r="10" spans="1:14" x14ac:dyDescent="0.2">
      <c r="A10" s="1526" t="s">
        <v>745</v>
      </c>
      <c r="B10" s="615">
        <v>1250</v>
      </c>
      <c r="C10" s="466">
        <v>40000</v>
      </c>
      <c r="D10" s="466">
        <v>7057</v>
      </c>
      <c r="E10" s="466">
        <v>18712</v>
      </c>
      <c r="F10" s="466">
        <v>1000</v>
      </c>
      <c r="G10" s="466"/>
      <c r="H10" s="466"/>
      <c r="I10" s="467"/>
      <c r="J10" s="467"/>
      <c r="K10" s="1693">
        <f t="shared" si="0"/>
        <v>66769</v>
      </c>
      <c r="L10" s="466">
        <v>66084</v>
      </c>
    </row>
    <row r="11" spans="1:14" x14ac:dyDescent="0.2">
      <c r="A11" s="1526" t="s">
        <v>1191</v>
      </c>
      <c r="B11" s="615" t="s">
        <v>163</v>
      </c>
      <c r="C11" s="467"/>
      <c r="D11" s="467"/>
      <c r="E11" s="467"/>
      <c r="F11" s="467"/>
      <c r="G11" s="467"/>
      <c r="H11" s="467"/>
      <c r="I11" s="467"/>
      <c r="J11" s="467"/>
      <c r="K11" s="1693">
        <f t="shared" si="0"/>
        <v>0</v>
      </c>
      <c r="L11" s="466">
        <v>0</v>
      </c>
    </row>
    <row r="12" spans="1:14" x14ac:dyDescent="0.2">
      <c r="A12" s="1526" t="s">
        <v>1018</v>
      </c>
      <c r="B12" s="615">
        <v>1300</v>
      </c>
      <c r="C12" s="466"/>
      <c r="D12" s="466"/>
      <c r="E12" s="466"/>
      <c r="F12" s="466"/>
      <c r="G12" s="466"/>
      <c r="H12" s="466"/>
      <c r="I12" s="467"/>
      <c r="J12" s="467"/>
      <c r="K12" s="1693">
        <f t="shared" si="0"/>
        <v>0</v>
      </c>
      <c r="L12" s="466">
        <v>0</v>
      </c>
    </row>
    <row r="13" spans="1:14" x14ac:dyDescent="0.2">
      <c r="A13" s="1526" t="s">
        <v>746</v>
      </c>
      <c r="B13" s="615">
        <v>1400</v>
      </c>
      <c r="C13" s="466">
        <v>96656</v>
      </c>
      <c r="D13" s="466">
        <v>17040</v>
      </c>
      <c r="E13" s="466">
        <v>304</v>
      </c>
      <c r="F13" s="466">
        <v>3543</v>
      </c>
      <c r="G13" s="466"/>
      <c r="H13" s="466">
        <v>175</v>
      </c>
      <c r="I13" s="467"/>
      <c r="J13" s="467"/>
      <c r="K13" s="1693">
        <f t="shared" si="0"/>
        <v>117718</v>
      </c>
      <c r="L13" s="466">
        <v>91713</v>
      </c>
    </row>
    <row r="14" spans="1:14" x14ac:dyDescent="0.2">
      <c r="A14" s="1526" t="s">
        <v>1019</v>
      </c>
      <c r="B14" s="615">
        <v>1500</v>
      </c>
      <c r="C14" s="466">
        <v>42484</v>
      </c>
      <c r="D14" s="466"/>
      <c r="E14" s="466">
        <f>19096+2338</f>
        <v>21434</v>
      </c>
      <c r="F14" s="466">
        <f>4492+2502</f>
        <v>6994</v>
      </c>
      <c r="G14" s="466"/>
      <c r="H14" s="466">
        <f>1345+385</f>
        <v>1730</v>
      </c>
      <c r="I14" s="467"/>
      <c r="J14" s="467"/>
      <c r="K14" s="1693">
        <f t="shared" si="0"/>
        <v>72642</v>
      </c>
      <c r="L14" s="466">
        <v>61700</v>
      </c>
    </row>
    <row r="15" spans="1:14" x14ac:dyDescent="0.2">
      <c r="A15" s="1526" t="s">
        <v>1020</v>
      </c>
      <c r="B15" s="615">
        <v>1600</v>
      </c>
      <c r="C15" s="466"/>
      <c r="D15" s="466"/>
      <c r="E15" s="466"/>
      <c r="F15" s="466"/>
      <c r="G15" s="466"/>
      <c r="H15" s="466"/>
      <c r="I15" s="467"/>
      <c r="J15" s="467"/>
      <c r="K15" s="1693">
        <f t="shared" si="0"/>
        <v>0</v>
      </c>
      <c r="L15" s="466">
        <v>0</v>
      </c>
    </row>
    <row r="16" spans="1:14" x14ac:dyDescent="0.2">
      <c r="A16" s="1526" t="s">
        <v>1043</v>
      </c>
      <c r="B16" s="615" t="s">
        <v>443</v>
      </c>
      <c r="C16" s="466"/>
      <c r="D16" s="466"/>
      <c r="E16" s="466"/>
      <c r="F16" s="466"/>
      <c r="G16" s="466"/>
      <c r="H16" s="466"/>
      <c r="I16" s="467"/>
      <c r="J16" s="467"/>
      <c r="K16" s="1693">
        <f t="shared" si="0"/>
        <v>0</v>
      </c>
      <c r="L16" s="466">
        <v>0</v>
      </c>
    </row>
    <row r="17" spans="1:12" x14ac:dyDescent="0.2">
      <c r="A17" s="1526" t="s">
        <v>747</v>
      </c>
      <c r="B17" s="615" t="s">
        <v>164</v>
      </c>
      <c r="C17" s="467">
        <v>6972</v>
      </c>
      <c r="D17" s="467">
        <v>100</v>
      </c>
      <c r="E17" s="467">
        <v>2303</v>
      </c>
      <c r="F17" s="467">
        <v>10</v>
      </c>
      <c r="G17" s="467"/>
      <c r="H17" s="467"/>
      <c r="I17" s="467"/>
      <c r="J17" s="467"/>
      <c r="K17" s="1693">
        <f t="shared" si="0"/>
        <v>9385</v>
      </c>
      <c r="L17" s="466">
        <v>10597</v>
      </c>
    </row>
    <row r="18" spans="1:12" x14ac:dyDescent="0.2">
      <c r="A18" s="1526" t="s">
        <v>1147</v>
      </c>
      <c r="B18" s="615">
        <v>1800</v>
      </c>
      <c r="C18" s="466"/>
      <c r="D18" s="466"/>
      <c r="E18" s="466"/>
      <c r="F18" s="466"/>
      <c r="G18" s="466"/>
      <c r="H18" s="466"/>
      <c r="I18" s="467"/>
      <c r="J18" s="467"/>
      <c r="K18" s="1693">
        <f t="shared" si="0"/>
        <v>0</v>
      </c>
      <c r="L18" s="466">
        <v>0</v>
      </c>
    </row>
    <row r="19" spans="1:12" x14ac:dyDescent="0.2">
      <c r="A19" s="1526" t="s">
        <v>136</v>
      </c>
      <c r="B19" s="615">
        <v>1900</v>
      </c>
      <c r="C19" s="466"/>
      <c r="D19" s="466"/>
      <c r="E19" s="466"/>
      <c r="F19" s="466"/>
      <c r="G19" s="466"/>
      <c r="H19" s="466"/>
      <c r="I19" s="467"/>
      <c r="J19" s="467"/>
      <c r="K19" s="1693">
        <f t="shared" si="0"/>
        <v>0</v>
      </c>
      <c r="L19" s="466">
        <v>58000</v>
      </c>
    </row>
    <row r="20" spans="1:12" x14ac:dyDescent="0.2">
      <c r="A20" s="1527" t="s">
        <v>761</v>
      </c>
      <c r="B20" s="603" t="s">
        <v>748</v>
      </c>
      <c r="C20" s="477"/>
      <c r="D20" s="477"/>
      <c r="E20" s="477"/>
      <c r="F20" s="477"/>
      <c r="G20" s="477"/>
      <c r="H20" s="474"/>
      <c r="I20" s="617"/>
      <c r="J20" s="475"/>
      <c r="K20" s="1693">
        <f t="shared" si="0"/>
        <v>0</v>
      </c>
      <c r="L20" s="471">
        <v>0</v>
      </c>
    </row>
    <row r="21" spans="1:12" x14ac:dyDescent="0.2">
      <c r="A21" s="1527" t="s">
        <v>762</v>
      </c>
      <c r="B21" s="603" t="s">
        <v>749</v>
      </c>
      <c r="C21" s="477"/>
      <c r="D21" s="477"/>
      <c r="E21" s="477"/>
      <c r="F21" s="477"/>
      <c r="G21" s="477"/>
      <c r="H21" s="474"/>
      <c r="I21" s="617"/>
      <c r="J21" s="477"/>
      <c r="K21" s="1693">
        <f t="shared" si="0"/>
        <v>0</v>
      </c>
      <c r="L21" s="471">
        <v>0</v>
      </c>
    </row>
    <row r="22" spans="1:12" x14ac:dyDescent="0.2">
      <c r="A22" s="1527" t="s">
        <v>763</v>
      </c>
      <c r="B22" s="603" t="s">
        <v>750</v>
      </c>
      <c r="C22" s="477"/>
      <c r="D22" s="477"/>
      <c r="E22" s="477"/>
      <c r="F22" s="477"/>
      <c r="G22" s="477"/>
      <c r="H22" s="474">
        <v>98385</v>
      </c>
      <c r="I22" s="617"/>
      <c r="J22" s="477"/>
      <c r="K22" s="1693">
        <f t="shared" si="0"/>
        <v>98385</v>
      </c>
      <c r="L22" s="471">
        <v>0</v>
      </c>
    </row>
    <row r="23" spans="1:12" x14ac:dyDescent="0.2">
      <c r="A23" s="1527" t="s">
        <v>764</v>
      </c>
      <c r="B23" s="603" t="s">
        <v>751</v>
      </c>
      <c r="C23" s="477"/>
      <c r="D23" s="477"/>
      <c r="E23" s="477"/>
      <c r="F23" s="477"/>
      <c r="G23" s="477"/>
      <c r="H23" s="474"/>
      <c r="I23" s="617"/>
      <c r="J23" s="477"/>
      <c r="K23" s="1693">
        <f t="shared" si="0"/>
        <v>0</v>
      </c>
      <c r="L23" s="471">
        <v>0</v>
      </c>
    </row>
    <row r="24" spans="1:12" ht="12.75" customHeight="1" x14ac:dyDescent="0.2">
      <c r="A24" s="1527" t="s">
        <v>765</v>
      </c>
      <c r="B24" s="603" t="s">
        <v>752</v>
      </c>
      <c r="C24" s="477"/>
      <c r="D24" s="477"/>
      <c r="E24" s="477"/>
      <c r="F24" s="477"/>
      <c r="G24" s="477"/>
      <c r="H24" s="474"/>
      <c r="I24" s="617"/>
      <c r="J24" s="477"/>
      <c r="K24" s="1693">
        <f t="shared" si="0"/>
        <v>0</v>
      </c>
      <c r="L24" s="471">
        <v>0</v>
      </c>
    </row>
    <row r="25" spans="1:12" ht="12.75" customHeight="1" x14ac:dyDescent="0.2">
      <c r="A25" s="1527" t="s">
        <v>834</v>
      </c>
      <c r="B25" s="603" t="s">
        <v>753</v>
      </c>
      <c r="C25" s="477"/>
      <c r="D25" s="477"/>
      <c r="E25" s="477"/>
      <c r="F25" s="477"/>
      <c r="G25" s="477"/>
      <c r="H25" s="474"/>
      <c r="I25" s="617"/>
      <c r="J25" s="477"/>
      <c r="K25" s="1693">
        <f t="shared" si="0"/>
        <v>0</v>
      </c>
      <c r="L25" s="471">
        <v>0</v>
      </c>
    </row>
    <row r="26" spans="1:12" x14ac:dyDescent="0.2">
      <c r="A26" s="1527" t="s">
        <v>642</v>
      </c>
      <c r="B26" s="603" t="s">
        <v>754</v>
      </c>
      <c r="C26" s="477"/>
      <c r="D26" s="477"/>
      <c r="E26" s="477"/>
      <c r="F26" s="477"/>
      <c r="G26" s="477"/>
      <c r="H26" s="474"/>
      <c r="I26" s="617"/>
      <c r="J26" s="477"/>
      <c r="K26" s="1693">
        <f t="shared" si="0"/>
        <v>0</v>
      </c>
      <c r="L26" s="471">
        <v>0</v>
      </c>
    </row>
    <row r="27" spans="1:12" x14ac:dyDescent="0.2">
      <c r="A27" s="1527" t="s">
        <v>643</v>
      </c>
      <c r="B27" s="603" t="s">
        <v>755</v>
      </c>
      <c r="C27" s="477"/>
      <c r="D27" s="477"/>
      <c r="E27" s="477"/>
      <c r="F27" s="477"/>
      <c r="G27" s="477"/>
      <c r="H27" s="474"/>
      <c r="I27" s="617"/>
      <c r="J27" s="477"/>
      <c r="K27" s="1693">
        <f t="shared" si="0"/>
        <v>0</v>
      </c>
      <c r="L27" s="471">
        <v>0</v>
      </c>
    </row>
    <row r="28" spans="1:12" x14ac:dyDescent="0.2">
      <c r="A28" s="1527" t="s">
        <v>152</v>
      </c>
      <c r="B28" s="603" t="s">
        <v>756</v>
      </c>
      <c r="C28" s="477"/>
      <c r="D28" s="477"/>
      <c r="E28" s="477"/>
      <c r="F28" s="477"/>
      <c r="G28" s="477"/>
      <c r="H28" s="474"/>
      <c r="I28" s="617"/>
      <c r="J28" s="477"/>
      <c r="K28" s="1693">
        <f t="shared" si="0"/>
        <v>0</v>
      </c>
      <c r="L28" s="471">
        <v>0</v>
      </c>
    </row>
    <row r="29" spans="1:12" x14ac:dyDescent="0.2">
      <c r="A29" s="1527" t="s">
        <v>153</v>
      </c>
      <c r="B29" s="603" t="s">
        <v>757</v>
      </c>
      <c r="C29" s="477"/>
      <c r="D29" s="477"/>
      <c r="E29" s="477"/>
      <c r="F29" s="477"/>
      <c r="G29" s="477"/>
      <c r="H29" s="474"/>
      <c r="I29" s="617"/>
      <c r="J29" s="477"/>
      <c r="K29" s="1693">
        <f t="shared" si="0"/>
        <v>0</v>
      </c>
      <c r="L29" s="471">
        <v>0</v>
      </c>
    </row>
    <row r="30" spans="1:12" x14ac:dyDescent="0.2">
      <c r="A30" s="1527" t="s">
        <v>154</v>
      </c>
      <c r="B30" s="603" t="s">
        <v>758</v>
      </c>
      <c r="C30" s="477"/>
      <c r="D30" s="477"/>
      <c r="E30" s="477"/>
      <c r="F30" s="477"/>
      <c r="G30" s="477"/>
      <c r="H30" s="474"/>
      <c r="I30" s="617"/>
      <c r="J30" s="477"/>
      <c r="K30" s="1693">
        <f t="shared" si="0"/>
        <v>0</v>
      </c>
      <c r="L30" s="471">
        <v>0</v>
      </c>
    </row>
    <row r="31" spans="1:12" x14ac:dyDescent="0.2">
      <c r="A31" s="1527" t="s">
        <v>155</v>
      </c>
      <c r="B31" s="603" t="s">
        <v>759</v>
      </c>
      <c r="C31" s="477"/>
      <c r="D31" s="477"/>
      <c r="E31" s="477"/>
      <c r="F31" s="477"/>
      <c r="G31" s="477"/>
      <c r="H31" s="474"/>
      <c r="I31" s="617"/>
      <c r="J31" s="477"/>
      <c r="K31" s="1693">
        <f t="shared" si="0"/>
        <v>0</v>
      </c>
      <c r="L31" s="471">
        <v>0</v>
      </c>
    </row>
    <row r="32" spans="1:12" x14ac:dyDescent="0.2">
      <c r="A32" s="1528" t="s">
        <v>1190</v>
      </c>
      <c r="B32" s="615" t="s">
        <v>760</v>
      </c>
      <c r="C32" s="477"/>
      <c r="D32" s="477"/>
      <c r="E32" s="477"/>
      <c r="F32" s="477"/>
      <c r="G32" s="477"/>
      <c r="H32" s="474"/>
      <c r="I32" s="617"/>
      <c r="J32" s="480"/>
      <c r="K32" s="1693">
        <f t="shared" si="0"/>
        <v>0</v>
      </c>
      <c r="L32" s="471">
        <v>0</v>
      </c>
    </row>
    <row r="33" spans="1:14" ht="12.75" customHeight="1" thickBot="1" x14ac:dyDescent="0.25">
      <c r="A33" s="1690" t="s">
        <v>1766</v>
      </c>
      <c r="B33" s="1691" t="s">
        <v>590</v>
      </c>
      <c r="C33" s="1692">
        <f>SUM(C5:C32)</f>
        <v>1611523</v>
      </c>
      <c r="D33" s="1692">
        <f t="shared" ref="D33:L33" si="1">SUM(D5:D32)</f>
        <v>250517</v>
      </c>
      <c r="E33" s="1692">
        <f t="shared" si="1"/>
        <v>79513</v>
      </c>
      <c r="F33" s="1692">
        <f t="shared" si="1"/>
        <v>45111</v>
      </c>
      <c r="G33" s="1692">
        <f t="shared" si="1"/>
        <v>0</v>
      </c>
      <c r="H33" s="1692">
        <f t="shared" si="1"/>
        <v>100290</v>
      </c>
      <c r="I33" s="1692">
        <f t="shared" si="1"/>
        <v>0</v>
      </c>
      <c r="J33" s="1692">
        <f t="shared" si="1"/>
        <v>0</v>
      </c>
      <c r="K33" s="1692">
        <f t="shared" si="1"/>
        <v>2086954</v>
      </c>
      <c r="L33" s="1692">
        <f t="shared" si="1"/>
        <v>1958114</v>
      </c>
    </row>
    <row r="34" spans="1:14" s="621" customFormat="1" ht="15.75" customHeight="1" thickTop="1" x14ac:dyDescent="0.2">
      <c r="A34" s="1630" t="s">
        <v>48</v>
      </c>
      <c r="B34" s="1631" t="s">
        <v>589</v>
      </c>
      <c r="C34" s="619"/>
      <c r="D34" s="619"/>
      <c r="E34" s="619"/>
      <c r="F34" s="619"/>
      <c r="G34" s="619"/>
      <c r="H34" s="619"/>
      <c r="I34" s="617"/>
      <c r="J34" s="617"/>
      <c r="K34" s="617"/>
      <c r="L34" s="617"/>
      <c r="M34" s="620"/>
      <c r="N34" s="620"/>
    </row>
    <row r="35" spans="1:14" s="621" customFormat="1" ht="15.75" customHeight="1" x14ac:dyDescent="0.2">
      <c r="A35" s="622" t="s">
        <v>611</v>
      </c>
      <c r="B35" s="623"/>
      <c r="C35" s="624"/>
      <c r="D35" s="624"/>
      <c r="E35" s="624"/>
      <c r="F35" s="624"/>
      <c r="G35" s="624"/>
      <c r="H35" s="624"/>
      <c r="I35" s="617"/>
      <c r="J35" s="617"/>
      <c r="K35" s="617"/>
      <c r="L35" s="617"/>
      <c r="M35" s="620"/>
      <c r="N35" s="620"/>
    </row>
    <row r="36" spans="1:14" x14ac:dyDescent="0.2">
      <c r="A36" s="1526" t="s">
        <v>1149</v>
      </c>
      <c r="B36" s="615">
        <v>2110</v>
      </c>
      <c r="C36" s="481"/>
      <c r="D36" s="481"/>
      <c r="E36" s="481"/>
      <c r="F36" s="481"/>
      <c r="G36" s="481"/>
      <c r="H36" s="481"/>
      <c r="I36" s="467"/>
      <c r="J36" s="467"/>
      <c r="K36" s="1693">
        <f t="shared" ref="K36:K41" si="2">SUM(C36:J36)</f>
        <v>0</v>
      </c>
      <c r="L36" s="466">
        <v>0</v>
      </c>
    </row>
    <row r="37" spans="1:14" x14ac:dyDescent="0.2">
      <c r="A37" s="1526" t="s">
        <v>1150</v>
      </c>
      <c r="B37" s="615">
        <v>2120</v>
      </c>
      <c r="C37" s="466">
        <v>50780</v>
      </c>
      <c r="D37" s="466">
        <v>8488</v>
      </c>
      <c r="E37" s="466"/>
      <c r="F37" s="466">
        <v>43</v>
      </c>
      <c r="G37" s="466"/>
      <c r="H37" s="466"/>
      <c r="I37" s="467"/>
      <c r="J37" s="467"/>
      <c r="K37" s="1693">
        <f t="shared" si="2"/>
        <v>59311</v>
      </c>
      <c r="L37" s="466">
        <v>59014</v>
      </c>
    </row>
    <row r="38" spans="1:14" x14ac:dyDescent="0.2">
      <c r="A38" s="1526" t="s">
        <v>207</v>
      </c>
      <c r="B38" s="615">
        <v>2130</v>
      </c>
      <c r="C38" s="466">
        <v>44716</v>
      </c>
      <c r="D38" s="466">
        <v>7812</v>
      </c>
      <c r="E38" s="466">
        <v>615</v>
      </c>
      <c r="F38" s="466">
        <v>793</v>
      </c>
      <c r="G38" s="466"/>
      <c r="H38" s="466">
        <v>161</v>
      </c>
      <c r="I38" s="467"/>
      <c r="J38" s="467"/>
      <c r="K38" s="1693">
        <f t="shared" si="2"/>
        <v>54097</v>
      </c>
      <c r="L38" s="466">
        <v>51853</v>
      </c>
    </row>
    <row r="39" spans="1:14" x14ac:dyDescent="0.2">
      <c r="A39" s="1526" t="s">
        <v>208</v>
      </c>
      <c r="B39" s="615">
        <v>2140</v>
      </c>
      <c r="C39" s="466"/>
      <c r="D39" s="466"/>
      <c r="E39" s="466"/>
      <c r="F39" s="466"/>
      <c r="G39" s="466"/>
      <c r="H39" s="466"/>
      <c r="I39" s="467"/>
      <c r="J39" s="467"/>
      <c r="K39" s="1693">
        <f t="shared" si="2"/>
        <v>0</v>
      </c>
      <c r="L39" s="466">
        <v>0</v>
      </c>
    </row>
    <row r="40" spans="1:14" x14ac:dyDescent="0.2">
      <c r="A40" s="1526" t="s">
        <v>209</v>
      </c>
      <c r="B40" s="615">
        <v>2150</v>
      </c>
      <c r="C40" s="466"/>
      <c r="D40" s="466"/>
      <c r="E40" s="466">
        <v>77653</v>
      </c>
      <c r="F40" s="466"/>
      <c r="G40" s="466"/>
      <c r="H40" s="466"/>
      <c r="I40" s="467"/>
      <c r="J40" s="467"/>
      <c r="K40" s="1693">
        <f t="shared" si="2"/>
        <v>77653</v>
      </c>
      <c r="L40" s="466">
        <v>73000</v>
      </c>
    </row>
    <row r="41" spans="1:14" x14ac:dyDescent="0.2">
      <c r="A41" s="1526" t="s">
        <v>1767</v>
      </c>
      <c r="B41" s="615">
        <v>2190</v>
      </c>
      <c r="C41" s="466"/>
      <c r="D41" s="466"/>
      <c r="E41" s="466">
        <v>722</v>
      </c>
      <c r="F41" s="466">
        <v>565</v>
      </c>
      <c r="G41" s="466"/>
      <c r="H41" s="466"/>
      <c r="I41" s="467"/>
      <c r="J41" s="467"/>
      <c r="K41" s="1693">
        <f t="shared" si="2"/>
        <v>1287</v>
      </c>
      <c r="L41" s="466">
        <v>1100</v>
      </c>
    </row>
    <row r="42" spans="1:14" ht="12.75" customHeight="1" thickBot="1" x14ac:dyDescent="0.25">
      <c r="A42" s="1690" t="s">
        <v>580</v>
      </c>
      <c r="B42" s="1691" t="s">
        <v>739</v>
      </c>
      <c r="C42" s="1692">
        <f>SUM(C36:C41)</f>
        <v>95496</v>
      </c>
      <c r="D42" s="1692">
        <f t="shared" ref="D42:L42" si="3">SUM(D36:D41)</f>
        <v>16300</v>
      </c>
      <c r="E42" s="1692">
        <f t="shared" si="3"/>
        <v>78990</v>
      </c>
      <c r="F42" s="1692">
        <f t="shared" si="3"/>
        <v>1401</v>
      </c>
      <c r="G42" s="1692">
        <f t="shared" si="3"/>
        <v>0</v>
      </c>
      <c r="H42" s="1692">
        <f t="shared" si="3"/>
        <v>161</v>
      </c>
      <c r="I42" s="1692">
        <f t="shared" si="3"/>
        <v>0</v>
      </c>
      <c r="J42" s="1692">
        <f t="shared" si="3"/>
        <v>0</v>
      </c>
      <c r="K42" s="1692">
        <f t="shared" si="3"/>
        <v>192348</v>
      </c>
      <c r="L42" s="1692">
        <f t="shared" si="3"/>
        <v>184967</v>
      </c>
    </row>
    <row r="43" spans="1:14" ht="15.75" customHeight="1" thickTop="1" x14ac:dyDescent="0.2">
      <c r="A43" s="625" t="s">
        <v>612</v>
      </c>
      <c r="B43" s="626"/>
      <c r="C43" s="627"/>
      <c r="D43" s="627"/>
      <c r="E43" s="627"/>
      <c r="F43" s="627"/>
      <c r="G43" s="627"/>
      <c r="H43" s="627"/>
      <c r="I43" s="617"/>
      <c r="J43" s="617"/>
      <c r="K43" s="627"/>
      <c r="L43" s="627"/>
    </row>
    <row r="44" spans="1:14" x14ac:dyDescent="0.2">
      <c r="A44" s="1526" t="s">
        <v>867</v>
      </c>
      <c r="B44" s="615">
        <v>2210</v>
      </c>
      <c r="C44" s="481"/>
      <c r="D44" s="481"/>
      <c r="E44" s="481">
        <v>7673</v>
      </c>
      <c r="F44" s="481"/>
      <c r="G44" s="481"/>
      <c r="H44" s="481"/>
      <c r="I44" s="467"/>
      <c r="J44" s="467"/>
      <c r="K44" s="1694">
        <f>SUM(C44:J44)</f>
        <v>7673</v>
      </c>
      <c r="L44" s="481">
        <v>7763</v>
      </c>
    </row>
    <row r="45" spans="1:14" x14ac:dyDescent="0.2">
      <c r="A45" s="1526" t="s">
        <v>868</v>
      </c>
      <c r="B45" s="615">
        <v>2220</v>
      </c>
      <c r="C45" s="466"/>
      <c r="D45" s="466"/>
      <c r="E45" s="466"/>
      <c r="F45" s="466">
        <v>1242</v>
      </c>
      <c r="G45" s="466"/>
      <c r="H45" s="466"/>
      <c r="I45" s="467"/>
      <c r="J45" s="467"/>
      <c r="K45" s="1694">
        <f>SUM(C45:J45)</f>
        <v>1242</v>
      </c>
      <c r="L45" s="466">
        <v>1200</v>
      </c>
    </row>
    <row r="46" spans="1:14" x14ac:dyDescent="0.2">
      <c r="A46" s="1526" t="s">
        <v>869</v>
      </c>
      <c r="B46" s="615">
        <v>2230</v>
      </c>
      <c r="C46" s="466"/>
      <c r="D46" s="466"/>
      <c r="E46" s="466">
        <v>404</v>
      </c>
      <c r="F46" s="466"/>
      <c r="G46" s="466"/>
      <c r="H46" s="466"/>
      <c r="I46" s="467"/>
      <c r="J46" s="467"/>
      <c r="K46" s="1694">
        <f>SUM(C46:J46)</f>
        <v>404</v>
      </c>
      <c r="L46" s="466">
        <v>0</v>
      </c>
    </row>
    <row r="47" spans="1:14" ht="12.75" customHeight="1" thickBot="1" x14ac:dyDescent="0.25">
      <c r="A47" s="1690" t="s">
        <v>581</v>
      </c>
      <c r="B47" s="1691" t="s">
        <v>32</v>
      </c>
      <c r="C47" s="1692">
        <f>SUM(C44:C46)</f>
        <v>0</v>
      </c>
      <c r="D47" s="1692">
        <f t="shared" ref="D47:K47" si="4">SUM(D44:D46)</f>
        <v>0</v>
      </c>
      <c r="E47" s="1692">
        <f t="shared" si="4"/>
        <v>8077</v>
      </c>
      <c r="F47" s="1692">
        <f t="shared" si="4"/>
        <v>1242</v>
      </c>
      <c r="G47" s="1692">
        <f t="shared" si="4"/>
        <v>0</v>
      </c>
      <c r="H47" s="1692">
        <f t="shared" si="4"/>
        <v>0</v>
      </c>
      <c r="I47" s="1692">
        <f t="shared" si="4"/>
        <v>0</v>
      </c>
      <c r="J47" s="1692">
        <f t="shared" si="4"/>
        <v>0</v>
      </c>
      <c r="K47" s="1692">
        <f t="shared" si="4"/>
        <v>9319</v>
      </c>
      <c r="L47" s="1692">
        <f>SUM(L44:L46)</f>
        <v>8963</v>
      </c>
    </row>
    <row r="48" spans="1:14" ht="15.75" customHeight="1" thickTop="1" x14ac:dyDescent="0.2">
      <c r="A48" s="625" t="s">
        <v>630</v>
      </c>
      <c r="B48" s="626"/>
      <c r="C48" s="627"/>
      <c r="D48" s="627"/>
      <c r="E48" s="627"/>
      <c r="F48" s="627"/>
      <c r="G48" s="627"/>
      <c r="H48" s="627"/>
      <c r="I48" s="617"/>
      <c r="J48" s="617"/>
      <c r="K48" s="627"/>
      <c r="L48" s="627"/>
    </row>
    <row r="49" spans="1:14" x14ac:dyDescent="0.2">
      <c r="A49" s="1526" t="s">
        <v>870</v>
      </c>
      <c r="B49" s="615">
        <v>2310</v>
      </c>
      <c r="C49" s="481">
        <v>2254</v>
      </c>
      <c r="D49" s="481"/>
      <c r="E49" s="481">
        <v>10157</v>
      </c>
      <c r="F49" s="481">
        <v>2385</v>
      </c>
      <c r="G49" s="481"/>
      <c r="H49" s="481">
        <v>1948</v>
      </c>
      <c r="I49" s="467"/>
      <c r="J49" s="467"/>
      <c r="K49" s="1694">
        <f>SUM(C49:J49)</f>
        <v>16744</v>
      </c>
      <c r="L49" s="481">
        <v>14200</v>
      </c>
    </row>
    <row r="50" spans="1:14" x14ac:dyDescent="0.2">
      <c r="A50" s="1526" t="s">
        <v>871</v>
      </c>
      <c r="B50" s="615">
        <v>2320</v>
      </c>
      <c r="C50" s="466">
        <v>98193</v>
      </c>
      <c r="D50" s="466">
        <v>2818</v>
      </c>
      <c r="E50" s="466">
        <v>2726</v>
      </c>
      <c r="F50" s="466"/>
      <c r="G50" s="466"/>
      <c r="H50" s="466"/>
      <c r="I50" s="467"/>
      <c r="J50" s="467"/>
      <c r="K50" s="1694">
        <f>SUM(C50:J50)</f>
        <v>103737</v>
      </c>
      <c r="L50" s="466">
        <v>99800</v>
      </c>
    </row>
    <row r="51" spans="1:14" x14ac:dyDescent="0.2">
      <c r="A51" s="1526" t="s">
        <v>44</v>
      </c>
      <c r="B51" s="615">
        <v>2330</v>
      </c>
      <c r="C51" s="466"/>
      <c r="D51" s="466"/>
      <c r="E51" s="466"/>
      <c r="F51" s="466"/>
      <c r="G51" s="466"/>
      <c r="H51" s="466"/>
      <c r="I51" s="467"/>
      <c r="J51" s="467"/>
      <c r="K51" s="1694">
        <f>SUM(C51:J51)</f>
        <v>0</v>
      </c>
      <c r="L51" s="466">
        <v>0</v>
      </c>
    </row>
    <row r="52" spans="1:14" ht="22.5" x14ac:dyDescent="0.2">
      <c r="A52" s="1527" t="s">
        <v>315</v>
      </c>
      <c r="B52" s="628" t="s">
        <v>383</v>
      </c>
      <c r="C52" s="474"/>
      <c r="D52" s="474"/>
      <c r="E52" s="474"/>
      <c r="F52" s="474"/>
      <c r="G52" s="474"/>
      <c r="H52" s="474"/>
      <c r="I52" s="474"/>
      <c r="J52" s="474"/>
      <c r="K52" s="1694">
        <f>SUM(C52:J52)</f>
        <v>0</v>
      </c>
      <c r="L52" s="474">
        <v>0</v>
      </c>
    </row>
    <row r="53" spans="1:14" ht="12.75" customHeight="1" thickBot="1" x14ac:dyDescent="0.25">
      <c r="A53" s="1690" t="s">
        <v>740</v>
      </c>
      <c r="B53" s="1691" t="s">
        <v>33</v>
      </c>
      <c r="C53" s="1692">
        <f>SUM(C49:C52)</f>
        <v>100447</v>
      </c>
      <c r="D53" s="1692">
        <f t="shared" ref="D53:L53" si="5">SUM(D49:D52)</f>
        <v>2818</v>
      </c>
      <c r="E53" s="1692">
        <f t="shared" si="5"/>
        <v>12883</v>
      </c>
      <c r="F53" s="1692">
        <f t="shared" si="5"/>
        <v>2385</v>
      </c>
      <c r="G53" s="1692">
        <f t="shared" si="5"/>
        <v>0</v>
      </c>
      <c r="H53" s="1692">
        <f t="shared" si="5"/>
        <v>1948</v>
      </c>
      <c r="I53" s="1692">
        <f t="shared" si="5"/>
        <v>0</v>
      </c>
      <c r="J53" s="1692">
        <f t="shared" si="5"/>
        <v>0</v>
      </c>
      <c r="K53" s="1692">
        <f t="shared" si="5"/>
        <v>120481</v>
      </c>
      <c r="L53" s="1692">
        <f t="shared" si="5"/>
        <v>114000</v>
      </c>
    </row>
    <row r="54" spans="1:14" ht="15.75" customHeight="1" thickTop="1" x14ac:dyDescent="0.2">
      <c r="A54" s="625" t="s">
        <v>631</v>
      </c>
      <c r="B54" s="626"/>
      <c r="C54" s="627"/>
      <c r="D54" s="627"/>
      <c r="E54" s="627"/>
      <c r="F54" s="627"/>
      <c r="G54" s="627"/>
      <c r="H54" s="627"/>
      <c r="I54" s="617"/>
      <c r="J54" s="617"/>
      <c r="K54" s="627"/>
      <c r="L54" s="627"/>
    </row>
    <row r="55" spans="1:14" x14ac:dyDescent="0.2">
      <c r="A55" s="1526" t="s">
        <v>1126</v>
      </c>
      <c r="B55" s="615">
        <v>2410</v>
      </c>
      <c r="C55" s="481">
        <v>159138</v>
      </c>
      <c r="D55" s="481">
        <v>33031</v>
      </c>
      <c r="E55" s="481">
        <v>2629</v>
      </c>
      <c r="F55" s="481"/>
      <c r="G55" s="481"/>
      <c r="H55" s="481">
        <v>613</v>
      </c>
      <c r="I55" s="467"/>
      <c r="J55" s="467"/>
      <c r="K55" s="1694">
        <f>SUM(C55:J55)</f>
        <v>195411</v>
      </c>
      <c r="L55" s="481">
        <v>240350</v>
      </c>
    </row>
    <row r="56" spans="1:14" ht="12.75" customHeight="1" x14ac:dyDescent="0.2">
      <c r="A56" s="1530" t="s">
        <v>393</v>
      </c>
      <c r="B56" s="629">
        <v>2490</v>
      </c>
      <c r="C56" s="466"/>
      <c r="D56" s="466"/>
      <c r="E56" s="466"/>
      <c r="F56" s="466"/>
      <c r="G56" s="466"/>
      <c r="H56" s="466"/>
      <c r="I56" s="467"/>
      <c r="J56" s="467"/>
      <c r="K56" s="1694">
        <f>SUM(C56:J56)</f>
        <v>0</v>
      </c>
      <c r="L56" s="466">
        <v>0</v>
      </c>
    </row>
    <row r="57" spans="1:14" s="343" customFormat="1" ht="12.75" customHeight="1" thickBot="1" x14ac:dyDescent="0.25">
      <c r="A57" s="1690" t="s">
        <v>281</v>
      </c>
      <c r="B57" s="1695" t="s">
        <v>34</v>
      </c>
      <c r="C57" s="1696">
        <f>SUM(C55:C56)</f>
        <v>159138</v>
      </c>
      <c r="D57" s="1696">
        <f t="shared" ref="D57:K57" si="6">SUM(D55:D56)</f>
        <v>33031</v>
      </c>
      <c r="E57" s="1696">
        <f t="shared" si="6"/>
        <v>2629</v>
      </c>
      <c r="F57" s="1696">
        <f t="shared" si="6"/>
        <v>0</v>
      </c>
      <c r="G57" s="1696">
        <f t="shared" si="6"/>
        <v>0</v>
      </c>
      <c r="H57" s="1696">
        <f t="shared" si="6"/>
        <v>613</v>
      </c>
      <c r="I57" s="1696">
        <f t="shared" si="6"/>
        <v>0</v>
      </c>
      <c r="J57" s="1696">
        <f t="shared" si="6"/>
        <v>0</v>
      </c>
      <c r="K57" s="1696">
        <f t="shared" si="6"/>
        <v>195411</v>
      </c>
      <c r="L57" s="1692">
        <f>SUM(L55:L56)</f>
        <v>240350</v>
      </c>
      <c r="M57" s="610"/>
      <c r="N57" s="610"/>
    </row>
    <row r="58" spans="1:14" s="343" customFormat="1" ht="15.75" customHeight="1" thickTop="1" x14ac:dyDescent="0.2">
      <c r="A58" s="625" t="s">
        <v>632</v>
      </c>
      <c r="B58" s="626"/>
      <c r="C58" s="630"/>
      <c r="D58" s="627"/>
      <c r="E58" s="627"/>
      <c r="F58" s="627"/>
      <c r="G58" s="627"/>
      <c r="H58" s="627"/>
      <c r="I58" s="617"/>
      <c r="J58" s="617"/>
      <c r="K58" s="627"/>
      <c r="L58" s="627"/>
      <c r="M58" s="610"/>
      <c r="N58" s="610"/>
    </row>
    <row r="59" spans="1:14" s="343" customFormat="1" x14ac:dyDescent="0.2">
      <c r="A59" s="1526" t="s">
        <v>1127</v>
      </c>
      <c r="B59" s="615">
        <v>2510</v>
      </c>
      <c r="C59" s="481"/>
      <c r="D59" s="481"/>
      <c r="E59" s="481"/>
      <c r="F59" s="481"/>
      <c r="G59" s="481"/>
      <c r="H59" s="481"/>
      <c r="I59" s="467"/>
      <c r="J59" s="467"/>
      <c r="K59" s="1694">
        <f t="shared" ref="K59:K64" si="7">SUM(C59:J59)</f>
        <v>0</v>
      </c>
      <c r="L59" s="481">
        <v>0</v>
      </c>
      <c r="M59" s="610"/>
      <c r="N59" s="610"/>
    </row>
    <row r="60" spans="1:14" s="343" customFormat="1" x14ac:dyDescent="0.2">
      <c r="A60" s="1526" t="s">
        <v>482</v>
      </c>
      <c r="B60" s="615">
        <v>2520</v>
      </c>
      <c r="C60" s="466">
        <v>34563</v>
      </c>
      <c r="D60" s="466">
        <v>7812</v>
      </c>
      <c r="E60" s="466">
        <v>434</v>
      </c>
      <c r="F60" s="466">
        <v>143</v>
      </c>
      <c r="G60" s="466"/>
      <c r="H60" s="466"/>
      <c r="I60" s="467"/>
      <c r="J60" s="467"/>
      <c r="K60" s="1694">
        <f t="shared" si="7"/>
        <v>42952</v>
      </c>
      <c r="L60" s="466">
        <v>41918</v>
      </c>
      <c r="M60" s="610"/>
      <c r="N60" s="610"/>
    </row>
    <row r="61" spans="1:14" s="343" customFormat="1" x14ac:dyDescent="0.2">
      <c r="A61" s="1526" t="s">
        <v>206</v>
      </c>
      <c r="B61" s="615">
        <v>2540</v>
      </c>
      <c r="C61" s="466"/>
      <c r="D61" s="466"/>
      <c r="E61" s="466"/>
      <c r="F61" s="466"/>
      <c r="G61" s="466"/>
      <c r="H61" s="466"/>
      <c r="I61" s="467"/>
      <c r="J61" s="467"/>
      <c r="K61" s="1694">
        <f t="shared" si="7"/>
        <v>0</v>
      </c>
      <c r="L61" s="466">
        <v>0</v>
      </c>
      <c r="M61" s="610"/>
      <c r="N61" s="610"/>
    </row>
    <row r="62" spans="1:14" s="343" customFormat="1" x14ac:dyDescent="0.2">
      <c r="A62" s="1526" t="s">
        <v>1009</v>
      </c>
      <c r="B62" s="615">
        <v>2550</v>
      </c>
      <c r="C62" s="466"/>
      <c r="D62" s="466"/>
      <c r="E62" s="466"/>
      <c r="F62" s="466"/>
      <c r="G62" s="466"/>
      <c r="H62" s="466"/>
      <c r="I62" s="467"/>
      <c r="J62" s="467"/>
      <c r="K62" s="1694">
        <f t="shared" si="7"/>
        <v>0</v>
      </c>
      <c r="L62" s="466">
        <v>0</v>
      </c>
      <c r="M62" s="610"/>
      <c r="N62" s="610"/>
    </row>
    <row r="63" spans="1:14" s="610" customFormat="1" x14ac:dyDescent="0.2">
      <c r="A63" s="1526" t="s">
        <v>102</v>
      </c>
      <c r="B63" s="615">
        <v>2560</v>
      </c>
      <c r="C63" s="466">
        <v>54170</v>
      </c>
      <c r="D63" s="466">
        <v>7812</v>
      </c>
      <c r="E63" s="466">
        <v>1690</v>
      </c>
      <c r="F63" s="466">
        <v>43913</v>
      </c>
      <c r="G63" s="466"/>
      <c r="H63" s="466">
        <v>238</v>
      </c>
      <c r="I63" s="467"/>
      <c r="J63" s="467"/>
      <c r="K63" s="1694">
        <f t="shared" si="7"/>
        <v>107823</v>
      </c>
      <c r="L63" s="466">
        <v>109890</v>
      </c>
    </row>
    <row r="64" spans="1:14" s="610" customFormat="1" x14ac:dyDescent="0.2">
      <c r="A64" s="1531" t="s">
        <v>103</v>
      </c>
      <c r="B64" s="631">
        <v>2570</v>
      </c>
      <c r="C64" s="481"/>
      <c r="D64" s="481"/>
      <c r="E64" s="481"/>
      <c r="F64" s="481"/>
      <c r="G64" s="481"/>
      <c r="H64" s="481"/>
      <c r="I64" s="467"/>
      <c r="J64" s="467"/>
      <c r="K64" s="1694">
        <f t="shared" si="7"/>
        <v>0</v>
      </c>
      <c r="L64" s="481">
        <v>0</v>
      </c>
    </row>
    <row r="65" spans="1:14" s="343" customFormat="1" ht="12.75" customHeight="1" thickBot="1" x14ac:dyDescent="0.25">
      <c r="A65" s="1690" t="s">
        <v>742</v>
      </c>
      <c r="B65" s="1691" t="s">
        <v>35</v>
      </c>
      <c r="C65" s="1692">
        <f>SUM(C59:C64)</f>
        <v>88733</v>
      </c>
      <c r="D65" s="1692">
        <f t="shared" ref="D65:L65" si="8">SUM(D59:D64)</f>
        <v>15624</v>
      </c>
      <c r="E65" s="1692">
        <f t="shared" si="8"/>
        <v>2124</v>
      </c>
      <c r="F65" s="1692">
        <f t="shared" si="8"/>
        <v>44056</v>
      </c>
      <c r="G65" s="1692">
        <f t="shared" si="8"/>
        <v>0</v>
      </c>
      <c r="H65" s="1692">
        <f t="shared" si="8"/>
        <v>238</v>
      </c>
      <c r="I65" s="1692">
        <f t="shared" si="8"/>
        <v>0</v>
      </c>
      <c r="J65" s="1692">
        <f t="shared" si="8"/>
        <v>0</v>
      </c>
      <c r="K65" s="1692">
        <f t="shared" si="8"/>
        <v>150775</v>
      </c>
      <c r="L65" s="1692">
        <f t="shared" si="8"/>
        <v>151808</v>
      </c>
      <c r="M65" s="610"/>
      <c r="N65" s="610"/>
    </row>
    <row r="66" spans="1:14" s="343" customFormat="1" ht="15.75" customHeight="1" thickTop="1" x14ac:dyDescent="0.2">
      <c r="A66" s="625" t="s">
        <v>633</v>
      </c>
      <c r="B66" s="632"/>
      <c r="C66" s="617"/>
      <c r="D66" s="617"/>
      <c r="E66" s="617"/>
      <c r="F66" s="617"/>
      <c r="G66" s="617"/>
      <c r="H66" s="617"/>
      <c r="I66" s="617"/>
      <c r="J66" s="617"/>
      <c r="K66" s="627"/>
      <c r="L66" s="627"/>
      <c r="M66" s="610"/>
      <c r="N66" s="610"/>
    </row>
    <row r="67" spans="1:14" s="343" customFormat="1" x14ac:dyDescent="0.2">
      <c r="A67" s="1526" t="s">
        <v>1119</v>
      </c>
      <c r="B67" s="615">
        <v>2610</v>
      </c>
      <c r="C67" s="466"/>
      <c r="D67" s="466"/>
      <c r="E67" s="466"/>
      <c r="F67" s="466"/>
      <c r="G67" s="466"/>
      <c r="H67" s="466"/>
      <c r="I67" s="467"/>
      <c r="J67" s="467"/>
      <c r="K67" s="1694">
        <f>SUM(C67:J67)</f>
        <v>0</v>
      </c>
      <c r="L67" s="481">
        <v>0</v>
      </c>
      <c r="M67" s="610"/>
      <c r="N67" s="610"/>
    </row>
    <row r="68" spans="1:14" s="343" customFormat="1" x14ac:dyDescent="0.2">
      <c r="A68" s="1526" t="s">
        <v>627</v>
      </c>
      <c r="B68" s="615">
        <v>2620</v>
      </c>
      <c r="C68" s="466"/>
      <c r="D68" s="466"/>
      <c r="E68" s="466"/>
      <c r="F68" s="466"/>
      <c r="G68" s="466"/>
      <c r="H68" s="466"/>
      <c r="I68" s="467"/>
      <c r="J68" s="467"/>
      <c r="K68" s="1694">
        <f>SUM(C68:J68)</f>
        <v>0</v>
      </c>
      <c r="L68" s="466">
        <v>0</v>
      </c>
      <c r="M68" s="610"/>
      <c r="N68" s="610"/>
    </row>
    <row r="69" spans="1:14" s="343" customFormat="1" x14ac:dyDescent="0.2">
      <c r="A69" s="1526" t="s">
        <v>1120</v>
      </c>
      <c r="B69" s="615">
        <v>2630</v>
      </c>
      <c r="C69" s="466"/>
      <c r="D69" s="466"/>
      <c r="E69" s="466"/>
      <c r="F69" s="466"/>
      <c r="G69" s="466"/>
      <c r="H69" s="466"/>
      <c r="I69" s="467"/>
      <c r="J69" s="467"/>
      <c r="K69" s="1694">
        <f>SUM(C69:J69)</f>
        <v>0</v>
      </c>
      <c r="L69" s="466">
        <v>0</v>
      </c>
      <c r="M69" s="610"/>
      <c r="N69" s="610"/>
    </row>
    <row r="70" spans="1:14" s="343" customFormat="1" x14ac:dyDescent="0.2">
      <c r="A70" s="1526" t="s">
        <v>422</v>
      </c>
      <c r="B70" s="615">
        <v>2640</v>
      </c>
      <c r="C70" s="466"/>
      <c r="D70" s="466"/>
      <c r="E70" s="466"/>
      <c r="F70" s="466"/>
      <c r="G70" s="466"/>
      <c r="H70" s="466"/>
      <c r="I70" s="467"/>
      <c r="J70" s="467"/>
      <c r="K70" s="1694">
        <f>SUM(C70:J70)</f>
        <v>0</v>
      </c>
      <c r="L70" s="466">
        <v>0</v>
      </c>
      <c r="M70" s="610"/>
      <c r="N70" s="610"/>
    </row>
    <row r="71" spans="1:14" s="343" customFormat="1" x14ac:dyDescent="0.2">
      <c r="A71" s="1526" t="s">
        <v>423</v>
      </c>
      <c r="B71" s="615">
        <v>2660</v>
      </c>
      <c r="C71" s="466"/>
      <c r="D71" s="466"/>
      <c r="E71" s="466"/>
      <c r="F71" s="466"/>
      <c r="G71" s="466"/>
      <c r="H71" s="466"/>
      <c r="I71" s="467"/>
      <c r="J71" s="467"/>
      <c r="K71" s="1694">
        <f>SUM(C71:J71)</f>
        <v>0</v>
      </c>
      <c r="L71" s="466">
        <v>0</v>
      </c>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1036</v>
      </c>
      <c r="B73" s="633" t="s">
        <v>594</v>
      </c>
      <c r="C73" s="573">
        <v>47736</v>
      </c>
      <c r="D73" s="573">
        <v>7802</v>
      </c>
      <c r="E73" s="573"/>
      <c r="F73" s="573"/>
      <c r="G73" s="573"/>
      <c r="H73" s="573"/>
      <c r="I73" s="531"/>
      <c r="J73" s="531"/>
      <c r="K73" s="1692">
        <f>SUM(C73:J73)</f>
        <v>55538</v>
      </c>
      <c r="L73" s="576">
        <v>55268</v>
      </c>
      <c r="M73" s="610"/>
      <c r="N73" s="610"/>
    </row>
    <row r="74" spans="1:14" ht="12.75" customHeight="1" thickTop="1" thickBot="1" x14ac:dyDescent="0.25">
      <c r="A74" s="1690" t="s">
        <v>864</v>
      </c>
      <c r="B74" s="1698">
        <v>2000</v>
      </c>
      <c r="C74" s="1699">
        <f>SUM(C42,C47,C53,C57,C65,C72,C73)</f>
        <v>491550</v>
      </c>
      <c r="D74" s="1699">
        <f t="shared" ref="D74:K74" si="10">SUM(D42,D47,D53,D57,D65,D72,D73)</f>
        <v>75575</v>
      </c>
      <c r="E74" s="1699">
        <f t="shared" si="10"/>
        <v>104703</v>
      </c>
      <c r="F74" s="1699">
        <f t="shared" si="10"/>
        <v>49084</v>
      </c>
      <c r="G74" s="1699">
        <f t="shared" si="10"/>
        <v>0</v>
      </c>
      <c r="H74" s="1699">
        <f t="shared" si="10"/>
        <v>2960</v>
      </c>
      <c r="I74" s="1699">
        <f t="shared" si="10"/>
        <v>0</v>
      </c>
      <c r="J74" s="1699">
        <f t="shared" si="10"/>
        <v>0</v>
      </c>
      <c r="K74" s="1699">
        <f t="shared" si="10"/>
        <v>723872</v>
      </c>
      <c r="L74" s="1699">
        <f>SUM(L42,L47,L53,L57,L65,L72,L73)</f>
        <v>755356</v>
      </c>
    </row>
    <row r="75" spans="1:14" s="259" customFormat="1" ht="15.75" customHeight="1" thickTop="1" thickBot="1" x14ac:dyDescent="0.25">
      <c r="A75" s="1632" t="s">
        <v>49</v>
      </c>
      <c r="B75" s="1633" t="s">
        <v>595</v>
      </c>
      <c r="C75" s="573"/>
      <c r="D75" s="573"/>
      <c r="E75" s="573"/>
      <c r="F75" s="573"/>
      <c r="G75" s="573"/>
      <c r="H75" s="573"/>
      <c r="I75" s="531"/>
      <c r="J75" s="531"/>
      <c r="K75" s="1692">
        <f>SUM(C75:J75)</f>
        <v>0</v>
      </c>
      <c r="L75" s="576">
        <v>0</v>
      </c>
      <c r="M75" s="614"/>
      <c r="N75" s="614"/>
    </row>
    <row r="76" spans="1:14" s="634" customFormat="1" ht="15.75" customHeight="1" thickTop="1" x14ac:dyDescent="0.2">
      <c r="A76" s="1634" t="s">
        <v>382</v>
      </c>
      <c r="B76" s="1631" t="s">
        <v>914</v>
      </c>
      <c r="C76" s="619"/>
      <c r="D76" s="619"/>
      <c r="E76" s="617"/>
      <c r="F76" s="619"/>
      <c r="G76" s="619"/>
      <c r="H76" s="617"/>
      <c r="I76" s="617"/>
      <c r="J76" s="617"/>
      <c r="K76" s="617"/>
      <c r="L76" s="617"/>
      <c r="M76" s="184"/>
      <c r="N76" s="184"/>
    </row>
    <row r="77" spans="1:14" s="259" customFormat="1" ht="15.75" customHeight="1" x14ac:dyDescent="0.2">
      <c r="A77" s="622" t="s">
        <v>634</v>
      </c>
      <c r="B77" s="623"/>
      <c r="C77" s="617"/>
      <c r="D77" s="617"/>
      <c r="E77" s="624"/>
      <c r="F77" s="617"/>
      <c r="G77" s="617"/>
      <c r="H77" s="624"/>
      <c r="I77" s="617"/>
      <c r="J77" s="617"/>
      <c r="K77" s="624"/>
      <c r="L77" s="624"/>
      <c r="M77" s="614"/>
      <c r="N77" s="614"/>
    </row>
    <row r="78" spans="1:14" x14ac:dyDescent="0.2">
      <c r="A78" s="1526" t="s">
        <v>516</v>
      </c>
      <c r="B78" s="615">
        <v>4110</v>
      </c>
      <c r="C78" s="617"/>
      <c r="D78" s="617"/>
      <c r="E78" s="481"/>
      <c r="F78" s="617"/>
      <c r="G78" s="617"/>
      <c r="H78" s="635"/>
      <c r="I78" s="477"/>
      <c r="J78" s="477"/>
      <c r="K78" s="1693">
        <f t="shared" ref="K78:K83" si="11">SUM(C78:J78)</f>
        <v>0</v>
      </c>
      <c r="L78" s="481">
        <v>1300</v>
      </c>
    </row>
    <row r="79" spans="1:14" x14ac:dyDescent="0.2">
      <c r="A79" s="1526" t="s">
        <v>321</v>
      </c>
      <c r="B79" s="615">
        <v>4120</v>
      </c>
      <c r="C79" s="617"/>
      <c r="D79" s="617"/>
      <c r="E79" s="466">
        <v>42842</v>
      </c>
      <c r="F79" s="617"/>
      <c r="G79" s="617"/>
      <c r="H79" s="466"/>
      <c r="I79" s="477"/>
      <c r="J79" s="477"/>
      <c r="K79" s="1693">
        <f t="shared" si="11"/>
        <v>42842</v>
      </c>
      <c r="L79" s="466">
        <v>45000</v>
      </c>
    </row>
    <row r="80" spans="1:14" x14ac:dyDescent="0.2">
      <c r="A80" s="1526" t="s">
        <v>322</v>
      </c>
      <c r="B80" s="615">
        <v>4130</v>
      </c>
      <c r="C80" s="617"/>
      <c r="D80" s="617"/>
      <c r="E80" s="466"/>
      <c r="F80" s="617"/>
      <c r="G80" s="617"/>
      <c r="H80" s="466"/>
      <c r="I80" s="477"/>
      <c r="J80" s="477"/>
      <c r="K80" s="1693">
        <f t="shared" si="11"/>
        <v>0</v>
      </c>
      <c r="L80" s="466">
        <v>0</v>
      </c>
    </row>
    <row r="81" spans="1:12" x14ac:dyDescent="0.2">
      <c r="A81" s="1526" t="s">
        <v>720</v>
      </c>
      <c r="B81" s="615">
        <v>4140</v>
      </c>
      <c r="C81" s="617"/>
      <c r="D81" s="617"/>
      <c r="E81" s="466">
        <v>322</v>
      </c>
      <c r="F81" s="617"/>
      <c r="G81" s="617"/>
      <c r="H81" s="466"/>
      <c r="I81" s="477"/>
      <c r="J81" s="477"/>
      <c r="K81" s="1693">
        <f t="shared" si="11"/>
        <v>322</v>
      </c>
      <c r="L81" s="466">
        <v>400</v>
      </c>
    </row>
    <row r="82" spans="1:12" x14ac:dyDescent="0.2">
      <c r="A82" s="1526" t="s">
        <v>88</v>
      </c>
      <c r="B82" s="615">
        <v>4170</v>
      </c>
      <c r="C82" s="617"/>
      <c r="D82" s="617"/>
      <c r="E82" s="466"/>
      <c r="F82" s="617"/>
      <c r="G82" s="617"/>
      <c r="H82" s="466"/>
      <c r="I82" s="477"/>
      <c r="J82" s="477"/>
      <c r="K82" s="1693">
        <f t="shared" si="11"/>
        <v>0</v>
      </c>
      <c r="L82" s="466">
        <v>0</v>
      </c>
    </row>
    <row r="83" spans="1:12" x14ac:dyDescent="0.2">
      <c r="A83" s="1530" t="s">
        <v>721</v>
      </c>
      <c r="B83" s="629">
        <v>4190</v>
      </c>
      <c r="C83" s="617"/>
      <c r="D83" s="617"/>
      <c r="E83" s="466">
        <v>150</v>
      </c>
      <c r="F83" s="617"/>
      <c r="G83" s="617"/>
      <c r="H83" s="466"/>
      <c r="I83" s="477"/>
      <c r="J83" s="477"/>
      <c r="K83" s="1693">
        <f t="shared" si="11"/>
        <v>150</v>
      </c>
      <c r="L83" s="466">
        <v>700</v>
      </c>
    </row>
    <row r="84" spans="1:12" ht="13.5" thickBot="1" x14ac:dyDescent="0.25">
      <c r="A84" s="1690" t="s">
        <v>1564</v>
      </c>
      <c r="B84" s="1700">
        <v>4100</v>
      </c>
      <c r="C84" s="617"/>
      <c r="D84" s="617"/>
      <c r="E84" s="1692">
        <f>SUM(E78:E83)</f>
        <v>43314</v>
      </c>
      <c r="F84" s="617"/>
      <c r="G84" s="617"/>
      <c r="H84" s="1692">
        <f>SUM(H78:H83)</f>
        <v>0</v>
      </c>
      <c r="I84" s="477"/>
      <c r="J84" s="477"/>
      <c r="K84" s="1692">
        <f>SUM(K78:K83)</f>
        <v>43314</v>
      </c>
      <c r="L84" s="1692">
        <f>SUM(L78:L83)</f>
        <v>47400</v>
      </c>
    </row>
    <row r="85" spans="1:12" ht="12.75" customHeight="1" thickTop="1" thickBot="1" x14ac:dyDescent="0.25">
      <c r="A85" s="1533" t="s">
        <v>273</v>
      </c>
      <c r="B85" s="636">
        <v>4210</v>
      </c>
      <c r="C85" s="617"/>
      <c r="D85" s="617"/>
      <c r="E85" s="637"/>
      <c r="F85" s="617"/>
      <c r="G85" s="617"/>
      <c r="H85" s="535"/>
      <c r="I85" s="477"/>
      <c r="J85" s="477"/>
      <c r="K85" s="1699">
        <f>H85</f>
        <v>0</v>
      </c>
      <c r="L85" s="530">
        <v>0</v>
      </c>
    </row>
    <row r="86" spans="1:12" ht="12.75" customHeight="1" thickTop="1" thickBot="1" x14ac:dyDescent="0.25">
      <c r="A86" s="1534" t="s">
        <v>722</v>
      </c>
      <c r="B86" s="638">
        <v>4220</v>
      </c>
      <c r="C86" s="617"/>
      <c r="D86" s="617"/>
      <c r="E86" s="639"/>
      <c r="F86" s="617"/>
      <c r="G86" s="617"/>
      <c r="H86" s="467">
        <v>15854</v>
      </c>
      <c r="I86" s="477"/>
      <c r="J86" s="477"/>
      <c r="K86" s="1699">
        <f t="shared" ref="K86:K98" si="12">H86</f>
        <v>15854</v>
      </c>
      <c r="L86" s="530">
        <v>20000</v>
      </c>
    </row>
    <row r="87" spans="1:12" ht="14.25" thickTop="1" thickBot="1" x14ac:dyDescent="0.25">
      <c r="A87" s="1535" t="s">
        <v>723</v>
      </c>
      <c r="B87" s="640">
        <v>4230</v>
      </c>
      <c r="C87" s="617"/>
      <c r="D87" s="617"/>
      <c r="E87" s="639"/>
      <c r="F87" s="617"/>
      <c r="G87" s="617"/>
      <c r="H87" s="467"/>
      <c r="I87" s="477"/>
      <c r="J87" s="477"/>
      <c r="K87" s="1699">
        <f t="shared" si="12"/>
        <v>0</v>
      </c>
      <c r="L87" s="530">
        <v>0</v>
      </c>
    </row>
    <row r="88" spans="1:12" ht="12.75" customHeight="1" thickTop="1" thickBot="1" x14ac:dyDescent="0.25">
      <c r="A88" s="1535" t="s">
        <v>788</v>
      </c>
      <c r="B88" s="640">
        <v>4240</v>
      </c>
      <c r="C88" s="617"/>
      <c r="D88" s="617"/>
      <c r="E88" s="639"/>
      <c r="F88" s="617"/>
      <c r="G88" s="617"/>
      <c r="H88" s="467">
        <v>14625</v>
      </c>
      <c r="I88" s="477"/>
      <c r="J88" s="477"/>
      <c r="K88" s="1699">
        <f t="shared" si="12"/>
        <v>14625</v>
      </c>
      <c r="L88" s="530">
        <v>18000</v>
      </c>
    </row>
    <row r="89" spans="1:12" ht="12.75" customHeight="1" thickTop="1" thickBot="1" x14ac:dyDescent="0.25">
      <c r="A89" s="1535" t="s">
        <v>724</v>
      </c>
      <c r="B89" s="640">
        <v>4270</v>
      </c>
      <c r="C89" s="617"/>
      <c r="D89" s="617"/>
      <c r="E89" s="639"/>
      <c r="F89" s="617"/>
      <c r="G89" s="617"/>
      <c r="H89" s="467"/>
      <c r="I89" s="477"/>
      <c r="J89" s="477"/>
      <c r="K89" s="1699">
        <f t="shared" si="12"/>
        <v>0</v>
      </c>
      <c r="L89" s="530">
        <v>0</v>
      </c>
    </row>
    <row r="90" spans="1:12" ht="12.75" customHeight="1" thickTop="1" thickBot="1" x14ac:dyDescent="0.25">
      <c r="A90" s="1535" t="s">
        <v>709</v>
      </c>
      <c r="B90" s="640">
        <v>4280</v>
      </c>
      <c r="C90" s="617"/>
      <c r="D90" s="617"/>
      <c r="E90" s="639"/>
      <c r="F90" s="617"/>
      <c r="G90" s="617"/>
      <c r="H90" s="467"/>
      <c r="I90" s="477"/>
      <c r="J90" s="477"/>
      <c r="K90" s="1699">
        <f t="shared" si="12"/>
        <v>0</v>
      </c>
      <c r="L90" s="530">
        <v>0</v>
      </c>
    </row>
    <row r="91" spans="1:12" ht="12.75" customHeight="1" thickTop="1" thickBot="1" x14ac:dyDescent="0.25">
      <c r="A91" s="1535" t="s">
        <v>710</v>
      </c>
      <c r="B91" s="640">
        <v>4290</v>
      </c>
      <c r="C91" s="617"/>
      <c r="D91" s="617"/>
      <c r="E91" s="639"/>
      <c r="F91" s="617"/>
      <c r="G91" s="617"/>
      <c r="H91" s="467"/>
      <c r="I91" s="477"/>
      <c r="J91" s="477"/>
      <c r="K91" s="1699">
        <f t="shared" si="12"/>
        <v>0</v>
      </c>
      <c r="L91" s="530">
        <v>0</v>
      </c>
    </row>
    <row r="92" spans="1:12" ht="14.25" thickTop="1" thickBot="1" x14ac:dyDescent="0.25">
      <c r="A92" s="1702" t="s">
        <v>1640</v>
      </c>
      <c r="B92" s="1700">
        <v>4200</v>
      </c>
      <c r="C92" s="617"/>
      <c r="D92" s="617"/>
      <c r="E92" s="639"/>
      <c r="F92" s="617"/>
      <c r="G92" s="617"/>
      <c r="H92" s="1692">
        <f>SUM(H85:H91)</f>
        <v>30479</v>
      </c>
      <c r="I92" s="477"/>
      <c r="J92" s="477"/>
      <c r="K92" s="1699">
        <f t="shared" si="12"/>
        <v>30479</v>
      </c>
      <c r="L92" s="1692">
        <f>SUM(L85:L91)</f>
        <v>38000</v>
      </c>
    </row>
    <row r="93" spans="1:12" ht="14.25" thickTop="1" thickBot="1" x14ac:dyDescent="0.25">
      <c r="A93" s="1534" t="s">
        <v>711</v>
      </c>
      <c r="B93" s="641">
        <v>4310</v>
      </c>
      <c r="C93" s="617"/>
      <c r="D93" s="617"/>
      <c r="E93" s="639"/>
      <c r="F93" s="617"/>
      <c r="G93" s="617"/>
      <c r="H93" s="642"/>
      <c r="I93" s="477"/>
      <c r="J93" s="477"/>
      <c r="K93" s="1699">
        <f t="shared" si="12"/>
        <v>0</v>
      </c>
      <c r="L93" s="532">
        <v>0</v>
      </c>
    </row>
    <row r="94" spans="1:12" ht="12.75" customHeight="1" thickTop="1" thickBot="1" x14ac:dyDescent="0.25">
      <c r="A94" s="1535" t="s">
        <v>712</v>
      </c>
      <c r="B94" s="640">
        <v>4320</v>
      </c>
      <c r="C94" s="617"/>
      <c r="D94" s="617"/>
      <c r="E94" s="639"/>
      <c r="F94" s="617"/>
      <c r="G94" s="617"/>
      <c r="H94" s="467"/>
      <c r="I94" s="477"/>
      <c r="J94" s="477"/>
      <c r="K94" s="1699">
        <f t="shared" si="12"/>
        <v>0</v>
      </c>
      <c r="L94" s="530">
        <v>0</v>
      </c>
    </row>
    <row r="95" spans="1:12" ht="15" customHeight="1" thickTop="1" thickBot="1" x14ac:dyDescent="0.25">
      <c r="A95" s="1535" t="s">
        <v>1567</v>
      </c>
      <c r="B95" s="640">
        <v>4330</v>
      </c>
      <c r="C95" s="617"/>
      <c r="D95" s="617"/>
      <c r="E95" s="639"/>
      <c r="F95" s="617"/>
      <c r="G95" s="617"/>
      <c r="H95" s="467"/>
      <c r="I95" s="477"/>
      <c r="J95" s="477"/>
      <c r="K95" s="1699">
        <f t="shared" si="12"/>
        <v>0</v>
      </c>
      <c r="L95" s="530">
        <v>0</v>
      </c>
    </row>
    <row r="96" spans="1:12" ht="14.25" thickTop="1" thickBot="1" x14ac:dyDescent="0.25">
      <c r="A96" s="1535" t="s">
        <v>713</v>
      </c>
      <c r="B96" s="640">
        <v>4340</v>
      </c>
      <c r="C96" s="617"/>
      <c r="D96" s="617"/>
      <c r="E96" s="639"/>
      <c r="F96" s="617"/>
      <c r="G96" s="617"/>
      <c r="H96" s="467"/>
      <c r="I96" s="477"/>
      <c r="J96" s="477"/>
      <c r="K96" s="1699">
        <f t="shared" si="12"/>
        <v>0</v>
      </c>
      <c r="L96" s="530">
        <v>0</v>
      </c>
    </row>
    <row r="97" spans="1:14" ht="12.75" customHeight="1" thickTop="1" thickBot="1" x14ac:dyDescent="0.25">
      <c r="A97" s="1535" t="s">
        <v>786</v>
      </c>
      <c r="B97" s="640">
        <v>4370</v>
      </c>
      <c r="C97" s="617"/>
      <c r="D97" s="617"/>
      <c r="E97" s="639"/>
      <c r="F97" s="617"/>
      <c r="G97" s="617"/>
      <c r="H97" s="467"/>
      <c r="I97" s="477"/>
      <c r="J97" s="477"/>
      <c r="K97" s="1699">
        <f t="shared" si="12"/>
        <v>0</v>
      </c>
      <c r="L97" s="530">
        <v>0</v>
      </c>
    </row>
    <row r="98" spans="1:14" ht="14.25" thickTop="1" thickBot="1" x14ac:dyDescent="0.25">
      <c r="A98" s="1535" t="s">
        <v>787</v>
      </c>
      <c r="B98" s="640">
        <v>4380</v>
      </c>
      <c r="C98" s="617"/>
      <c r="D98" s="617"/>
      <c r="E98" s="643"/>
      <c r="F98" s="617"/>
      <c r="G98" s="617"/>
      <c r="H98" s="467"/>
      <c r="I98" s="477"/>
      <c r="J98" s="477"/>
      <c r="K98" s="1699">
        <f t="shared" si="12"/>
        <v>0</v>
      </c>
      <c r="L98" s="530">
        <v>0</v>
      </c>
    </row>
    <row r="99" spans="1:14" ht="14.25" thickTop="1" thickBot="1" x14ac:dyDescent="0.25">
      <c r="A99" s="1535" t="s">
        <v>384</v>
      </c>
      <c r="B99" s="640">
        <v>4390</v>
      </c>
      <c r="C99" s="617"/>
      <c r="D99" s="617"/>
      <c r="E99" s="532"/>
      <c r="F99" s="617"/>
      <c r="G99" s="617"/>
      <c r="H99" s="467"/>
      <c r="I99" s="477"/>
      <c r="J99" s="477"/>
      <c r="K99" s="1699">
        <f>SUM(E99,H99)</f>
        <v>0</v>
      </c>
      <c r="L99" s="530">
        <v>0</v>
      </c>
    </row>
    <row r="100" spans="1:14" ht="14.25" thickTop="1" thickBot="1" x14ac:dyDescent="0.25">
      <c r="A100" s="1702" t="s">
        <v>1565</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1568</v>
      </c>
      <c r="B101" s="644" t="s">
        <v>987</v>
      </c>
      <c r="C101" s="617"/>
      <c r="D101" s="617"/>
      <c r="E101" s="531"/>
      <c r="F101" s="617"/>
      <c r="G101" s="617"/>
      <c r="H101" s="531"/>
      <c r="I101" s="477"/>
      <c r="J101" s="477"/>
      <c r="K101" s="1701">
        <f>SUM(C101:J101)</f>
        <v>0</v>
      </c>
      <c r="L101" s="530">
        <v>0</v>
      </c>
    </row>
    <row r="102" spans="1:14" ht="12.75" customHeight="1" thickTop="1" thickBot="1" x14ac:dyDescent="0.25">
      <c r="A102" s="1690" t="s">
        <v>1566</v>
      </c>
      <c r="B102" s="1700">
        <v>4000</v>
      </c>
      <c r="C102" s="617"/>
      <c r="D102" s="617"/>
      <c r="E102" s="1699">
        <f>SUM(E84,E92,E100,E101)</f>
        <v>43314</v>
      </c>
      <c r="F102" s="617"/>
      <c r="G102" s="617"/>
      <c r="H102" s="1699">
        <f>SUM(H84,H92,H100,H101)</f>
        <v>30479</v>
      </c>
      <c r="I102" s="477"/>
      <c r="J102" s="477"/>
      <c r="K102" s="1699">
        <f>SUM(K84,K92,K100,K101)</f>
        <v>73793</v>
      </c>
      <c r="L102" s="1699">
        <f>SUM(L84,L92,L100,L101)</f>
        <v>85400</v>
      </c>
    </row>
    <row r="103" spans="1:14" s="634" customFormat="1" ht="15.75" customHeight="1" thickTop="1" x14ac:dyDescent="0.2">
      <c r="A103" s="1634" t="s">
        <v>533</v>
      </c>
      <c r="B103" s="1631" t="s">
        <v>512</v>
      </c>
      <c r="C103" s="617"/>
      <c r="D103" s="617"/>
      <c r="E103" s="617"/>
      <c r="F103" s="617"/>
      <c r="G103" s="617"/>
      <c r="H103" s="619"/>
      <c r="I103" s="468"/>
      <c r="J103" s="468"/>
      <c r="K103" s="619"/>
      <c r="L103" s="619"/>
      <c r="M103" s="184"/>
      <c r="N103" s="184"/>
    </row>
    <row r="104" spans="1:14" s="647" customFormat="1" ht="15.75" customHeight="1" x14ac:dyDescent="0.2">
      <c r="A104" s="645" t="s">
        <v>635</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v>0</v>
      </c>
      <c r="M105" s="210"/>
      <c r="N105" s="210"/>
    </row>
    <row r="106" spans="1:14" s="598" customFormat="1" x14ac:dyDescent="0.2">
      <c r="A106" s="1526" t="s">
        <v>90</v>
      </c>
      <c r="B106" s="615">
        <v>5120</v>
      </c>
      <c r="C106" s="617"/>
      <c r="D106" s="617"/>
      <c r="E106" s="617"/>
      <c r="F106" s="617"/>
      <c r="G106" s="617"/>
      <c r="H106" s="466"/>
      <c r="I106" s="468"/>
      <c r="J106" s="468"/>
      <c r="K106" s="1693">
        <f>H106</f>
        <v>0</v>
      </c>
      <c r="L106" s="466">
        <v>0</v>
      </c>
      <c r="M106" s="210"/>
      <c r="N106" s="210"/>
    </row>
    <row r="107" spans="1:14" s="598" customFormat="1" ht="12.75" customHeight="1" x14ac:dyDescent="0.2">
      <c r="A107" s="1526" t="s">
        <v>1231</v>
      </c>
      <c r="B107" s="615">
        <v>5130</v>
      </c>
      <c r="C107" s="617"/>
      <c r="D107" s="617"/>
      <c r="E107" s="617"/>
      <c r="F107" s="617"/>
      <c r="G107" s="617"/>
      <c r="H107" s="466"/>
      <c r="I107" s="468"/>
      <c r="J107" s="468"/>
      <c r="K107" s="1693">
        <f>H107</f>
        <v>0</v>
      </c>
      <c r="L107" s="466">
        <v>0</v>
      </c>
      <c r="M107" s="210"/>
      <c r="N107" s="210"/>
    </row>
    <row r="108" spans="1:14" s="598" customFormat="1" x14ac:dyDescent="0.2">
      <c r="A108" s="1526" t="s">
        <v>91</v>
      </c>
      <c r="B108" s="615" t="s">
        <v>609</v>
      </c>
      <c r="C108" s="617"/>
      <c r="D108" s="617"/>
      <c r="E108" s="617"/>
      <c r="F108" s="617"/>
      <c r="G108" s="617"/>
      <c r="H108" s="466"/>
      <c r="I108" s="468"/>
      <c r="J108" s="468"/>
      <c r="K108" s="1693">
        <f>H108</f>
        <v>0</v>
      </c>
      <c r="L108" s="466">
        <v>0</v>
      </c>
      <c r="M108" s="210"/>
      <c r="N108" s="210"/>
    </row>
    <row r="109" spans="1:14" s="598" customFormat="1" x14ac:dyDescent="0.2">
      <c r="A109" s="1526" t="s">
        <v>272</v>
      </c>
      <c r="B109" s="629">
        <v>5150</v>
      </c>
      <c r="C109" s="617"/>
      <c r="D109" s="617"/>
      <c r="E109" s="617"/>
      <c r="F109" s="617"/>
      <c r="G109" s="617"/>
      <c r="H109" s="466"/>
      <c r="I109" s="468"/>
      <c r="J109" s="468"/>
      <c r="K109" s="1693">
        <f>H109</f>
        <v>0</v>
      </c>
      <c r="L109" s="466">
        <v>0</v>
      </c>
      <c r="M109" s="210"/>
      <c r="N109" s="210"/>
    </row>
    <row r="110" spans="1:14" s="598" customFormat="1" ht="12.75" customHeight="1" thickBot="1" x14ac:dyDescent="0.25">
      <c r="A110" s="1690" t="s">
        <v>1163</v>
      </c>
      <c r="B110" s="1697" t="s">
        <v>741</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385</v>
      </c>
      <c r="B111" s="648" t="s">
        <v>38</v>
      </c>
      <c r="C111" s="617"/>
      <c r="D111" s="617"/>
      <c r="E111" s="617"/>
      <c r="F111" s="617"/>
      <c r="G111" s="617"/>
      <c r="H111" s="535"/>
      <c r="I111" s="468"/>
      <c r="J111" s="468"/>
      <c r="K111" s="1705">
        <f>H111</f>
        <v>0</v>
      </c>
      <c r="L111" s="532">
        <v>0</v>
      </c>
      <c r="M111" s="210"/>
      <c r="N111" s="210"/>
    </row>
    <row r="112" spans="1:14" s="598" customFormat="1" ht="12.75" customHeight="1" thickTop="1" thickBot="1" x14ac:dyDescent="0.25">
      <c r="A112" s="1690" t="s">
        <v>658</v>
      </c>
      <c r="B112" s="1691" t="s">
        <v>512</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534</v>
      </c>
      <c r="B113" s="1635" t="s">
        <v>915</v>
      </c>
      <c r="C113" s="624"/>
      <c r="D113" s="624"/>
      <c r="E113" s="617"/>
      <c r="F113" s="617"/>
      <c r="G113" s="617"/>
      <c r="H113" s="624"/>
      <c r="I113" s="468"/>
      <c r="J113" s="468"/>
      <c r="K113" s="624"/>
      <c r="L113" s="531">
        <v>0</v>
      </c>
      <c r="M113" s="614"/>
      <c r="N113" s="614"/>
    </row>
    <row r="114" spans="1:14" ht="12.75" customHeight="1" thickTop="1" thickBot="1" x14ac:dyDescent="0.25">
      <c r="A114" s="1690" t="s">
        <v>50</v>
      </c>
      <c r="B114" s="1704"/>
      <c r="C114" s="1692">
        <f>SUM(C33,C74,C75,C102,C112,C113)</f>
        <v>2103073</v>
      </c>
      <c r="D114" s="1692">
        <f t="shared" ref="D114:K114" si="13">SUM(D33,D74,D75,D102,D112,D113)</f>
        <v>326092</v>
      </c>
      <c r="E114" s="1692">
        <f t="shared" si="13"/>
        <v>227530</v>
      </c>
      <c r="F114" s="1692">
        <f t="shared" si="13"/>
        <v>94195</v>
      </c>
      <c r="G114" s="1692">
        <f t="shared" si="13"/>
        <v>0</v>
      </c>
      <c r="H114" s="1692">
        <f>SUM(H33,H74,H75,H102,H112,H113)</f>
        <v>133729</v>
      </c>
      <c r="I114" s="1692">
        <f t="shared" si="13"/>
        <v>0</v>
      </c>
      <c r="J114" s="1692">
        <f t="shared" si="13"/>
        <v>0</v>
      </c>
      <c r="K114" s="1692">
        <f t="shared" si="13"/>
        <v>2884619</v>
      </c>
      <c r="L114" s="1692">
        <f>SUM(L33,L74,L75,L102,L112,L113)</f>
        <v>2798870</v>
      </c>
    </row>
    <row r="115" spans="1:14" ht="13.5" thickTop="1" x14ac:dyDescent="0.2">
      <c r="A115" s="2173" t="s">
        <v>1052</v>
      </c>
      <c r="B115" s="2174"/>
      <c r="C115" s="619"/>
      <c r="D115" s="619"/>
      <c r="E115" s="619"/>
      <c r="F115" s="619"/>
      <c r="G115" s="619"/>
      <c r="H115" s="619"/>
      <c r="I115" s="619"/>
      <c r="J115" s="619"/>
      <c r="K115" s="1706">
        <f>'Revenues 9-14'!C275-'Expenditures 15-22'!K114</f>
        <v>-481036</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313</v>
      </c>
      <c r="B117" s="2179"/>
      <c r="C117" s="1648"/>
      <c r="D117" s="1649"/>
      <c r="E117" s="1649"/>
      <c r="F117" s="1649"/>
      <c r="G117" s="1649"/>
      <c r="H117" s="1649"/>
      <c r="I117" s="1649"/>
      <c r="J117" s="1649"/>
      <c r="K117" s="1649"/>
      <c r="L117" s="1650"/>
      <c r="M117" s="175"/>
      <c r="N117" s="175"/>
    </row>
    <row r="118" spans="1:14" ht="15.75" customHeight="1" x14ac:dyDescent="0.2">
      <c r="A118" s="1636" t="s">
        <v>1094</v>
      </c>
      <c r="B118" s="1637" t="s">
        <v>589</v>
      </c>
      <c r="C118" s="617"/>
      <c r="D118" s="617"/>
      <c r="E118" s="617"/>
      <c r="F118" s="617"/>
      <c r="G118" s="617"/>
      <c r="H118" s="617"/>
      <c r="I118" s="617"/>
      <c r="J118" s="617"/>
      <c r="K118" s="617"/>
      <c r="L118" s="617"/>
    </row>
    <row r="119" spans="1:14" ht="15.75" customHeight="1" x14ac:dyDescent="0.2">
      <c r="A119" s="653" t="s">
        <v>611</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v>0</v>
      </c>
    </row>
    <row r="121" spans="1:14" ht="15.75" customHeight="1" x14ac:dyDescent="0.2">
      <c r="A121" s="654" t="s">
        <v>632</v>
      </c>
      <c r="B121" s="623"/>
      <c r="C121" s="521"/>
      <c r="D121" s="521"/>
      <c r="E121" s="521"/>
      <c r="F121" s="521"/>
      <c r="G121" s="521"/>
      <c r="H121" s="521"/>
      <c r="I121" s="617"/>
      <c r="J121" s="617"/>
      <c r="K121" s="624"/>
      <c r="L121" s="521"/>
    </row>
    <row r="122" spans="1:14" ht="13.5" thickBot="1" x14ac:dyDescent="0.25">
      <c r="A122" s="1526" t="s">
        <v>1127</v>
      </c>
      <c r="B122" s="615">
        <v>2510</v>
      </c>
      <c r="C122" s="466"/>
      <c r="D122" s="466"/>
      <c r="E122" s="466"/>
      <c r="F122" s="466"/>
      <c r="G122" s="466"/>
      <c r="H122" s="466"/>
      <c r="I122" s="467"/>
      <c r="J122" s="467"/>
      <c r="K122" s="1692">
        <f>SUM(C122:J122)</f>
        <v>0</v>
      </c>
      <c r="L122" s="466">
        <v>0</v>
      </c>
    </row>
    <row r="123" spans="1:14" ht="14.25" thickTop="1" thickBot="1" x14ac:dyDescent="0.25">
      <c r="A123" s="1526" t="s">
        <v>4</v>
      </c>
      <c r="B123" s="615">
        <v>2530</v>
      </c>
      <c r="C123" s="466"/>
      <c r="D123" s="466"/>
      <c r="E123" s="466"/>
      <c r="F123" s="466"/>
      <c r="G123" s="466"/>
      <c r="H123" s="466"/>
      <c r="I123" s="467"/>
      <c r="J123" s="467"/>
      <c r="K123" s="1692">
        <f>SUM(C123:J123)</f>
        <v>0</v>
      </c>
      <c r="L123" s="466">
        <v>0</v>
      </c>
    </row>
    <row r="124" spans="1:14" ht="14.25" thickTop="1" thickBot="1" x14ac:dyDescent="0.25">
      <c r="A124" s="1526" t="s">
        <v>206</v>
      </c>
      <c r="B124" s="615">
        <v>2540</v>
      </c>
      <c r="C124" s="466">
        <v>153533</v>
      </c>
      <c r="D124" s="466">
        <v>7853</v>
      </c>
      <c r="E124" s="466">
        <v>60701</v>
      </c>
      <c r="F124" s="466">
        <v>84138</v>
      </c>
      <c r="G124" s="466"/>
      <c r="H124" s="466"/>
      <c r="I124" s="467"/>
      <c r="J124" s="467"/>
      <c r="K124" s="1692">
        <f>SUM(C124:J124)</f>
        <v>306225</v>
      </c>
      <c r="L124" s="466">
        <v>308416</v>
      </c>
    </row>
    <row r="125" spans="1:14" ht="14.25" thickTop="1" thickBot="1" x14ac:dyDescent="0.25">
      <c r="A125" s="1526" t="s">
        <v>1009</v>
      </c>
      <c r="B125" s="615">
        <v>2550</v>
      </c>
      <c r="C125" s="466"/>
      <c r="D125" s="466"/>
      <c r="E125" s="466"/>
      <c r="F125" s="466"/>
      <c r="G125" s="466"/>
      <c r="H125" s="466"/>
      <c r="I125" s="467"/>
      <c r="J125" s="467"/>
      <c r="K125" s="1692">
        <f>SUM(C125:J125)</f>
        <v>0</v>
      </c>
      <c r="L125" s="466">
        <v>0</v>
      </c>
    </row>
    <row r="126" spans="1:14" ht="14.25" thickTop="1" thickBot="1" x14ac:dyDescent="0.25">
      <c r="A126" s="1526" t="s">
        <v>102</v>
      </c>
      <c r="B126" s="615">
        <v>2560</v>
      </c>
      <c r="C126" s="655"/>
      <c r="D126" s="655"/>
      <c r="E126" s="655"/>
      <c r="F126" s="655"/>
      <c r="G126" s="466"/>
      <c r="H126" s="655"/>
      <c r="I126" s="474"/>
      <c r="J126" s="617"/>
      <c r="K126" s="1692">
        <f>SUM(C126:J126)</f>
        <v>0</v>
      </c>
      <c r="L126" s="466">
        <v>0</v>
      </c>
    </row>
    <row r="127" spans="1:14" ht="12.75" customHeight="1" thickTop="1" thickBot="1" x14ac:dyDescent="0.25">
      <c r="A127" s="1690" t="s">
        <v>742</v>
      </c>
      <c r="B127" s="1691" t="s">
        <v>35</v>
      </c>
      <c r="C127" s="1692">
        <f>SUM(C122:C126)</f>
        <v>153533</v>
      </c>
      <c r="D127" s="1692">
        <f t="shared" ref="D127:L127" si="14">SUM(D122:D126)</f>
        <v>7853</v>
      </c>
      <c r="E127" s="1692">
        <f t="shared" si="14"/>
        <v>60701</v>
      </c>
      <c r="F127" s="1692">
        <f t="shared" si="14"/>
        <v>84138</v>
      </c>
      <c r="G127" s="1692">
        <f t="shared" si="14"/>
        <v>0</v>
      </c>
      <c r="H127" s="1692">
        <f t="shared" si="14"/>
        <v>0</v>
      </c>
      <c r="I127" s="1692">
        <f t="shared" si="14"/>
        <v>0</v>
      </c>
      <c r="J127" s="1692">
        <f t="shared" si="14"/>
        <v>0</v>
      </c>
      <c r="K127" s="1692">
        <f t="shared" si="14"/>
        <v>306225</v>
      </c>
      <c r="L127" s="1692">
        <f t="shared" si="14"/>
        <v>308416</v>
      </c>
    </row>
    <row r="128" spans="1:14" ht="12.75" customHeight="1" thickTop="1" x14ac:dyDescent="0.2">
      <c r="A128" s="1533" t="s">
        <v>1036</v>
      </c>
      <c r="B128" s="656" t="s">
        <v>594</v>
      </c>
      <c r="C128" s="657"/>
      <c r="D128" s="657"/>
      <c r="E128" s="657"/>
      <c r="F128" s="657"/>
      <c r="G128" s="657"/>
      <c r="H128" s="657"/>
      <c r="I128" s="535"/>
      <c r="J128" s="535"/>
      <c r="K128" s="1707">
        <f>SUM(C128:J128)</f>
        <v>0</v>
      </c>
      <c r="L128" s="657">
        <v>0</v>
      </c>
    </row>
    <row r="129" spans="1:14" ht="12.75" customHeight="1" thickBot="1" x14ac:dyDescent="0.25">
      <c r="A129" s="1708" t="s">
        <v>864</v>
      </c>
      <c r="B129" s="1709" t="s">
        <v>589</v>
      </c>
      <c r="C129" s="1699">
        <f>SUM(C120,C127,C128)</f>
        <v>153533</v>
      </c>
      <c r="D129" s="1699">
        <f t="shared" ref="D129:L129" si="15">SUM(D120,D127,D128)</f>
        <v>7853</v>
      </c>
      <c r="E129" s="1699">
        <f t="shared" si="15"/>
        <v>60701</v>
      </c>
      <c r="F129" s="1699">
        <f t="shared" si="15"/>
        <v>84138</v>
      </c>
      <c r="G129" s="1699">
        <f t="shared" si="15"/>
        <v>0</v>
      </c>
      <c r="H129" s="1699">
        <f t="shared" si="15"/>
        <v>0</v>
      </c>
      <c r="I129" s="1699">
        <f t="shared" si="15"/>
        <v>0</v>
      </c>
      <c r="J129" s="1699">
        <f t="shared" si="15"/>
        <v>0</v>
      </c>
      <c r="K129" s="1699">
        <f t="shared" si="15"/>
        <v>306225</v>
      </c>
      <c r="L129" s="1699">
        <f t="shared" si="15"/>
        <v>308416</v>
      </c>
    </row>
    <row r="130" spans="1:14" ht="15.75" customHeight="1" thickTop="1" thickBot="1" x14ac:dyDescent="0.25">
      <c r="A130" s="1632" t="s">
        <v>1095</v>
      </c>
      <c r="B130" s="1633" t="s">
        <v>595</v>
      </c>
      <c r="C130" s="576"/>
      <c r="D130" s="576"/>
      <c r="E130" s="576"/>
      <c r="F130" s="576"/>
      <c r="G130" s="576"/>
      <c r="H130" s="576"/>
      <c r="I130" s="531"/>
      <c r="J130" s="531"/>
      <c r="K130" s="1692">
        <f>SUM(C130:J130)</f>
        <v>0</v>
      </c>
      <c r="L130" s="576">
        <v>0</v>
      </c>
    </row>
    <row r="131" spans="1:14" ht="15.75" customHeight="1" thickTop="1" x14ac:dyDescent="0.2">
      <c r="A131" s="1638" t="s">
        <v>636</v>
      </c>
      <c r="B131" s="1631" t="s">
        <v>914</v>
      </c>
      <c r="C131" s="468"/>
      <c r="D131" s="468"/>
      <c r="E131" s="566"/>
      <c r="F131" s="468"/>
      <c r="G131" s="468"/>
      <c r="H131" s="566"/>
      <c r="I131" s="468"/>
      <c r="J131" s="468"/>
      <c r="K131" s="566"/>
      <c r="L131" s="566"/>
    </row>
    <row r="132" spans="1:14" s="384" customFormat="1" ht="13.5" customHeight="1" x14ac:dyDescent="0.2">
      <c r="A132" s="658" t="s">
        <v>634</v>
      </c>
      <c r="B132" s="659"/>
      <c r="C132" s="468"/>
      <c r="D132" s="468"/>
      <c r="E132" s="521"/>
      <c r="F132" s="468"/>
      <c r="G132" s="468"/>
      <c r="H132" s="521"/>
      <c r="I132" s="468"/>
      <c r="J132" s="468"/>
      <c r="K132" s="521"/>
      <c r="L132" s="521"/>
      <c r="M132" s="206"/>
      <c r="N132" s="206"/>
    </row>
    <row r="133" spans="1:14" s="384" customFormat="1" ht="13.5" customHeight="1" x14ac:dyDescent="0.2">
      <c r="A133" s="1512" t="s">
        <v>516</v>
      </c>
      <c r="B133" s="1864" t="s">
        <v>1956</v>
      </c>
      <c r="C133" s="468"/>
      <c r="D133" s="468"/>
      <c r="E133" s="642"/>
      <c r="F133" s="468"/>
      <c r="G133" s="468"/>
      <c r="H133" s="642"/>
      <c r="I133" s="468"/>
      <c r="J133" s="468"/>
      <c r="K133" s="1844">
        <f>SUM(E133,H133)</f>
        <v>0</v>
      </c>
      <c r="L133" s="642">
        <v>0</v>
      </c>
      <c r="M133" s="206"/>
      <c r="N133" s="206"/>
    </row>
    <row r="134" spans="1:14" x14ac:dyDescent="0.2">
      <c r="A134" s="1526" t="s">
        <v>321</v>
      </c>
      <c r="B134" s="615">
        <v>4120</v>
      </c>
      <c r="C134" s="617"/>
      <c r="D134" s="617"/>
      <c r="E134" s="478"/>
      <c r="F134" s="617"/>
      <c r="G134" s="617"/>
      <c r="H134" s="481"/>
      <c r="I134" s="477"/>
      <c r="J134" s="617"/>
      <c r="K134" s="1694">
        <f>SUM(E134,H134)</f>
        <v>0</v>
      </c>
      <c r="L134" s="481">
        <v>0</v>
      </c>
    </row>
    <row r="135" spans="1:14" x14ac:dyDescent="0.2">
      <c r="A135" s="1526" t="s">
        <v>720</v>
      </c>
      <c r="B135" s="615">
        <v>4140</v>
      </c>
      <c r="C135" s="617"/>
      <c r="D135" s="617"/>
      <c r="E135" s="467"/>
      <c r="F135" s="617"/>
      <c r="G135" s="617"/>
      <c r="H135" s="466"/>
      <c r="I135" s="477"/>
      <c r="J135" s="617"/>
      <c r="K135" s="1694">
        <f>SUM(E135,H135)</f>
        <v>0</v>
      </c>
      <c r="L135" s="466">
        <v>0</v>
      </c>
    </row>
    <row r="136" spans="1:14" x14ac:dyDescent="0.2">
      <c r="A136" s="1530" t="s">
        <v>721</v>
      </c>
      <c r="B136" s="629">
        <v>4190</v>
      </c>
      <c r="C136" s="617"/>
      <c r="D136" s="617"/>
      <c r="E136" s="467"/>
      <c r="F136" s="617"/>
      <c r="G136" s="617"/>
      <c r="H136" s="466"/>
      <c r="I136" s="477"/>
      <c r="J136" s="617"/>
      <c r="K136" s="1694">
        <f>SUM(E136,H136)</f>
        <v>0</v>
      </c>
      <c r="L136" s="466">
        <v>0</v>
      </c>
    </row>
    <row r="137" spans="1:14" ht="12.75" customHeight="1" thickBot="1" x14ac:dyDescent="0.25">
      <c r="A137" s="1690" t="s">
        <v>500</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987</v>
      </c>
      <c r="C138" s="617"/>
      <c r="D138" s="617"/>
      <c r="E138" s="479"/>
      <c r="F138" s="617"/>
      <c r="G138" s="617"/>
      <c r="H138" s="576"/>
      <c r="I138" s="477"/>
      <c r="J138" s="617"/>
      <c r="K138" s="1694">
        <f>SUM(E138,H138)</f>
        <v>0</v>
      </c>
      <c r="L138" s="576">
        <v>0</v>
      </c>
    </row>
    <row r="139" spans="1:14" ht="12.75" customHeight="1" thickTop="1" thickBot="1" x14ac:dyDescent="0.25">
      <c r="A139" s="1690" t="s">
        <v>1566</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1096</v>
      </c>
      <c r="B140" s="1635" t="s">
        <v>512</v>
      </c>
      <c r="C140" s="617"/>
      <c r="D140" s="617"/>
      <c r="E140" s="639"/>
      <c r="F140" s="639"/>
      <c r="G140" s="639"/>
      <c r="H140" s="637"/>
      <c r="I140" s="477"/>
      <c r="J140" s="639"/>
      <c r="K140" s="637"/>
      <c r="L140" s="637"/>
    </row>
    <row r="141" spans="1:14" ht="15.75" customHeight="1" x14ac:dyDescent="0.2">
      <c r="A141" s="654" t="s">
        <v>635</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v>0</v>
      </c>
    </row>
    <row r="143" spans="1:14" x14ac:dyDescent="0.2">
      <c r="A143" s="1526" t="s">
        <v>90</v>
      </c>
      <c r="B143" s="615">
        <v>5120</v>
      </c>
      <c r="C143" s="617"/>
      <c r="D143" s="617"/>
      <c r="E143" s="617"/>
      <c r="F143" s="617"/>
      <c r="G143" s="617"/>
      <c r="H143" s="466"/>
      <c r="I143" s="468"/>
      <c r="J143" s="617"/>
      <c r="K143" s="1694">
        <f>SUM(H143)</f>
        <v>0</v>
      </c>
      <c r="L143" s="466">
        <v>0</v>
      </c>
    </row>
    <row r="144" spans="1:14" ht="12.75" customHeight="1" x14ac:dyDescent="0.2">
      <c r="A144" s="1526" t="s">
        <v>1231</v>
      </c>
      <c r="B144" s="629" t="s">
        <v>637</v>
      </c>
      <c r="C144" s="617"/>
      <c r="D144" s="617"/>
      <c r="E144" s="617"/>
      <c r="F144" s="617"/>
      <c r="G144" s="617"/>
      <c r="H144" s="466"/>
      <c r="I144" s="468"/>
      <c r="J144" s="617"/>
      <c r="K144" s="1694">
        <f>SUM(H144)</f>
        <v>0</v>
      </c>
      <c r="L144" s="466">
        <v>0</v>
      </c>
    </row>
    <row r="145" spans="1:14" x14ac:dyDescent="0.2">
      <c r="A145" s="1526" t="s">
        <v>91</v>
      </c>
      <c r="B145" s="615" t="s">
        <v>609</v>
      </c>
      <c r="C145" s="617"/>
      <c r="D145" s="617"/>
      <c r="E145" s="617"/>
      <c r="F145" s="617"/>
      <c r="G145" s="617"/>
      <c r="H145" s="466"/>
      <c r="I145" s="468"/>
      <c r="J145" s="617"/>
      <c r="K145" s="1694">
        <f>SUM(H145)</f>
        <v>0</v>
      </c>
      <c r="L145" s="466">
        <v>0</v>
      </c>
    </row>
    <row r="146" spans="1:14" ht="12.75" customHeight="1" x14ac:dyDescent="0.2">
      <c r="A146" s="1526" t="s">
        <v>639</v>
      </c>
      <c r="B146" s="615" t="s">
        <v>638</v>
      </c>
      <c r="C146" s="617"/>
      <c r="D146" s="617"/>
      <c r="E146" s="617"/>
      <c r="F146" s="617"/>
      <c r="G146" s="617"/>
      <c r="H146" s="466"/>
      <c r="I146" s="468"/>
      <c r="J146" s="617"/>
      <c r="K146" s="1694">
        <f>SUM(H146)</f>
        <v>0</v>
      </c>
      <c r="L146" s="466">
        <v>0</v>
      </c>
    </row>
    <row r="147" spans="1:14" ht="12.75" customHeight="1" thickBot="1" x14ac:dyDescent="0.25">
      <c r="A147" s="1537" t="s">
        <v>646</v>
      </c>
      <c r="B147" s="660" t="s">
        <v>741</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1164</v>
      </c>
      <c r="B148" s="662" t="s">
        <v>38</v>
      </c>
      <c r="C148" s="617"/>
      <c r="D148" s="617"/>
      <c r="E148" s="617"/>
      <c r="F148" s="617"/>
      <c r="G148" s="617"/>
      <c r="H148" s="479"/>
      <c r="I148" s="468"/>
      <c r="J148" s="617"/>
      <c r="K148" s="1694">
        <f>SUM(H148)</f>
        <v>0</v>
      </c>
      <c r="L148" s="492">
        <v>0</v>
      </c>
    </row>
    <row r="149" spans="1:14" ht="12.75" customHeight="1" thickBot="1" x14ac:dyDescent="0.25">
      <c r="A149" s="1529" t="s">
        <v>658</v>
      </c>
      <c r="B149" s="618" t="s">
        <v>512</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1097</v>
      </c>
      <c r="B150" s="1635" t="s">
        <v>915</v>
      </c>
      <c r="C150" s="617"/>
      <c r="D150" s="617"/>
      <c r="E150" s="617"/>
      <c r="F150" s="617"/>
      <c r="G150" s="617"/>
      <c r="H150" s="663"/>
      <c r="I150" s="521"/>
      <c r="J150" s="617"/>
      <c r="K150" s="624"/>
      <c r="L150" s="573">
        <v>0</v>
      </c>
    </row>
    <row r="151" spans="1:14" ht="12.75" customHeight="1" thickTop="1" thickBot="1" x14ac:dyDescent="0.25">
      <c r="A151" s="2190" t="s">
        <v>640</v>
      </c>
      <c r="B151" s="2170"/>
      <c r="C151" s="1692">
        <f>SUM(C129,C130,C139,C149,C150)</f>
        <v>153533</v>
      </c>
      <c r="D151" s="1692">
        <f t="shared" ref="D151:K151" si="16">SUM(D129,D130,D139,D149,D150)</f>
        <v>7853</v>
      </c>
      <c r="E151" s="1692">
        <f t="shared" si="16"/>
        <v>60701</v>
      </c>
      <c r="F151" s="1692">
        <f t="shared" si="16"/>
        <v>84138</v>
      </c>
      <c r="G151" s="1692">
        <f t="shared" si="16"/>
        <v>0</v>
      </c>
      <c r="H151" s="1692">
        <f t="shared" si="16"/>
        <v>0</v>
      </c>
      <c r="I151" s="1692">
        <f t="shared" si="16"/>
        <v>0</v>
      </c>
      <c r="J151" s="1692">
        <f t="shared" si="16"/>
        <v>0</v>
      </c>
      <c r="K151" s="1692">
        <f t="shared" si="16"/>
        <v>306225</v>
      </c>
      <c r="L151" s="1692">
        <f>SUM(L129,L130,L139,L149,L150)</f>
        <v>308416</v>
      </c>
    </row>
    <row r="152" spans="1:14" ht="12.75" customHeight="1" thickTop="1" x14ac:dyDescent="0.2">
      <c r="A152" s="2193" t="s">
        <v>1239</v>
      </c>
      <c r="B152" s="2194"/>
      <c r="C152" s="619"/>
      <c r="D152" s="619"/>
      <c r="E152" s="619"/>
      <c r="F152" s="619"/>
      <c r="G152" s="619"/>
      <c r="H152" s="619"/>
      <c r="I152" s="619"/>
      <c r="J152" s="617"/>
      <c r="K152" s="1706">
        <f>'Revenues 9-14'!D275-'Expenditures 15-22'!K151</f>
        <v>58</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641</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914</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516</v>
      </c>
      <c r="B157" s="1850" t="s">
        <v>1956</v>
      </c>
      <c r="C157" s="617"/>
      <c r="D157" s="617"/>
      <c r="E157" s="617"/>
      <c r="F157" s="617"/>
      <c r="G157" s="617"/>
      <c r="H157" s="642">
        <v>6559</v>
      </c>
      <c r="I157" s="617"/>
      <c r="J157" s="617"/>
      <c r="K157" s="1693">
        <f>H157</f>
        <v>6559</v>
      </c>
      <c r="L157" s="467">
        <v>6625</v>
      </c>
      <c r="M157" s="620"/>
      <c r="N157" s="620"/>
    </row>
    <row r="158" spans="1:14" s="621" customFormat="1" ht="12" x14ac:dyDescent="0.2">
      <c r="A158" s="1849" t="s">
        <v>321</v>
      </c>
      <c r="B158" s="1850" t="s">
        <v>1958</v>
      </c>
      <c r="C158" s="617"/>
      <c r="D158" s="617"/>
      <c r="E158" s="617"/>
      <c r="F158" s="617"/>
      <c r="G158" s="617"/>
      <c r="H158" s="467"/>
      <c r="I158" s="617"/>
      <c r="J158" s="617"/>
      <c r="K158" s="1693">
        <f>H158</f>
        <v>0</v>
      </c>
      <c r="L158" s="467">
        <v>0</v>
      </c>
      <c r="M158" s="620"/>
      <c r="N158" s="620"/>
    </row>
    <row r="159" spans="1:14" s="621" customFormat="1" ht="12" x14ac:dyDescent="0.2">
      <c r="A159" s="1849" t="s">
        <v>1959</v>
      </c>
      <c r="B159" s="1850" t="s">
        <v>578</v>
      </c>
      <c r="C159" s="617"/>
      <c r="D159" s="617"/>
      <c r="E159" s="617"/>
      <c r="F159" s="617"/>
      <c r="G159" s="617"/>
      <c r="H159" s="467"/>
      <c r="I159" s="617"/>
      <c r="J159" s="617"/>
      <c r="K159" s="1693">
        <f>H159</f>
        <v>0</v>
      </c>
      <c r="L159" s="467">
        <v>0</v>
      </c>
      <c r="M159" s="620"/>
      <c r="N159" s="620"/>
    </row>
    <row r="160" spans="1:14" s="621" customFormat="1" ht="15.75" customHeight="1" thickBot="1" x14ac:dyDescent="0.25">
      <c r="A160" s="1851" t="s">
        <v>1960</v>
      </c>
      <c r="B160" s="1852" t="s">
        <v>914</v>
      </c>
      <c r="C160" s="617"/>
      <c r="D160" s="617"/>
      <c r="E160" s="617"/>
      <c r="F160" s="617"/>
      <c r="G160" s="617"/>
      <c r="H160" s="1710">
        <f>SUM(H157:H159)</f>
        <v>6559</v>
      </c>
      <c r="I160" s="617"/>
      <c r="J160" s="617"/>
      <c r="K160" s="1692">
        <f>SUM(K157:K159)</f>
        <v>6559</v>
      </c>
      <c r="L160" s="1710">
        <f>SUM(L157:L159)</f>
        <v>6625</v>
      </c>
      <c r="M160" s="620"/>
      <c r="N160" s="620"/>
    </row>
    <row r="161" spans="1:14" s="259" customFormat="1" ht="15.75" customHeight="1" thickTop="1" x14ac:dyDescent="0.2">
      <c r="A161" s="1634" t="s">
        <v>84</v>
      </c>
      <c r="B161" s="1635" t="s">
        <v>512</v>
      </c>
      <c r="C161" s="617"/>
      <c r="D161" s="617"/>
      <c r="E161" s="617"/>
      <c r="F161" s="617"/>
      <c r="G161" s="617"/>
      <c r="H161" s="617"/>
      <c r="I161" s="617"/>
      <c r="J161" s="617"/>
      <c r="K161" s="617"/>
      <c r="L161" s="617"/>
      <c r="M161" s="614"/>
      <c r="N161" s="614"/>
    </row>
    <row r="162" spans="1:14" s="259" customFormat="1" ht="15.75" customHeight="1" x14ac:dyDescent="0.2">
      <c r="A162" s="654" t="s">
        <v>635</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v>0</v>
      </c>
    </row>
    <row r="164" spans="1:14" x14ac:dyDescent="0.2">
      <c r="A164" s="1526" t="s">
        <v>90</v>
      </c>
      <c r="B164" s="615">
        <v>5120</v>
      </c>
      <c r="C164" s="617"/>
      <c r="D164" s="617"/>
      <c r="E164" s="617"/>
      <c r="F164" s="617"/>
      <c r="G164" s="617"/>
      <c r="H164" s="466"/>
      <c r="I164" s="617"/>
      <c r="J164" s="617"/>
      <c r="K164" s="1693">
        <f>SUM(C164:J164)</f>
        <v>0</v>
      </c>
      <c r="L164" s="466">
        <v>0</v>
      </c>
    </row>
    <row r="165" spans="1:14" ht="12.75" customHeight="1" x14ac:dyDescent="0.2">
      <c r="A165" s="1526" t="s">
        <v>1231</v>
      </c>
      <c r="B165" s="615" t="s">
        <v>637</v>
      </c>
      <c r="C165" s="617"/>
      <c r="D165" s="617"/>
      <c r="E165" s="617"/>
      <c r="F165" s="617"/>
      <c r="G165" s="617"/>
      <c r="H165" s="466"/>
      <c r="I165" s="617"/>
      <c r="J165" s="617"/>
      <c r="K165" s="1693">
        <f>SUM(C165:J165)</f>
        <v>0</v>
      </c>
      <c r="L165" s="466">
        <v>0</v>
      </c>
    </row>
    <row r="166" spans="1:14" x14ac:dyDescent="0.2">
      <c r="A166" s="1526" t="s">
        <v>91</v>
      </c>
      <c r="B166" s="629" t="s">
        <v>609</v>
      </c>
      <c r="C166" s="617"/>
      <c r="D166" s="617"/>
      <c r="E166" s="617"/>
      <c r="F166" s="617"/>
      <c r="G166" s="617"/>
      <c r="H166" s="466"/>
      <c r="I166" s="617"/>
      <c r="J166" s="617"/>
      <c r="K166" s="1693">
        <f>SUM(C166:J166)</f>
        <v>0</v>
      </c>
      <c r="L166" s="466">
        <v>0</v>
      </c>
    </row>
    <row r="167" spans="1:14" ht="12.75" customHeight="1" x14ac:dyDescent="0.2">
      <c r="A167" s="1526" t="s">
        <v>639</v>
      </c>
      <c r="B167" s="615" t="s">
        <v>638</v>
      </c>
      <c r="C167" s="617"/>
      <c r="D167" s="617"/>
      <c r="E167" s="617"/>
      <c r="F167" s="617"/>
      <c r="G167" s="617"/>
      <c r="H167" s="466"/>
      <c r="I167" s="617"/>
      <c r="J167" s="617"/>
      <c r="K167" s="1693">
        <f>SUM(C167:J167)</f>
        <v>0</v>
      </c>
      <c r="L167" s="466">
        <v>0</v>
      </c>
    </row>
    <row r="168" spans="1:14" ht="13.5" thickBot="1" x14ac:dyDescent="0.25">
      <c r="A168" s="1690" t="s">
        <v>293</v>
      </c>
      <c r="B168" s="1697" t="s">
        <v>741</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66</v>
      </c>
      <c r="I169" s="617"/>
      <c r="J169" s="617"/>
      <c r="K169" s="1693">
        <f>SUM(C169:H169)</f>
        <v>66</v>
      </c>
      <c r="L169" s="657">
        <v>0</v>
      </c>
    </row>
    <row r="170" spans="1:14" ht="33.75" customHeight="1" x14ac:dyDescent="0.2">
      <c r="A170" s="670" t="s">
        <v>1768</v>
      </c>
      <c r="B170" s="672" t="s">
        <v>31</v>
      </c>
      <c r="C170" s="617"/>
      <c r="D170" s="617"/>
      <c r="E170" s="617"/>
      <c r="F170" s="617"/>
      <c r="G170" s="617"/>
      <c r="H170" s="569">
        <v>151000</v>
      </c>
      <c r="I170" s="617"/>
      <c r="J170" s="617"/>
      <c r="K170" s="1693">
        <f>SUM(C170:J170)</f>
        <v>151000</v>
      </c>
      <c r="L170" s="569">
        <v>150000</v>
      </c>
    </row>
    <row r="171" spans="1:14" ht="15.75" customHeight="1" x14ac:dyDescent="0.2">
      <c r="A171" s="622" t="s">
        <v>789</v>
      </c>
      <c r="B171" s="673" t="s">
        <v>86</v>
      </c>
      <c r="C171" s="617"/>
      <c r="D171" s="617"/>
      <c r="E171" s="466"/>
      <c r="F171" s="617"/>
      <c r="G171" s="617"/>
      <c r="H171" s="569"/>
      <c r="I171" s="477"/>
      <c r="J171" s="617"/>
      <c r="K171" s="1693">
        <f>SUM(C171:J171)</f>
        <v>0</v>
      </c>
      <c r="L171" s="569">
        <v>0</v>
      </c>
    </row>
    <row r="172" spans="1:14" ht="12.75" customHeight="1" thickBot="1" x14ac:dyDescent="0.25">
      <c r="A172" s="1690" t="s">
        <v>658</v>
      </c>
      <c r="B172" s="1691" t="s">
        <v>512</v>
      </c>
      <c r="C172" s="617"/>
      <c r="D172" s="617"/>
      <c r="E172" s="1699">
        <f>SUM(E168,E169,E170,E171)</f>
        <v>0</v>
      </c>
      <c r="F172" s="617"/>
      <c r="G172" s="617"/>
      <c r="H172" s="1699">
        <f>SUM(H168,H169,H170,H171)</f>
        <v>151066</v>
      </c>
      <c r="I172" s="639"/>
      <c r="J172" s="617"/>
      <c r="K172" s="1699">
        <f>SUM(K168,K169,K170,K171)</f>
        <v>151066</v>
      </c>
      <c r="L172" s="1699">
        <f>SUM(L168,L169,L170,L171)</f>
        <v>150000</v>
      </c>
    </row>
    <row r="173" spans="1:14" ht="15.75" customHeight="1" thickTop="1" thickBot="1" x14ac:dyDescent="0.25">
      <c r="A173" s="1641" t="s">
        <v>87</v>
      </c>
      <c r="B173" s="1633" t="s">
        <v>915</v>
      </c>
      <c r="C173" s="617"/>
      <c r="D173" s="617"/>
      <c r="E173" s="624"/>
      <c r="F173" s="617"/>
      <c r="G173" s="617"/>
      <c r="H173" s="627"/>
      <c r="I173" s="639"/>
      <c r="J173" s="617"/>
      <c r="K173" s="624"/>
      <c r="L173" s="576">
        <v>0</v>
      </c>
    </row>
    <row r="174" spans="1:14" ht="12.75" customHeight="1" thickTop="1" thickBot="1" x14ac:dyDescent="0.25">
      <c r="A174" s="1711" t="s">
        <v>92</v>
      </c>
      <c r="B174" s="1712"/>
      <c r="C174" s="617"/>
      <c r="D174" s="617"/>
      <c r="E174" s="1699">
        <f>SUM(E155,E172,E173)</f>
        <v>0</v>
      </c>
      <c r="F174" s="617"/>
      <c r="G174" s="617"/>
      <c r="H174" s="1699">
        <f>SUM(H160,H172,H173)</f>
        <v>157625</v>
      </c>
      <c r="I174" s="639"/>
      <c r="J174" s="617"/>
      <c r="K174" s="1699">
        <f>SUM(K160,K172,K173)</f>
        <v>157625</v>
      </c>
      <c r="L174" s="1699">
        <f>SUM(L160,L172,L173)</f>
        <v>156625</v>
      </c>
    </row>
    <row r="175" spans="1:14" ht="13.5" thickTop="1" x14ac:dyDescent="0.2">
      <c r="A175" s="2173" t="s">
        <v>1052</v>
      </c>
      <c r="B175" s="2174"/>
      <c r="C175" s="617"/>
      <c r="D175" s="617"/>
      <c r="E175" s="617"/>
      <c r="F175" s="617"/>
      <c r="G175" s="617"/>
      <c r="H175" s="619"/>
      <c r="I175" s="617"/>
      <c r="J175" s="617"/>
      <c r="K175" s="1706">
        <f>'Revenues 9-14'!E275-'Expenditures 15-22'!K174</f>
        <v>-5958</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993</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994</v>
      </c>
      <c r="B178" s="1643"/>
      <c r="C178" s="617"/>
      <c r="D178" s="617"/>
      <c r="E178" s="617"/>
      <c r="F178" s="617"/>
      <c r="G178" s="617"/>
      <c r="H178" s="617"/>
      <c r="I178" s="617"/>
      <c r="J178" s="617"/>
      <c r="K178" s="617"/>
      <c r="L178" s="617"/>
      <c r="M178" s="666"/>
      <c r="N178" s="666"/>
    </row>
    <row r="179" spans="1:14" s="675" customFormat="1" ht="15.75" customHeight="1" x14ac:dyDescent="0.2">
      <c r="A179" s="676" t="s">
        <v>611</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v>0</v>
      </c>
    </row>
    <row r="181" spans="1:14" ht="15.75" customHeight="1" x14ac:dyDescent="0.2">
      <c r="A181" s="625" t="s">
        <v>632</v>
      </c>
      <c r="B181" s="677"/>
      <c r="C181" s="570"/>
      <c r="D181" s="570"/>
      <c r="E181" s="570"/>
      <c r="F181" s="570"/>
      <c r="G181" s="570"/>
      <c r="H181" s="570"/>
      <c r="I181" s="468"/>
      <c r="J181" s="468"/>
      <c r="K181" s="570"/>
      <c r="L181" s="570"/>
    </row>
    <row r="182" spans="1:14" ht="12.75" customHeight="1" x14ac:dyDescent="0.2">
      <c r="A182" s="1526" t="s">
        <v>1009</v>
      </c>
      <c r="B182" s="615">
        <v>2550</v>
      </c>
      <c r="C182" s="466">
        <v>129205</v>
      </c>
      <c r="D182" s="466">
        <v>8428</v>
      </c>
      <c r="E182" s="466">
        <v>11940</v>
      </c>
      <c r="F182" s="466">
        <v>29876</v>
      </c>
      <c r="G182" s="466"/>
      <c r="H182" s="466"/>
      <c r="I182" s="467"/>
      <c r="J182" s="467"/>
      <c r="K182" s="1693">
        <f>SUM(C182:J182)</f>
        <v>179449</v>
      </c>
      <c r="L182" s="466">
        <v>172768</v>
      </c>
    </row>
    <row r="183" spans="1:14" ht="12.75" customHeight="1" thickBot="1" x14ac:dyDescent="0.25">
      <c r="A183" s="1531" t="s">
        <v>1036</v>
      </c>
      <c r="B183" s="678">
        <v>2900</v>
      </c>
      <c r="C183" s="573"/>
      <c r="D183" s="573"/>
      <c r="E183" s="573"/>
      <c r="F183" s="573"/>
      <c r="G183" s="573"/>
      <c r="H183" s="573"/>
      <c r="I183" s="532"/>
      <c r="J183" s="532"/>
      <c r="K183" s="1699">
        <f>SUM(C183:J183)</f>
        <v>0</v>
      </c>
      <c r="L183" s="573">
        <v>0</v>
      </c>
    </row>
    <row r="184" spans="1:14" ht="12.75" customHeight="1" thickTop="1" thickBot="1" x14ac:dyDescent="0.25">
      <c r="A184" s="1713" t="s">
        <v>864</v>
      </c>
      <c r="B184" s="1691" t="s">
        <v>589</v>
      </c>
      <c r="C184" s="1699">
        <f>SUM(C180,C182,C183)</f>
        <v>129205</v>
      </c>
      <c r="D184" s="1699">
        <f t="shared" ref="D184:J184" si="17">SUM(D180,D182,D183)</f>
        <v>8428</v>
      </c>
      <c r="E184" s="1699">
        <f t="shared" si="17"/>
        <v>11940</v>
      </c>
      <c r="F184" s="1699">
        <f t="shared" si="17"/>
        <v>29876</v>
      </c>
      <c r="G184" s="1699">
        <f t="shared" si="17"/>
        <v>0</v>
      </c>
      <c r="H184" s="1699">
        <f t="shared" si="17"/>
        <v>0</v>
      </c>
      <c r="I184" s="1699">
        <f t="shared" si="17"/>
        <v>0</v>
      </c>
      <c r="J184" s="1699">
        <f t="shared" si="17"/>
        <v>0</v>
      </c>
      <c r="K184" s="1699">
        <f>SUM(K180,K182,K183)</f>
        <v>179449</v>
      </c>
      <c r="L184" s="1699">
        <f>SUM(L180, L182:L183)</f>
        <v>172768</v>
      </c>
    </row>
    <row r="185" spans="1:14" ht="15.75" customHeight="1" thickTop="1" thickBot="1" x14ac:dyDescent="0.25">
      <c r="A185" s="1644" t="s">
        <v>995</v>
      </c>
      <c r="B185" s="1633">
        <v>3000</v>
      </c>
      <c r="C185" s="576"/>
      <c r="D185" s="576"/>
      <c r="E185" s="576"/>
      <c r="F185" s="576"/>
      <c r="G185" s="576"/>
      <c r="H185" s="576"/>
      <c r="I185" s="531"/>
      <c r="J185" s="531"/>
      <c r="K185" s="1692">
        <f>SUM(C185:J185)</f>
        <v>0</v>
      </c>
      <c r="L185" s="576">
        <v>0</v>
      </c>
    </row>
    <row r="186" spans="1:14" s="675" customFormat="1" ht="15.75" customHeight="1" thickTop="1" x14ac:dyDescent="0.2">
      <c r="A186" s="1628" t="s">
        <v>93</v>
      </c>
      <c r="B186" s="1631" t="s">
        <v>914</v>
      </c>
      <c r="C186" s="617"/>
      <c r="D186" s="617"/>
      <c r="E186" s="617"/>
      <c r="F186" s="617"/>
      <c r="G186" s="617"/>
      <c r="H186" s="617"/>
      <c r="I186" s="617"/>
      <c r="J186" s="617"/>
      <c r="K186" s="617"/>
      <c r="L186" s="617"/>
      <c r="M186" s="666"/>
      <c r="N186" s="666"/>
    </row>
    <row r="187" spans="1:14" s="675" customFormat="1" ht="15.75" customHeight="1" x14ac:dyDescent="0.2">
      <c r="A187" s="622" t="s">
        <v>1192</v>
      </c>
      <c r="B187" s="623"/>
      <c r="C187" s="617"/>
      <c r="D187" s="617"/>
      <c r="E187" s="617"/>
      <c r="F187" s="617"/>
      <c r="G187" s="617"/>
      <c r="H187" s="617"/>
      <c r="I187" s="617"/>
      <c r="J187" s="617"/>
      <c r="K187" s="617"/>
      <c r="L187" s="617"/>
      <c r="M187" s="666"/>
      <c r="N187" s="666"/>
    </row>
    <row r="188" spans="1:14" x14ac:dyDescent="0.2">
      <c r="A188" s="1526" t="s">
        <v>516</v>
      </c>
      <c r="B188" s="615">
        <v>4110</v>
      </c>
      <c r="C188" s="617"/>
      <c r="D188" s="617"/>
      <c r="E188" s="466"/>
      <c r="F188" s="617"/>
      <c r="G188" s="617"/>
      <c r="H188" s="466"/>
      <c r="I188" s="477"/>
      <c r="J188" s="617"/>
      <c r="K188" s="1693">
        <f t="shared" ref="K188:K193" si="18">SUM(E188,H188)</f>
        <v>0</v>
      </c>
      <c r="L188" s="466">
        <v>0</v>
      </c>
    </row>
    <row r="189" spans="1:14" x14ac:dyDescent="0.2">
      <c r="A189" s="1526" t="s">
        <v>321</v>
      </c>
      <c r="B189" s="615">
        <v>4120</v>
      </c>
      <c r="C189" s="617"/>
      <c r="D189" s="617"/>
      <c r="E189" s="466">
        <v>26587</v>
      </c>
      <c r="F189" s="617"/>
      <c r="G189" s="617"/>
      <c r="H189" s="466"/>
      <c r="I189" s="477"/>
      <c r="J189" s="617"/>
      <c r="K189" s="1693">
        <f t="shared" si="18"/>
        <v>26587</v>
      </c>
      <c r="L189" s="466">
        <v>0</v>
      </c>
    </row>
    <row r="190" spans="1:14" x14ac:dyDescent="0.2">
      <c r="A190" s="1526" t="s">
        <v>322</v>
      </c>
      <c r="B190" s="629">
        <v>4130</v>
      </c>
      <c r="C190" s="617"/>
      <c r="D190" s="617"/>
      <c r="E190" s="466"/>
      <c r="F190" s="617"/>
      <c r="G190" s="617"/>
      <c r="H190" s="466"/>
      <c r="I190" s="477"/>
      <c r="J190" s="617"/>
      <c r="K190" s="1693">
        <f t="shared" si="18"/>
        <v>0</v>
      </c>
      <c r="L190" s="466">
        <v>0</v>
      </c>
    </row>
    <row r="191" spans="1:14" x14ac:dyDescent="0.2">
      <c r="A191" s="1526" t="s">
        <v>720</v>
      </c>
      <c r="B191" s="615">
        <v>4140</v>
      </c>
      <c r="C191" s="617"/>
      <c r="D191" s="617"/>
      <c r="E191" s="466"/>
      <c r="F191" s="617"/>
      <c r="G191" s="617"/>
      <c r="H191" s="466"/>
      <c r="I191" s="477"/>
      <c r="J191" s="617"/>
      <c r="K191" s="1693">
        <f t="shared" si="18"/>
        <v>0</v>
      </c>
      <c r="L191" s="466">
        <v>0</v>
      </c>
    </row>
    <row r="192" spans="1:14" x14ac:dyDescent="0.2">
      <c r="A192" s="1526" t="s">
        <v>88</v>
      </c>
      <c r="B192" s="615">
        <v>4170</v>
      </c>
      <c r="C192" s="617"/>
      <c r="D192" s="617"/>
      <c r="E192" s="466"/>
      <c r="F192" s="617"/>
      <c r="G192" s="617"/>
      <c r="H192" s="466"/>
      <c r="I192" s="477"/>
      <c r="J192" s="617"/>
      <c r="K192" s="1693">
        <f t="shared" si="18"/>
        <v>0</v>
      </c>
      <c r="L192" s="466">
        <v>0</v>
      </c>
    </row>
    <row r="193" spans="1:14" x14ac:dyDescent="0.2">
      <c r="A193" s="1530" t="s">
        <v>721</v>
      </c>
      <c r="B193" s="629">
        <v>4190</v>
      </c>
      <c r="C193" s="617"/>
      <c r="D193" s="617"/>
      <c r="E193" s="466">
        <v>100</v>
      </c>
      <c r="F193" s="617"/>
      <c r="G193" s="617"/>
      <c r="H193" s="466"/>
      <c r="I193" s="477"/>
      <c r="J193" s="617"/>
      <c r="K193" s="1693">
        <f t="shared" si="18"/>
        <v>100</v>
      </c>
      <c r="L193" s="466">
        <v>0</v>
      </c>
    </row>
    <row r="194" spans="1:14" ht="12.75" customHeight="1" thickBot="1" x14ac:dyDescent="0.25">
      <c r="A194" s="1690" t="s">
        <v>1201</v>
      </c>
      <c r="B194" s="1691" t="s">
        <v>579</v>
      </c>
      <c r="C194" s="617"/>
      <c r="D194" s="617"/>
      <c r="E194" s="1692">
        <f>SUM(E188:E193)</f>
        <v>26687</v>
      </c>
      <c r="F194" s="617"/>
      <c r="G194" s="617"/>
      <c r="H194" s="1692">
        <f>SUM(H188:H193)</f>
        <v>0</v>
      </c>
      <c r="I194" s="477"/>
      <c r="J194" s="617"/>
      <c r="K194" s="1692">
        <f>SUM(K188:K193)</f>
        <v>26687</v>
      </c>
      <c r="L194" s="1692">
        <f>SUM(L188:L193)</f>
        <v>0</v>
      </c>
    </row>
    <row r="195" spans="1:14" ht="15.75" customHeight="1" thickTop="1" x14ac:dyDescent="0.2">
      <c r="A195" s="670" t="s">
        <v>94</v>
      </c>
      <c r="B195" s="679" t="s">
        <v>987</v>
      </c>
      <c r="C195" s="617"/>
      <c r="D195" s="617"/>
      <c r="E195" s="657"/>
      <c r="F195" s="617"/>
      <c r="G195" s="617"/>
      <c r="H195" s="657"/>
      <c r="I195" s="477"/>
      <c r="J195" s="617"/>
      <c r="K195" s="1707">
        <f>SUM(E195,H195)</f>
        <v>0</v>
      </c>
      <c r="L195" s="657">
        <v>0</v>
      </c>
    </row>
    <row r="196" spans="1:14" ht="12.75" customHeight="1" thickBot="1" x14ac:dyDescent="0.25">
      <c r="A196" s="1690" t="s">
        <v>1566</v>
      </c>
      <c r="B196" s="1691" t="s">
        <v>914</v>
      </c>
      <c r="C196" s="617"/>
      <c r="D196" s="617"/>
      <c r="E196" s="1699">
        <f>SUM(E194,E195)</f>
        <v>26687</v>
      </c>
      <c r="F196" s="617"/>
      <c r="G196" s="617"/>
      <c r="H196" s="1699">
        <f>SUM(H194,H195)</f>
        <v>0</v>
      </c>
      <c r="I196" s="477"/>
      <c r="J196" s="617"/>
      <c r="K196" s="1699">
        <f>SUM(K194,K195)</f>
        <v>26687</v>
      </c>
      <c r="L196" s="1699">
        <f>SUM(L194,L195)</f>
        <v>0</v>
      </c>
    </row>
    <row r="197" spans="1:14" s="675" customFormat="1" ht="15.75" customHeight="1" thickTop="1" x14ac:dyDescent="0.2">
      <c r="A197" s="1634" t="s">
        <v>996</v>
      </c>
      <c r="B197" s="1631" t="s">
        <v>512</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v>0</v>
      </c>
    </row>
    <row r="200" spans="1:14" x14ac:dyDescent="0.2">
      <c r="A200" s="1526" t="s">
        <v>90</v>
      </c>
      <c r="B200" s="615">
        <v>5120</v>
      </c>
      <c r="C200" s="617"/>
      <c r="D200" s="617"/>
      <c r="E200" s="617"/>
      <c r="F200" s="617"/>
      <c r="G200" s="617"/>
      <c r="H200" s="466"/>
      <c r="I200" s="617"/>
      <c r="J200" s="617"/>
      <c r="K200" s="1693">
        <f>SUM(H200)</f>
        <v>0</v>
      </c>
      <c r="L200" s="466">
        <v>0</v>
      </c>
    </row>
    <row r="201" spans="1:14" ht="12.75" customHeight="1" x14ac:dyDescent="0.2">
      <c r="A201" s="1526" t="s">
        <v>1231</v>
      </c>
      <c r="B201" s="629" t="s">
        <v>637</v>
      </c>
      <c r="C201" s="617"/>
      <c r="D201" s="617"/>
      <c r="E201" s="617"/>
      <c r="F201" s="617"/>
      <c r="G201" s="617"/>
      <c r="H201" s="466"/>
      <c r="I201" s="617"/>
      <c r="J201" s="617"/>
      <c r="K201" s="1693">
        <f>SUM(H201)</f>
        <v>0</v>
      </c>
      <c r="L201" s="466">
        <v>0</v>
      </c>
    </row>
    <row r="202" spans="1:14" x14ac:dyDescent="0.2">
      <c r="A202" s="1526" t="s">
        <v>91</v>
      </c>
      <c r="B202" s="615" t="s">
        <v>609</v>
      </c>
      <c r="C202" s="617"/>
      <c r="D202" s="617"/>
      <c r="E202" s="617"/>
      <c r="F202" s="617"/>
      <c r="G202" s="617"/>
      <c r="H202" s="466"/>
      <c r="I202" s="617"/>
      <c r="J202" s="617"/>
      <c r="K202" s="1693">
        <f>SUM(H202)</f>
        <v>0</v>
      </c>
      <c r="L202" s="466">
        <v>0</v>
      </c>
    </row>
    <row r="203" spans="1:14" x14ac:dyDescent="0.2">
      <c r="A203" s="1538" t="s">
        <v>639</v>
      </c>
      <c r="B203" s="615" t="s">
        <v>638</v>
      </c>
      <c r="C203" s="617"/>
      <c r="D203" s="617"/>
      <c r="E203" s="617"/>
      <c r="F203" s="617"/>
      <c r="G203" s="617"/>
      <c r="H203" s="471"/>
      <c r="I203" s="617"/>
      <c r="J203" s="617"/>
      <c r="K203" s="1693">
        <f>SUM(H203)</f>
        <v>0</v>
      </c>
      <c r="L203" s="471">
        <v>0</v>
      </c>
    </row>
    <row r="204" spans="1:14" ht="13.5" thickBot="1" x14ac:dyDescent="0.25">
      <c r="A204" s="1690" t="s">
        <v>293</v>
      </c>
      <c r="B204" s="1691" t="s">
        <v>741</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v>6124</v>
      </c>
      <c r="I205" s="617"/>
      <c r="J205" s="617"/>
      <c r="K205" s="1707">
        <f>SUM(H205)</f>
        <v>6124</v>
      </c>
      <c r="L205" s="535">
        <v>7000</v>
      </c>
    </row>
    <row r="206" spans="1:14" ht="30" customHeight="1" x14ac:dyDescent="0.2">
      <c r="A206" s="682" t="s">
        <v>1769</v>
      </c>
      <c r="B206" s="673" t="s">
        <v>31</v>
      </c>
      <c r="C206" s="617"/>
      <c r="D206" s="617"/>
      <c r="E206" s="617"/>
      <c r="F206" s="617"/>
      <c r="G206" s="617"/>
      <c r="H206" s="466">
        <v>71950</v>
      </c>
      <c r="I206" s="617"/>
      <c r="J206" s="617"/>
      <c r="K206" s="1693">
        <f>SUM(H206)</f>
        <v>71950</v>
      </c>
      <c r="L206" s="466">
        <v>72000</v>
      </c>
    </row>
    <row r="207" spans="1:14" ht="15.75" customHeight="1" x14ac:dyDescent="0.2">
      <c r="A207" s="622" t="s">
        <v>789</v>
      </c>
      <c r="B207" s="673" t="s">
        <v>86</v>
      </c>
      <c r="C207" s="617"/>
      <c r="D207" s="617"/>
      <c r="E207" s="617"/>
      <c r="F207" s="617"/>
      <c r="G207" s="617"/>
      <c r="H207" s="467"/>
      <c r="I207" s="617"/>
      <c r="J207" s="617"/>
      <c r="K207" s="1693">
        <f>H207</f>
        <v>0</v>
      </c>
      <c r="L207" s="466">
        <v>0</v>
      </c>
    </row>
    <row r="208" spans="1:14" ht="12.75" customHeight="1" thickBot="1" x14ac:dyDescent="0.25">
      <c r="A208" s="1708" t="s">
        <v>658</v>
      </c>
      <c r="B208" s="1709" t="s">
        <v>512</v>
      </c>
      <c r="C208" s="617"/>
      <c r="D208" s="617"/>
      <c r="E208" s="617"/>
      <c r="F208" s="617"/>
      <c r="G208" s="617"/>
      <c r="H208" s="1699">
        <f>SUM(H204,H205,H206,H207)</f>
        <v>78074</v>
      </c>
      <c r="I208" s="617"/>
      <c r="J208" s="617"/>
      <c r="K208" s="1699">
        <f>SUM(K204,K205,K206,K207)</f>
        <v>78074</v>
      </c>
      <c r="L208" s="1699">
        <f>SUM(L204,L205,L206,L207)</f>
        <v>79000</v>
      </c>
    </row>
    <row r="209" spans="1:14" ht="15.75" customHeight="1" thickTop="1" thickBot="1" x14ac:dyDescent="0.25">
      <c r="A209" s="1628" t="s">
        <v>926</v>
      </c>
      <c r="B209" s="1635" t="s">
        <v>915</v>
      </c>
      <c r="C209" s="624"/>
      <c r="D209" s="624"/>
      <c r="E209" s="624"/>
      <c r="F209" s="624"/>
      <c r="G209" s="624"/>
      <c r="H209" s="624"/>
      <c r="I209" s="617"/>
      <c r="J209" s="617"/>
      <c r="K209" s="624"/>
      <c r="L209" s="576">
        <v>0</v>
      </c>
    </row>
    <row r="210" spans="1:14" ht="12.75" customHeight="1" thickTop="1" thickBot="1" x14ac:dyDescent="0.25">
      <c r="A210" s="1714" t="s">
        <v>294</v>
      </c>
      <c r="B210" s="1715"/>
      <c r="C210" s="1692">
        <f>SUM(C184,C185)</f>
        <v>129205</v>
      </c>
      <c r="D210" s="1692">
        <f>SUM(D184,D185)</f>
        <v>8428</v>
      </c>
      <c r="E210" s="1692">
        <f>SUM(E184,E185,E196)</f>
        <v>38627</v>
      </c>
      <c r="F210" s="1692">
        <f>SUM(F184,F185)</f>
        <v>29876</v>
      </c>
      <c r="G210" s="1692">
        <f>SUM(G184,G185)</f>
        <v>0</v>
      </c>
      <c r="H210" s="1692">
        <f>SUM(H184,H185,H196,H208,H209)</f>
        <v>78074</v>
      </c>
      <c r="I210" s="1692">
        <f>SUM(I184,I185)</f>
        <v>0</v>
      </c>
      <c r="J210" s="1692">
        <f>SUM(J184,J185)</f>
        <v>0</v>
      </c>
      <c r="K210" s="1693">
        <f>SUM(K184,K185,K196,K208,K209)</f>
        <v>284210</v>
      </c>
      <c r="L210" s="1692">
        <f>SUM(L184,L185,L196,L208,L209)</f>
        <v>251768</v>
      </c>
    </row>
    <row r="211" spans="1:14" ht="13.5" thickTop="1" x14ac:dyDescent="0.2">
      <c r="A211" s="2173" t="s">
        <v>1052</v>
      </c>
      <c r="B211" s="2174"/>
      <c r="C211" s="619"/>
      <c r="D211" s="619"/>
      <c r="E211" s="619"/>
      <c r="F211" s="619"/>
      <c r="G211" s="619"/>
      <c r="H211" s="619"/>
      <c r="I211" s="617"/>
      <c r="J211" s="617"/>
      <c r="K211" s="1706">
        <f>'Revenues 9-14'!F275-'Expenditures 15-22'!K210</f>
        <v>2716</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1021</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927</v>
      </c>
      <c r="B214" s="1637" t="s">
        <v>590</v>
      </c>
      <c r="C214" s="617"/>
      <c r="D214" s="624"/>
      <c r="E214" s="617"/>
      <c r="F214" s="617"/>
      <c r="G214" s="617"/>
      <c r="H214" s="617"/>
      <c r="I214" s="617"/>
      <c r="J214" s="617"/>
      <c r="K214" s="624"/>
      <c r="L214" s="624"/>
      <c r="M214" s="666"/>
      <c r="N214" s="666"/>
    </row>
    <row r="215" spans="1:14" x14ac:dyDescent="0.2">
      <c r="A215" s="1526" t="s">
        <v>1017</v>
      </c>
      <c r="B215" s="615">
        <v>1100</v>
      </c>
      <c r="C215" s="617"/>
      <c r="D215" s="466">
        <f>17419+12357+18601</f>
        <v>48377</v>
      </c>
      <c r="E215" s="617"/>
      <c r="F215" s="617"/>
      <c r="G215" s="617"/>
      <c r="H215" s="617"/>
      <c r="I215" s="617"/>
      <c r="J215" s="617"/>
      <c r="K215" s="1693">
        <f>D215</f>
        <v>48377</v>
      </c>
      <c r="L215" s="466">
        <v>54000</v>
      </c>
    </row>
    <row r="216" spans="1:14" x14ac:dyDescent="0.2">
      <c r="A216" s="1526" t="s">
        <v>165</v>
      </c>
      <c r="B216" s="615" t="s">
        <v>1023</v>
      </c>
      <c r="C216" s="617"/>
      <c r="D216" s="467"/>
      <c r="E216" s="617"/>
      <c r="F216" s="617"/>
      <c r="G216" s="617"/>
      <c r="H216" s="617"/>
      <c r="I216" s="617"/>
      <c r="J216" s="617"/>
      <c r="K216" s="1693">
        <f t="shared" ref="K216:K228" si="19">D216</f>
        <v>0</v>
      </c>
      <c r="L216" s="466">
        <v>0</v>
      </c>
    </row>
    <row r="217" spans="1:14" x14ac:dyDescent="0.2">
      <c r="A217" s="1526" t="s">
        <v>166</v>
      </c>
      <c r="B217" s="615">
        <v>1200</v>
      </c>
      <c r="C217" s="617"/>
      <c r="D217" s="466">
        <v>2824</v>
      </c>
      <c r="E217" s="617"/>
      <c r="F217" s="617"/>
      <c r="G217" s="617"/>
      <c r="H217" s="617"/>
      <c r="I217" s="617"/>
      <c r="J217" s="617"/>
      <c r="K217" s="1693">
        <f t="shared" si="19"/>
        <v>2824</v>
      </c>
      <c r="L217" s="466">
        <v>4000</v>
      </c>
    </row>
    <row r="218" spans="1:14" x14ac:dyDescent="0.2">
      <c r="A218" s="1526" t="s">
        <v>295</v>
      </c>
      <c r="B218" s="615" t="s">
        <v>1024</v>
      </c>
      <c r="C218" s="617"/>
      <c r="D218" s="467"/>
      <c r="E218" s="617"/>
      <c r="F218" s="617"/>
      <c r="G218" s="617"/>
      <c r="H218" s="617"/>
      <c r="I218" s="617"/>
      <c r="J218" s="617"/>
      <c r="K218" s="1693">
        <f t="shared" si="19"/>
        <v>0</v>
      </c>
      <c r="L218" s="466">
        <v>0</v>
      </c>
    </row>
    <row r="219" spans="1:14" x14ac:dyDescent="0.2">
      <c r="A219" s="1526" t="s">
        <v>296</v>
      </c>
      <c r="B219" s="615">
        <v>1250</v>
      </c>
      <c r="C219" s="617"/>
      <c r="D219" s="466"/>
      <c r="E219" s="617"/>
      <c r="F219" s="617"/>
      <c r="G219" s="617"/>
      <c r="H219" s="617"/>
      <c r="I219" s="617"/>
      <c r="J219" s="617"/>
      <c r="K219" s="1693">
        <f t="shared" si="19"/>
        <v>0</v>
      </c>
      <c r="L219" s="466">
        <v>800</v>
      </c>
    </row>
    <row r="220" spans="1:14" x14ac:dyDescent="0.2">
      <c r="A220" s="1526" t="s">
        <v>297</v>
      </c>
      <c r="B220" s="615" t="s">
        <v>163</v>
      </c>
      <c r="C220" s="617"/>
      <c r="D220" s="467"/>
      <c r="E220" s="617"/>
      <c r="F220" s="617"/>
      <c r="G220" s="617"/>
      <c r="H220" s="617"/>
      <c r="I220" s="617"/>
      <c r="J220" s="617"/>
      <c r="K220" s="1693">
        <f t="shared" si="19"/>
        <v>0</v>
      </c>
      <c r="L220" s="466">
        <v>0</v>
      </c>
    </row>
    <row r="221" spans="1:14" x14ac:dyDescent="0.2">
      <c r="A221" s="1526" t="s">
        <v>1018</v>
      </c>
      <c r="B221" s="615">
        <v>1300</v>
      </c>
      <c r="C221" s="617"/>
      <c r="D221" s="466"/>
      <c r="E221" s="617"/>
      <c r="F221" s="617"/>
      <c r="G221" s="617"/>
      <c r="H221" s="617"/>
      <c r="I221" s="617"/>
      <c r="J221" s="617"/>
      <c r="K221" s="1693">
        <f t="shared" si="19"/>
        <v>0</v>
      </c>
      <c r="L221" s="466">
        <v>0</v>
      </c>
    </row>
    <row r="222" spans="1:14" x14ac:dyDescent="0.2">
      <c r="A222" s="1526" t="s">
        <v>746</v>
      </c>
      <c r="B222" s="615">
        <v>1400</v>
      </c>
      <c r="C222" s="617"/>
      <c r="D222" s="466">
        <v>1402</v>
      </c>
      <c r="E222" s="617"/>
      <c r="F222" s="617"/>
      <c r="G222" s="617"/>
      <c r="H222" s="617"/>
      <c r="I222" s="617"/>
      <c r="J222" s="617"/>
      <c r="K222" s="1693">
        <f t="shared" si="19"/>
        <v>1402</v>
      </c>
      <c r="L222" s="466">
        <v>1000</v>
      </c>
    </row>
    <row r="223" spans="1:14" x14ac:dyDescent="0.2">
      <c r="A223" s="1526" t="s">
        <v>1019</v>
      </c>
      <c r="B223" s="615">
        <v>1500</v>
      </c>
      <c r="C223" s="617"/>
      <c r="D223" s="466">
        <f>1283+459+1962</f>
        <v>3704</v>
      </c>
      <c r="E223" s="617"/>
      <c r="F223" s="617"/>
      <c r="G223" s="617"/>
      <c r="H223" s="617"/>
      <c r="I223" s="617"/>
      <c r="J223" s="617"/>
      <c r="K223" s="1693">
        <f t="shared" si="19"/>
        <v>3704</v>
      </c>
      <c r="L223" s="466">
        <v>3800</v>
      </c>
    </row>
    <row r="224" spans="1:14" x14ac:dyDescent="0.2">
      <c r="A224" s="1526" t="s">
        <v>1020</v>
      </c>
      <c r="B224" s="615">
        <v>1600</v>
      </c>
      <c r="C224" s="617"/>
      <c r="D224" s="466"/>
      <c r="E224" s="617"/>
      <c r="F224" s="617"/>
      <c r="G224" s="617"/>
      <c r="H224" s="617"/>
      <c r="I224" s="617"/>
      <c r="J224" s="617"/>
      <c r="K224" s="1693">
        <f t="shared" si="19"/>
        <v>0</v>
      </c>
      <c r="L224" s="466">
        <v>0</v>
      </c>
    </row>
    <row r="225" spans="1:12" x14ac:dyDescent="0.2">
      <c r="A225" s="1526" t="s">
        <v>1043</v>
      </c>
      <c r="B225" s="615">
        <v>1650</v>
      </c>
      <c r="C225" s="617"/>
      <c r="D225" s="466"/>
      <c r="E225" s="617"/>
      <c r="F225" s="617"/>
      <c r="G225" s="617"/>
      <c r="H225" s="617"/>
      <c r="I225" s="617"/>
      <c r="J225" s="617"/>
      <c r="K225" s="1693">
        <f t="shared" si="19"/>
        <v>0</v>
      </c>
      <c r="L225" s="466">
        <v>0</v>
      </c>
    </row>
    <row r="226" spans="1:12" x14ac:dyDescent="0.2">
      <c r="A226" s="1526" t="s">
        <v>747</v>
      </c>
      <c r="B226" s="615" t="s">
        <v>164</v>
      </c>
      <c r="C226" s="617"/>
      <c r="D226" s="467">
        <v>101</v>
      </c>
      <c r="E226" s="617"/>
      <c r="F226" s="617"/>
      <c r="G226" s="617"/>
      <c r="H226" s="617"/>
      <c r="I226" s="617"/>
      <c r="J226" s="617"/>
      <c r="K226" s="1693">
        <f t="shared" si="19"/>
        <v>101</v>
      </c>
      <c r="L226" s="466">
        <v>100</v>
      </c>
    </row>
    <row r="227" spans="1:12" x14ac:dyDescent="0.2">
      <c r="A227" s="1526" t="s">
        <v>1147</v>
      </c>
      <c r="B227" s="615">
        <v>1800</v>
      </c>
      <c r="C227" s="617"/>
      <c r="D227" s="466"/>
      <c r="E227" s="617"/>
      <c r="F227" s="617"/>
      <c r="G227" s="617"/>
      <c r="H227" s="617"/>
      <c r="I227" s="617"/>
      <c r="J227" s="617"/>
      <c r="K227" s="1693">
        <f t="shared" si="19"/>
        <v>0</v>
      </c>
      <c r="L227" s="466">
        <v>0</v>
      </c>
    </row>
    <row r="228" spans="1:12" x14ac:dyDescent="0.2">
      <c r="A228" s="1526" t="s">
        <v>1148</v>
      </c>
      <c r="B228" s="615">
        <v>1900</v>
      </c>
      <c r="C228" s="617"/>
      <c r="D228" s="466"/>
      <c r="E228" s="617"/>
      <c r="F228" s="617"/>
      <c r="G228" s="617"/>
      <c r="H228" s="617"/>
      <c r="I228" s="617"/>
      <c r="J228" s="617"/>
      <c r="K228" s="1693">
        <f t="shared" si="19"/>
        <v>0</v>
      </c>
      <c r="L228" s="466">
        <v>0</v>
      </c>
    </row>
    <row r="229" spans="1:12" ht="12.75" customHeight="1" thickBot="1" x14ac:dyDescent="0.25">
      <c r="A229" s="1690" t="s">
        <v>738</v>
      </c>
      <c r="B229" s="1697" t="s">
        <v>590</v>
      </c>
      <c r="C229" s="617"/>
      <c r="D229" s="1692">
        <f>SUM(D215:D228)</f>
        <v>56408</v>
      </c>
      <c r="E229" s="617"/>
      <c r="F229" s="617"/>
      <c r="G229" s="617"/>
      <c r="H229" s="617"/>
      <c r="I229" s="617"/>
      <c r="J229" s="617"/>
      <c r="K229" s="1692">
        <f>SUM(K215:K228)</f>
        <v>56408</v>
      </c>
      <c r="L229" s="1692">
        <f>SUM(L215:L228)</f>
        <v>63700</v>
      </c>
    </row>
    <row r="230" spans="1:12" ht="15.75" customHeight="1" thickTop="1" x14ac:dyDescent="0.2">
      <c r="A230" s="1634" t="s">
        <v>928</v>
      </c>
      <c r="B230" s="1635" t="s">
        <v>589</v>
      </c>
      <c r="C230" s="617"/>
      <c r="D230" s="617"/>
      <c r="E230" s="617"/>
      <c r="F230" s="617"/>
      <c r="G230" s="617"/>
      <c r="H230" s="617"/>
      <c r="I230" s="617"/>
      <c r="J230" s="617"/>
      <c r="K230" s="617"/>
      <c r="L230" s="617"/>
    </row>
    <row r="231" spans="1:12" ht="15.75" customHeight="1" x14ac:dyDescent="0.2">
      <c r="A231" s="654" t="s">
        <v>611</v>
      </c>
      <c r="B231" s="623"/>
      <c r="C231" s="617"/>
      <c r="D231" s="617"/>
      <c r="E231" s="617"/>
      <c r="F231" s="617"/>
      <c r="G231" s="617"/>
      <c r="H231" s="617"/>
      <c r="I231" s="617"/>
      <c r="J231" s="617"/>
      <c r="K231" s="617"/>
      <c r="L231" s="617"/>
    </row>
    <row r="232" spans="1:12" x14ac:dyDescent="0.2">
      <c r="A232" s="1526" t="s">
        <v>1149</v>
      </c>
      <c r="B232" s="615">
        <v>2110</v>
      </c>
      <c r="C232" s="617"/>
      <c r="D232" s="466"/>
      <c r="E232" s="617"/>
      <c r="F232" s="617"/>
      <c r="G232" s="617"/>
      <c r="H232" s="617"/>
      <c r="I232" s="617"/>
      <c r="J232" s="617"/>
      <c r="K232" s="1693">
        <f t="shared" ref="K232:K237" si="20">D232</f>
        <v>0</v>
      </c>
      <c r="L232" s="466">
        <v>0</v>
      </c>
    </row>
    <row r="233" spans="1:12" x14ac:dyDescent="0.2">
      <c r="A233" s="1526" t="s">
        <v>1150</v>
      </c>
      <c r="B233" s="615">
        <v>2120</v>
      </c>
      <c r="C233" s="617"/>
      <c r="D233" s="466">
        <v>736</v>
      </c>
      <c r="E233" s="617"/>
      <c r="F233" s="617"/>
      <c r="G233" s="617"/>
      <c r="H233" s="617"/>
      <c r="I233" s="617"/>
      <c r="J233" s="617"/>
      <c r="K233" s="1693">
        <f t="shared" si="20"/>
        <v>736</v>
      </c>
      <c r="L233" s="466">
        <v>800</v>
      </c>
    </row>
    <row r="234" spans="1:12" x14ac:dyDescent="0.2">
      <c r="A234" s="1526" t="s">
        <v>207</v>
      </c>
      <c r="B234" s="615">
        <v>2130</v>
      </c>
      <c r="C234" s="617"/>
      <c r="D234" s="466">
        <f>4082+2772+648</f>
        <v>7502</v>
      </c>
      <c r="E234" s="617"/>
      <c r="F234" s="617"/>
      <c r="G234" s="617"/>
      <c r="H234" s="617"/>
      <c r="I234" s="617"/>
      <c r="J234" s="617"/>
      <c r="K234" s="1693">
        <f t="shared" si="20"/>
        <v>7502</v>
      </c>
      <c r="L234" s="466">
        <v>7400</v>
      </c>
    </row>
    <row r="235" spans="1:12" x14ac:dyDescent="0.2">
      <c r="A235" s="1526" t="s">
        <v>208</v>
      </c>
      <c r="B235" s="615">
        <v>2140</v>
      </c>
      <c r="C235" s="617"/>
      <c r="D235" s="466"/>
      <c r="E235" s="617"/>
      <c r="F235" s="617"/>
      <c r="G235" s="617"/>
      <c r="H235" s="617"/>
      <c r="I235" s="617"/>
      <c r="J235" s="617"/>
      <c r="K235" s="1693">
        <f t="shared" si="20"/>
        <v>0</v>
      </c>
      <c r="L235" s="466">
        <v>0</v>
      </c>
    </row>
    <row r="236" spans="1:12" x14ac:dyDescent="0.2">
      <c r="A236" s="1526" t="s">
        <v>209</v>
      </c>
      <c r="B236" s="615">
        <v>2150</v>
      </c>
      <c r="C236" s="617"/>
      <c r="D236" s="466"/>
      <c r="E236" s="617"/>
      <c r="F236" s="617"/>
      <c r="G236" s="617"/>
      <c r="H236" s="617"/>
      <c r="I236" s="617"/>
      <c r="J236" s="617"/>
      <c r="K236" s="1693">
        <f t="shared" si="20"/>
        <v>0</v>
      </c>
      <c r="L236" s="466">
        <v>0</v>
      </c>
    </row>
    <row r="237" spans="1:12" x14ac:dyDescent="0.2">
      <c r="A237" s="1526" t="s">
        <v>167</v>
      </c>
      <c r="B237" s="615">
        <v>2190</v>
      </c>
      <c r="C237" s="617"/>
      <c r="D237" s="466"/>
      <c r="E237" s="617"/>
      <c r="F237" s="617"/>
      <c r="G237" s="617"/>
      <c r="H237" s="617"/>
      <c r="I237" s="617"/>
      <c r="J237" s="617"/>
      <c r="K237" s="1693">
        <f t="shared" si="20"/>
        <v>0</v>
      </c>
      <c r="L237" s="466">
        <v>0</v>
      </c>
    </row>
    <row r="238" spans="1:12" ht="12.75" customHeight="1" thickBot="1" x14ac:dyDescent="0.25">
      <c r="A238" s="1690" t="s">
        <v>580</v>
      </c>
      <c r="B238" s="1697" t="s">
        <v>739</v>
      </c>
      <c r="C238" s="617"/>
      <c r="D238" s="1692">
        <f>SUM(D232:D237)</f>
        <v>8238</v>
      </c>
      <c r="E238" s="617"/>
      <c r="F238" s="617"/>
      <c r="G238" s="617"/>
      <c r="H238" s="617"/>
      <c r="I238" s="617"/>
      <c r="J238" s="617"/>
      <c r="K238" s="1692">
        <f>SUM(K232:K237)</f>
        <v>8238</v>
      </c>
      <c r="L238" s="1692">
        <f>SUM(L232:L237)</f>
        <v>8200</v>
      </c>
    </row>
    <row r="239" spans="1:12" ht="15.75" customHeight="1" thickTop="1" x14ac:dyDescent="0.2">
      <c r="A239" s="625" t="s">
        <v>612</v>
      </c>
      <c r="B239" s="632"/>
      <c r="C239" s="617"/>
      <c r="D239" s="627"/>
      <c r="E239" s="617"/>
      <c r="F239" s="617"/>
      <c r="G239" s="617"/>
      <c r="H239" s="617"/>
      <c r="I239" s="617"/>
      <c r="J239" s="617"/>
      <c r="K239" s="627"/>
      <c r="L239" s="627"/>
    </row>
    <row r="240" spans="1:12" x14ac:dyDescent="0.2">
      <c r="A240" s="1526" t="s">
        <v>867</v>
      </c>
      <c r="B240" s="615">
        <v>2210</v>
      </c>
      <c r="C240" s="617"/>
      <c r="D240" s="481"/>
      <c r="E240" s="617"/>
      <c r="F240" s="617"/>
      <c r="G240" s="617"/>
      <c r="H240" s="617"/>
      <c r="I240" s="617"/>
      <c r="J240" s="617"/>
      <c r="K240" s="1694">
        <f>D240</f>
        <v>0</v>
      </c>
      <c r="L240" s="481">
        <v>0</v>
      </c>
    </row>
    <row r="241" spans="1:12" x14ac:dyDescent="0.2">
      <c r="A241" s="1526" t="s">
        <v>868</v>
      </c>
      <c r="B241" s="615">
        <v>2220</v>
      </c>
      <c r="C241" s="617"/>
      <c r="D241" s="466"/>
      <c r="E241" s="617"/>
      <c r="F241" s="617"/>
      <c r="G241" s="617"/>
      <c r="H241" s="617"/>
      <c r="I241" s="617"/>
      <c r="J241" s="617"/>
      <c r="K241" s="1694">
        <f>D241</f>
        <v>0</v>
      </c>
      <c r="L241" s="466">
        <v>0</v>
      </c>
    </row>
    <row r="242" spans="1:12" x14ac:dyDescent="0.2">
      <c r="A242" s="1526" t="s">
        <v>869</v>
      </c>
      <c r="B242" s="615">
        <v>2230</v>
      </c>
      <c r="C242" s="617"/>
      <c r="D242" s="466"/>
      <c r="E242" s="617"/>
      <c r="F242" s="617"/>
      <c r="G242" s="617"/>
      <c r="H242" s="617"/>
      <c r="I242" s="617"/>
      <c r="J242" s="617"/>
      <c r="K242" s="1694">
        <f>D242</f>
        <v>0</v>
      </c>
      <c r="L242" s="466">
        <v>0</v>
      </c>
    </row>
    <row r="243" spans="1:12" ht="12.75" customHeight="1" thickBot="1" x14ac:dyDescent="0.25">
      <c r="A243" s="1716" t="s">
        <v>581</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630</v>
      </c>
      <c r="B244" s="683"/>
      <c r="C244" s="617"/>
      <c r="D244" s="627"/>
      <c r="E244" s="617"/>
      <c r="F244" s="617"/>
      <c r="G244" s="617"/>
      <c r="H244" s="617"/>
      <c r="I244" s="617"/>
      <c r="J244" s="617"/>
      <c r="K244" s="627"/>
      <c r="L244" s="627"/>
    </row>
    <row r="245" spans="1:12" x14ac:dyDescent="0.2">
      <c r="A245" s="1526" t="s">
        <v>870</v>
      </c>
      <c r="B245" s="615">
        <v>2310</v>
      </c>
      <c r="C245" s="617"/>
      <c r="D245" s="481">
        <f>140+33</f>
        <v>173</v>
      </c>
      <c r="E245" s="617"/>
      <c r="F245" s="617"/>
      <c r="G245" s="617"/>
      <c r="H245" s="617"/>
      <c r="I245" s="617"/>
      <c r="J245" s="617"/>
      <c r="K245" s="1694">
        <f>D245</f>
        <v>173</v>
      </c>
      <c r="L245" s="481">
        <v>250</v>
      </c>
    </row>
    <row r="246" spans="1:12" x14ac:dyDescent="0.2">
      <c r="A246" s="1526" t="s">
        <v>871</v>
      </c>
      <c r="B246" s="615">
        <v>2320</v>
      </c>
      <c r="C246" s="617"/>
      <c r="D246" s="466">
        <v>2278</v>
      </c>
      <c r="E246" s="617"/>
      <c r="F246" s="617"/>
      <c r="G246" s="617"/>
      <c r="H246" s="617"/>
      <c r="I246" s="617"/>
      <c r="J246" s="617"/>
      <c r="K246" s="1694">
        <f t="shared" ref="K246:K256" si="21">D246</f>
        <v>2278</v>
      </c>
      <c r="L246" s="466">
        <v>2500</v>
      </c>
    </row>
    <row r="247" spans="1:12" x14ac:dyDescent="0.2">
      <c r="A247" s="1526" t="s">
        <v>872</v>
      </c>
      <c r="B247" s="615">
        <v>2330</v>
      </c>
      <c r="C247" s="617"/>
      <c r="D247" s="466"/>
      <c r="E247" s="617"/>
      <c r="F247" s="617"/>
      <c r="G247" s="617"/>
      <c r="H247" s="617"/>
      <c r="I247" s="617"/>
      <c r="J247" s="617"/>
      <c r="K247" s="1694">
        <f t="shared" si="21"/>
        <v>0</v>
      </c>
      <c r="L247" s="466">
        <v>0</v>
      </c>
    </row>
    <row r="248" spans="1:12" x14ac:dyDescent="0.2">
      <c r="A248" s="1527" t="s">
        <v>316</v>
      </c>
      <c r="B248" s="603" t="s">
        <v>298</v>
      </c>
      <c r="C248" s="617"/>
      <c r="D248" s="474"/>
      <c r="E248" s="617"/>
      <c r="F248" s="617"/>
      <c r="G248" s="617"/>
      <c r="H248" s="617"/>
      <c r="I248" s="617"/>
      <c r="J248" s="617"/>
      <c r="K248" s="1694">
        <f t="shared" si="21"/>
        <v>0</v>
      </c>
      <c r="L248" s="466">
        <v>0</v>
      </c>
    </row>
    <row r="249" spans="1:12" x14ac:dyDescent="0.2">
      <c r="A249" s="1528" t="s">
        <v>1907</v>
      </c>
      <c r="B249" s="684" t="s">
        <v>299</v>
      </c>
      <c r="C249" s="617"/>
      <c r="D249" s="474"/>
      <c r="E249" s="617"/>
      <c r="F249" s="617"/>
      <c r="G249" s="617"/>
      <c r="H249" s="617"/>
      <c r="I249" s="617"/>
      <c r="J249" s="617"/>
      <c r="K249" s="1694">
        <f t="shared" si="21"/>
        <v>0</v>
      </c>
      <c r="L249" s="466">
        <v>0</v>
      </c>
    </row>
    <row r="250" spans="1:12" x14ac:dyDescent="0.2">
      <c r="A250" s="1527" t="s">
        <v>1908</v>
      </c>
      <c r="B250" s="603" t="s">
        <v>300</v>
      </c>
      <c r="C250" s="617"/>
      <c r="D250" s="474"/>
      <c r="E250" s="617"/>
      <c r="F250" s="617"/>
      <c r="G250" s="617"/>
      <c r="H250" s="617"/>
      <c r="I250" s="617"/>
      <c r="J250" s="617"/>
      <c r="K250" s="1694">
        <f t="shared" si="21"/>
        <v>0</v>
      </c>
      <c r="L250" s="466">
        <v>0</v>
      </c>
    </row>
    <row r="251" spans="1:12" x14ac:dyDescent="0.2">
      <c r="A251" s="1527" t="s">
        <v>256</v>
      </c>
      <c r="B251" s="603" t="s">
        <v>301</v>
      </c>
      <c r="C251" s="617"/>
      <c r="D251" s="474"/>
      <c r="E251" s="617"/>
      <c r="F251" s="617"/>
      <c r="G251" s="617"/>
      <c r="H251" s="617"/>
      <c r="I251" s="617"/>
      <c r="J251" s="617"/>
      <c r="K251" s="1694">
        <f t="shared" si="21"/>
        <v>0</v>
      </c>
      <c r="L251" s="466">
        <v>0</v>
      </c>
    </row>
    <row r="252" spans="1:12" x14ac:dyDescent="0.2">
      <c r="A252" s="1527" t="s">
        <v>725</v>
      </c>
      <c r="B252" s="603" t="s">
        <v>302</v>
      </c>
      <c r="C252" s="617"/>
      <c r="D252" s="474"/>
      <c r="E252" s="617"/>
      <c r="F252" s="617"/>
      <c r="G252" s="617"/>
      <c r="H252" s="617"/>
      <c r="I252" s="617"/>
      <c r="J252" s="617"/>
      <c r="K252" s="1694">
        <f t="shared" si="21"/>
        <v>0</v>
      </c>
      <c r="L252" s="466">
        <v>0</v>
      </c>
    </row>
    <row r="253" spans="1:12" x14ac:dyDescent="0.2">
      <c r="A253" s="1527" t="s">
        <v>257</v>
      </c>
      <c r="B253" s="603" t="s">
        <v>303</v>
      </c>
      <c r="C253" s="617"/>
      <c r="D253" s="474"/>
      <c r="E253" s="617"/>
      <c r="F253" s="617"/>
      <c r="G253" s="617"/>
      <c r="H253" s="617"/>
      <c r="I253" s="617"/>
      <c r="J253" s="617"/>
      <c r="K253" s="1694">
        <f t="shared" si="21"/>
        <v>0</v>
      </c>
      <c r="L253" s="466">
        <v>0</v>
      </c>
    </row>
    <row r="254" spans="1:12" ht="22.5" x14ac:dyDescent="0.2">
      <c r="A254" s="1527" t="s">
        <v>1086</v>
      </c>
      <c r="B254" s="684" t="s">
        <v>304</v>
      </c>
      <c r="C254" s="617"/>
      <c r="D254" s="474"/>
      <c r="E254" s="617"/>
      <c r="F254" s="617"/>
      <c r="G254" s="617"/>
      <c r="H254" s="617"/>
      <c r="I254" s="617"/>
      <c r="J254" s="617"/>
      <c r="K254" s="1694">
        <f t="shared" si="21"/>
        <v>0</v>
      </c>
      <c r="L254" s="466">
        <v>0</v>
      </c>
    </row>
    <row r="255" spans="1:12" x14ac:dyDescent="0.2">
      <c r="A255" s="1527" t="s">
        <v>1087</v>
      </c>
      <c r="B255" s="603" t="s">
        <v>305</v>
      </c>
      <c r="C255" s="617"/>
      <c r="D255" s="474"/>
      <c r="E255" s="617"/>
      <c r="F255" s="617"/>
      <c r="G255" s="617"/>
      <c r="H255" s="617"/>
      <c r="I255" s="617"/>
      <c r="J255" s="617"/>
      <c r="K255" s="1694">
        <f t="shared" si="21"/>
        <v>0</v>
      </c>
      <c r="L255" s="466">
        <v>0</v>
      </c>
    </row>
    <row r="256" spans="1:12" x14ac:dyDescent="0.2">
      <c r="A256" s="1527" t="s">
        <v>1027</v>
      </c>
      <c r="B256" s="615" t="s">
        <v>306</v>
      </c>
      <c r="C256" s="617"/>
      <c r="D256" s="474"/>
      <c r="E256" s="617"/>
      <c r="F256" s="617"/>
      <c r="G256" s="617"/>
      <c r="H256" s="617"/>
      <c r="I256" s="617"/>
      <c r="J256" s="617"/>
      <c r="K256" s="1694">
        <f t="shared" si="21"/>
        <v>0</v>
      </c>
      <c r="L256" s="466">
        <v>0</v>
      </c>
    </row>
    <row r="257" spans="1:14" ht="12.75" customHeight="1" thickBot="1" x14ac:dyDescent="0.25">
      <c r="A257" s="1690" t="s">
        <v>740</v>
      </c>
      <c r="B257" s="1718">
        <v>2300</v>
      </c>
      <c r="C257" s="617"/>
      <c r="D257" s="1692">
        <f>SUM(D245:D256)</f>
        <v>2451</v>
      </c>
      <c r="E257" s="617"/>
      <c r="F257" s="617"/>
      <c r="G257" s="617"/>
      <c r="H257" s="617"/>
      <c r="I257" s="617"/>
      <c r="J257" s="617"/>
      <c r="K257" s="1692">
        <f>SUM(K245:K256)</f>
        <v>2451</v>
      </c>
      <c r="L257" s="1692">
        <f>SUM(L245:L256)</f>
        <v>2750</v>
      </c>
    </row>
    <row r="258" spans="1:14" ht="15.75" customHeight="1" thickTop="1" x14ac:dyDescent="0.2">
      <c r="A258" s="625" t="s">
        <v>631</v>
      </c>
      <c r="B258" s="685"/>
      <c r="C258" s="617"/>
      <c r="D258" s="627"/>
      <c r="E258" s="617"/>
      <c r="F258" s="617"/>
      <c r="G258" s="617"/>
      <c r="H258" s="617"/>
      <c r="I258" s="617"/>
      <c r="J258" s="617"/>
      <c r="K258" s="627"/>
      <c r="L258" s="627"/>
    </row>
    <row r="259" spans="1:14" x14ac:dyDescent="0.2">
      <c r="A259" s="1526" t="s">
        <v>1126</v>
      </c>
      <c r="B259" s="686">
        <v>2410</v>
      </c>
      <c r="C259" s="617"/>
      <c r="D259" s="481">
        <f>4342+2874+3012</f>
        <v>10228</v>
      </c>
      <c r="E259" s="617"/>
      <c r="F259" s="617"/>
      <c r="G259" s="617"/>
      <c r="H259" s="617"/>
      <c r="I259" s="617"/>
      <c r="J259" s="617"/>
      <c r="K259" s="1694">
        <f>D259</f>
        <v>10228</v>
      </c>
      <c r="L259" s="481">
        <v>10000</v>
      </c>
    </row>
    <row r="260" spans="1:14" s="598" customFormat="1" x14ac:dyDescent="0.2">
      <c r="A260" s="1544" t="s">
        <v>1906</v>
      </c>
      <c r="B260" s="629">
        <v>2490</v>
      </c>
      <c r="C260" s="617"/>
      <c r="D260" s="466"/>
      <c r="E260" s="617"/>
      <c r="F260" s="617"/>
      <c r="G260" s="617"/>
      <c r="H260" s="617"/>
      <c r="I260" s="617"/>
      <c r="J260" s="617"/>
      <c r="K260" s="1694">
        <f>D260</f>
        <v>0</v>
      </c>
      <c r="L260" s="466">
        <v>0</v>
      </c>
      <c r="M260" s="210"/>
      <c r="N260" s="210"/>
    </row>
    <row r="261" spans="1:14" ht="12.75" customHeight="1" thickBot="1" x14ac:dyDescent="0.25">
      <c r="A261" s="1714" t="s">
        <v>281</v>
      </c>
      <c r="B261" s="1719" t="s">
        <v>34</v>
      </c>
      <c r="C261" s="617"/>
      <c r="D261" s="1692">
        <f>SUM(D259:D260)</f>
        <v>10228</v>
      </c>
      <c r="E261" s="617"/>
      <c r="F261" s="617"/>
      <c r="G261" s="617"/>
      <c r="H261" s="617"/>
      <c r="I261" s="617"/>
      <c r="J261" s="617"/>
      <c r="K261" s="1692">
        <f>SUM(K259:K260)</f>
        <v>10228</v>
      </c>
      <c r="L261" s="1692">
        <f>SUM(L259:L260)</f>
        <v>10000</v>
      </c>
    </row>
    <row r="262" spans="1:14" ht="15.75" customHeight="1" thickTop="1" x14ac:dyDescent="0.2">
      <c r="A262" s="625" t="s">
        <v>632</v>
      </c>
      <c r="B262" s="685"/>
      <c r="C262" s="617"/>
      <c r="D262" s="617"/>
      <c r="E262" s="617"/>
      <c r="F262" s="617"/>
      <c r="G262" s="617"/>
      <c r="H262" s="617"/>
      <c r="I262" s="617"/>
      <c r="J262" s="617"/>
      <c r="K262" s="627"/>
      <c r="L262" s="627"/>
    </row>
    <row r="263" spans="1:14" x14ac:dyDescent="0.2">
      <c r="A263" s="1526" t="s">
        <v>1127</v>
      </c>
      <c r="B263" s="686">
        <v>2510</v>
      </c>
      <c r="C263" s="617"/>
      <c r="D263" s="466"/>
      <c r="E263" s="617"/>
      <c r="F263" s="617"/>
      <c r="G263" s="617"/>
      <c r="H263" s="617"/>
      <c r="I263" s="617"/>
      <c r="J263" s="617"/>
      <c r="K263" s="1694">
        <f>D263</f>
        <v>0</v>
      </c>
      <c r="L263" s="481">
        <v>0</v>
      </c>
    </row>
    <row r="264" spans="1:14" x14ac:dyDescent="0.2">
      <c r="A264" s="1526" t="s">
        <v>482</v>
      </c>
      <c r="B264" s="686">
        <v>2520</v>
      </c>
      <c r="C264" s="617"/>
      <c r="D264" s="466">
        <f>3264+2142+501</f>
        <v>5907</v>
      </c>
      <c r="E264" s="617"/>
      <c r="F264" s="617"/>
      <c r="G264" s="617"/>
      <c r="H264" s="617"/>
      <c r="I264" s="617"/>
      <c r="J264" s="617"/>
      <c r="K264" s="1694">
        <f t="shared" ref="K264:K269" si="22">D264</f>
        <v>5907</v>
      </c>
      <c r="L264" s="466">
        <v>5600</v>
      </c>
    </row>
    <row r="265" spans="1:14" x14ac:dyDescent="0.2">
      <c r="A265" s="1526" t="s">
        <v>4</v>
      </c>
      <c r="B265" s="615">
        <v>2530</v>
      </c>
      <c r="C265" s="617"/>
      <c r="D265" s="466"/>
      <c r="E265" s="617"/>
      <c r="F265" s="617"/>
      <c r="G265" s="617"/>
      <c r="H265" s="617"/>
      <c r="I265" s="617"/>
      <c r="J265" s="617"/>
      <c r="K265" s="1694">
        <f t="shared" si="22"/>
        <v>0</v>
      </c>
      <c r="L265" s="466">
        <v>0</v>
      </c>
    </row>
    <row r="266" spans="1:14" x14ac:dyDescent="0.2">
      <c r="A266" s="1526" t="s">
        <v>206</v>
      </c>
      <c r="B266" s="615">
        <v>2540</v>
      </c>
      <c r="C266" s="617"/>
      <c r="D266" s="466">
        <f>14011+10075+2356</f>
        <v>26442</v>
      </c>
      <c r="E266" s="617"/>
      <c r="F266" s="617"/>
      <c r="G266" s="617"/>
      <c r="H266" s="617"/>
      <c r="I266" s="617"/>
      <c r="J266" s="617"/>
      <c r="K266" s="1694">
        <f t="shared" si="22"/>
        <v>26442</v>
      </c>
      <c r="L266" s="466">
        <v>26500</v>
      </c>
    </row>
    <row r="267" spans="1:14" x14ac:dyDescent="0.2">
      <c r="A267" s="1526" t="s">
        <v>1009</v>
      </c>
      <c r="B267" s="615">
        <v>2550</v>
      </c>
      <c r="C267" s="617"/>
      <c r="D267" s="466">
        <f>11328+7571+1771</f>
        <v>20670</v>
      </c>
      <c r="E267" s="617"/>
      <c r="F267" s="617"/>
      <c r="G267" s="617"/>
      <c r="H267" s="617"/>
      <c r="I267" s="617"/>
      <c r="J267" s="617"/>
      <c r="K267" s="1694">
        <f t="shared" si="22"/>
        <v>20670</v>
      </c>
      <c r="L267" s="466">
        <v>20500</v>
      </c>
    </row>
    <row r="268" spans="1:14" x14ac:dyDescent="0.2">
      <c r="A268" s="1526" t="s">
        <v>102</v>
      </c>
      <c r="B268" s="615">
        <v>2560</v>
      </c>
      <c r="C268" s="617"/>
      <c r="D268" s="466">
        <f>4650+3359+785</f>
        <v>8794</v>
      </c>
      <c r="E268" s="617"/>
      <c r="F268" s="617"/>
      <c r="G268" s="617"/>
      <c r="H268" s="617"/>
      <c r="I268" s="617"/>
      <c r="J268" s="617"/>
      <c r="K268" s="1694">
        <f t="shared" si="22"/>
        <v>8794</v>
      </c>
      <c r="L268" s="466">
        <v>7700</v>
      </c>
    </row>
    <row r="269" spans="1:14" x14ac:dyDescent="0.2">
      <c r="A269" s="1526" t="s">
        <v>103</v>
      </c>
      <c r="B269" s="615">
        <v>2570</v>
      </c>
      <c r="C269" s="617"/>
      <c r="D269" s="466"/>
      <c r="E269" s="617"/>
      <c r="F269" s="617"/>
      <c r="G269" s="617"/>
      <c r="H269" s="617"/>
      <c r="I269" s="617"/>
      <c r="J269" s="617"/>
      <c r="K269" s="1694">
        <f t="shared" si="22"/>
        <v>0</v>
      </c>
      <c r="L269" s="466">
        <v>0</v>
      </c>
    </row>
    <row r="270" spans="1:14" ht="12.75" customHeight="1" thickBot="1" x14ac:dyDescent="0.25">
      <c r="A270" s="1690" t="s">
        <v>742</v>
      </c>
      <c r="B270" s="1697" t="s">
        <v>35</v>
      </c>
      <c r="C270" s="617"/>
      <c r="D270" s="1692">
        <f>SUM(D263:D269)</f>
        <v>61813</v>
      </c>
      <c r="E270" s="617"/>
      <c r="F270" s="617"/>
      <c r="G270" s="617"/>
      <c r="H270" s="617"/>
      <c r="I270" s="617"/>
      <c r="J270" s="617"/>
      <c r="K270" s="1692">
        <f>SUM(K263:K269)</f>
        <v>61813</v>
      </c>
      <c r="L270" s="1692">
        <f>SUM(L263:L269)</f>
        <v>60300</v>
      </c>
    </row>
    <row r="271" spans="1:14" ht="15.75" customHeight="1" thickTop="1" x14ac:dyDescent="0.2">
      <c r="A271" s="670" t="s">
        <v>633</v>
      </c>
      <c r="B271" s="626"/>
      <c r="C271" s="617"/>
      <c r="D271" s="627"/>
      <c r="E271" s="617"/>
      <c r="F271" s="617"/>
      <c r="G271" s="617"/>
      <c r="H271" s="617"/>
      <c r="I271" s="617"/>
      <c r="J271" s="617"/>
      <c r="K271" s="627"/>
      <c r="L271" s="627"/>
    </row>
    <row r="272" spans="1:14" x14ac:dyDescent="0.2">
      <c r="A272" s="1526" t="s">
        <v>1119</v>
      </c>
      <c r="B272" s="615">
        <v>2610</v>
      </c>
      <c r="C272" s="617"/>
      <c r="D272" s="481"/>
      <c r="E272" s="617"/>
      <c r="F272" s="617"/>
      <c r="G272" s="617"/>
      <c r="H272" s="617"/>
      <c r="I272" s="617"/>
      <c r="J272" s="617"/>
      <c r="K272" s="1694">
        <f>D272</f>
        <v>0</v>
      </c>
      <c r="L272" s="481">
        <v>0</v>
      </c>
    </row>
    <row r="273" spans="1:12" x14ac:dyDescent="0.2">
      <c r="A273" s="1526" t="s">
        <v>627</v>
      </c>
      <c r="B273" s="629">
        <v>2620</v>
      </c>
      <c r="C273" s="617"/>
      <c r="D273" s="466"/>
      <c r="E273" s="617"/>
      <c r="F273" s="617"/>
      <c r="G273" s="617"/>
      <c r="H273" s="617"/>
      <c r="I273" s="617"/>
      <c r="J273" s="617"/>
      <c r="K273" s="1694">
        <f>D273</f>
        <v>0</v>
      </c>
      <c r="L273" s="466">
        <v>0</v>
      </c>
    </row>
    <row r="274" spans="1:12" ht="12" customHeight="1" x14ac:dyDescent="0.2">
      <c r="A274" s="1526" t="s">
        <v>1120</v>
      </c>
      <c r="B274" s="615">
        <v>2630</v>
      </c>
      <c r="C274" s="617"/>
      <c r="D274" s="466"/>
      <c r="E274" s="617"/>
      <c r="F274" s="617"/>
      <c r="G274" s="617"/>
      <c r="H274" s="617"/>
      <c r="I274" s="617"/>
      <c r="J274" s="617"/>
      <c r="K274" s="1694">
        <f>D274</f>
        <v>0</v>
      </c>
      <c r="L274" s="466">
        <v>0</v>
      </c>
    </row>
    <row r="275" spans="1:12" x14ac:dyDescent="0.2">
      <c r="A275" s="1526" t="s">
        <v>422</v>
      </c>
      <c r="B275" s="615">
        <v>2640</v>
      </c>
      <c r="C275" s="617"/>
      <c r="D275" s="466"/>
      <c r="E275" s="617"/>
      <c r="F275" s="617"/>
      <c r="G275" s="617"/>
      <c r="H275" s="617"/>
      <c r="I275" s="617"/>
      <c r="J275" s="617"/>
      <c r="K275" s="1694">
        <f>D275</f>
        <v>0</v>
      </c>
      <c r="L275" s="466">
        <v>0</v>
      </c>
    </row>
    <row r="276" spans="1:12" x14ac:dyDescent="0.2">
      <c r="A276" s="1526" t="s">
        <v>423</v>
      </c>
      <c r="B276" s="615">
        <v>2660</v>
      </c>
      <c r="C276" s="617"/>
      <c r="D276" s="466"/>
      <c r="E276" s="617"/>
      <c r="F276" s="617"/>
      <c r="G276" s="617"/>
      <c r="H276" s="617"/>
      <c r="I276" s="617"/>
      <c r="J276" s="617"/>
      <c r="K276" s="1694">
        <f>D276</f>
        <v>0</v>
      </c>
      <c r="L276" s="466">
        <v>0</v>
      </c>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1036</v>
      </c>
      <c r="B278" s="656" t="s">
        <v>594</v>
      </c>
      <c r="C278" s="617"/>
      <c r="D278" s="657">
        <f>4511+2960+692+1</f>
        <v>8164</v>
      </c>
      <c r="E278" s="617"/>
      <c r="F278" s="617"/>
      <c r="G278" s="617"/>
      <c r="H278" s="617"/>
      <c r="I278" s="617"/>
      <c r="J278" s="617"/>
      <c r="K278" s="1707">
        <f>D278</f>
        <v>8164</v>
      </c>
      <c r="L278" s="657">
        <v>8000</v>
      </c>
    </row>
    <row r="279" spans="1:12" ht="12.75" customHeight="1" thickBot="1" x14ac:dyDescent="0.25">
      <c r="A279" s="1720" t="s">
        <v>864</v>
      </c>
      <c r="B279" s="1703">
        <v>2000</v>
      </c>
      <c r="C279" s="617"/>
      <c r="D279" s="1699">
        <f>SUM(D238,D243,D257,D261,D270,D277,D278)</f>
        <v>90894</v>
      </c>
      <c r="E279" s="617"/>
      <c r="F279" s="617"/>
      <c r="G279" s="617"/>
      <c r="H279" s="617"/>
      <c r="I279" s="617"/>
      <c r="J279" s="617"/>
      <c r="K279" s="1699">
        <f>SUM(K238,K243,K257,K261,K270,K277,K278)</f>
        <v>90894</v>
      </c>
      <c r="L279" s="1699">
        <f>SUM(L238,L243,L257,L261,L270,L277,L278)</f>
        <v>89250</v>
      </c>
    </row>
    <row r="280" spans="1:12" ht="15.75" customHeight="1" thickTop="1" thickBot="1" x14ac:dyDescent="0.25">
      <c r="A280" s="1646" t="s">
        <v>929</v>
      </c>
      <c r="B280" s="1635">
        <v>3000</v>
      </c>
      <c r="C280" s="617"/>
      <c r="D280" s="576"/>
      <c r="E280" s="617"/>
      <c r="F280" s="617"/>
      <c r="G280" s="617"/>
      <c r="H280" s="617"/>
      <c r="I280" s="617"/>
      <c r="J280" s="617"/>
      <c r="K280" s="1701">
        <f>D280</f>
        <v>0</v>
      </c>
      <c r="L280" s="576">
        <v>0</v>
      </c>
    </row>
    <row r="281" spans="1:12" ht="15.75" customHeight="1" thickTop="1" x14ac:dyDescent="0.2">
      <c r="A281" s="1636" t="s">
        <v>144</v>
      </c>
      <c r="B281" s="1637" t="s">
        <v>914</v>
      </c>
      <c r="C281" s="617"/>
      <c r="D281" s="566"/>
      <c r="E281" s="617"/>
      <c r="F281" s="617"/>
      <c r="G281" s="617"/>
      <c r="H281" s="617"/>
      <c r="I281" s="617"/>
      <c r="J281" s="617"/>
      <c r="K281" s="617"/>
      <c r="L281" s="617"/>
    </row>
    <row r="282" spans="1:12" ht="15.75" customHeight="1" x14ac:dyDescent="0.2">
      <c r="A282" s="1853" t="s">
        <v>516</v>
      </c>
      <c r="B282" s="691" t="s">
        <v>1956</v>
      </c>
      <c r="C282" s="617"/>
      <c r="D282" s="467"/>
      <c r="E282" s="617"/>
      <c r="F282" s="617"/>
      <c r="G282" s="617"/>
      <c r="H282" s="617"/>
      <c r="I282" s="617"/>
      <c r="J282" s="617"/>
      <c r="K282" s="1693">
        <f>D282</f>
        <v>0</v>
      </c>
      <c r="L282" s="467">
        <v>0</v>
      </c>
    </row>
    <row r="283" spans="1:12" x14ac:dyDescent="0.2">
      <c r="A283" s="1526" t="s">
        <v>321</v>
      </c>
      <c r="B283" s="615">
        <v>4120</v>
      </c>
      <c r="C283" s="617"/>
      <c r="D283" s="466"/>
      <c r="E283" s="617"/>
      <c r="F283" s="617"/>
      <c r="G283" s="617"/>
      <c r="H283" s="617"/>
      <c r="I283" s="617"/>
      <c r="J283" s="617"/>
      <c r="K283" s="1693">
        <f>D283</f>
        <v>0</v>
      </c>
      <c r="L283" s="466">
        <v>0</v>
      </c>
    </row>
    <row r="284" spans="1:12" x14ac:dyDescent="0.2">
      <c r="A284" s="1526" t="s">
        <v>720</v>
      </c>
      <c r="B284" s="615">
        <v>4140</v>
      </c>
      <c r="C284" s="617"/>
      <c r="D284" s="467"/>
      <c r="E284" s="617"/>
      <c r="F284" s="617"/>
      <c r="G284" s="617"/>
      <c r="H284" s="617"/>
      <c r="I284" s="617"/>
      <c r="J284" s="617"/>
      <c r="K284" s="1693">
        <f>D284</f>
        <v>0</v>
      </c>
      <c r="L284" s="466">
        <v>0</v>
      </c>
    </row>
    <row r="285" spans="1:12" ht="12.75" customHeight="1" thickBot="1" x14ac:dyDescent="0.25">
      <c r="A285" s="1690" t="s">
        <v>1566</v>
      </c>
      <c r="B285" s="1691" t="s">
        <v>914</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930</v>
      </c>
      <c r="B286" s="1631" t="s">
        <v>512</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v>0</v>
      </c>
    </row>
    <row r="289" spans="1:14" x14ac:dyDescent="0.2">
      <c r="A289" s="1526" t="s">
        <v>90</v>
      </c>
      <c r="B289" s="615">
        <v>5120</v>
      </c>
      <c r="C289" s="617"/>
      <c r="D289" s="617"/>
      <c r="E289" s="617"/>
      <c r="F289" s="617"/>
      <c r="G289" s="617"/>
      <c r="H289" s="466"/>
      <c r="I289" s="617"/>
      <c r="J289" s="617"/>
      <c r="K289" s="1693">
        <f>H289</f>
        <v>0</v>
      </c>
      <c r="L289" s="466">
        <v>0</v>
      </c>
    </row>
    <row r="290" spans="1:14" ht="12.75" customHeight="1" x14ac:dyDescent="0.2">
      <c r="A290" s="1526" t="s">
        <v>1231</v>
      </c>
      <c r="B290" s="629" t="s">
        <v>637</v>
      </c>
      <c r="C290" s="617"/>
      <c r="D290" s="617"/>
      <c r="E290" s="617"/>
      <c r="F290" s="617"/>
      <c r="G290" s="617"/>
      <c r="H290" s="466"/>
      <c r="I290" s="617"/>
      <c r="J290" s="617"/>
      <c r="K290" s="1693">
        <f>H290</f>
        <v>0</v>
      </c>
      <c r="L290" s="466">
        <v>0</v>
      </c>
    </row>
    <row r="291" spans="1:14" x14ac:dyDescent="0.2">
      <c r="A291" s="1526" t="s">
        <v>91</v>
      </c>
      <c r="B291" s="615" t="s">
        <v>609</v>
      </c>
      <c r="C291" s="617"/>
      <c r="D291" s="617"/>
      <c r="E291" s="617"/>
      <c r="F291" s="617"/>
      <c r="G291" s="617"/>
      <c r="H291" s="466"/>
      <c r="I291" s="617"/>
      <c r="J291" s="617"/>
      <c r="K291" s="1693">
        <f>H291</f>
        <v>0</v>
      </c>
      <c r="L291" s="466">
        <v>0</v>
      </c>
    </row>
    <row r="292" spans="1:14" x14ac:dyDescent="0.2">
      <c r="A292" s="1526" t="s">
        <v>785</v>
      </c>
      <c r="B292" s="615" t="s">
        <v>638</v>
      </c>
      <c r="C292" s="617"/>
      <c r="D292" s="617"/>
      <c r="E292" s="617"/>
      <c r="F292" s="617"/>
      <c r="G292" s="617"/>
      <c r="H292" s="466"/>
      <c r="I292" s="617"/>
      <c r="J292" s="617"/>
      <c r="K292" s="1693">
        <f>H292</f>
        <v>0</v>
      </c>
      <c r="L292" s="466">
        <v>0</v>
      </c>
    </row>
    <row r="293" spans="1:14" ht="12.75" customHeight="1" thickBot="1" x14ac:dyDescent="0.25">
      <c r="A293" s="1690" t="s">
        <v>504</v>
      </c>
      <c r="B293" s="1691" t="s">
        <v>512</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931</v>
      </c>
      <c r="B294" s="1635" t="s">
        <v>915</v>
      </c>
      <c r="C294" s="617"/>
      <c r="D294" s="624"/>
      <c r="E294" s="617"/>
      <c r="F294" s="617"/>
      <c r="G294" s="617"/>
      <c r="H294" s="687"/>
      <c r="I294" s="617"/>
      <c r="J294" s="617"/>
      <c r="K294" s="687"/>
      <c r="L294" s="578">
        <v>0</v>
      </c>
    </row>
    <row r="295" spans="1:14" ht="12.75" customHeight="1" thickTop="1" thickBot="1" x14ac:dyDescent="0.25">
      <c r="A295" s="2191" t="s">
        <v>525</v>
      </c>
      <c r="B295" s="2192"/>
      <c r="C295" s="617"/>
      <c r="D295" s="1692">
        <f>SUM(D229,D279,D280,D285)</f>
        <v>147302</v>
      </c>
      <c r="E295" s="617"/>
      <c r="F295" s="617"/>
      <c r="G295" s="617"/>
      <c r="H295" s="1692">
        <f>H293</f>
        <v>0</v>
      </c>
      <c r="I295" s="617"/>
      <c r="J295" s="617"/>
      <c r="K295" s="1692">
        <f>SUM(K229,K279,K280,K285,K293,K294)</f>
        <v>147302</v>
      </c>
      <c r="L295" s="1692">
        <f>SUM(L229,L279,L280,L285,L293,L294)</f>
        <v>152950</v>
      </c>
    </row>
    <row r="296" spans="1:14" ht="13.5" thickTop="1" x14ac:dyDescent="0.2">
      <c r="A296" s="2173" t="s">
        <v>1052</v>
      </c>
      <c r="B296" s="2174"/>
      <c r="C296" s="617"/>
      <c r="D296" s="619"/>
      <c r="E296" s="617"/>
      <c r="F296" s="617"/>
      <c r="G296" s="617"/>
      <c r="H296" s="688"/>
      <c r="I296" s="617"/>
      <c r="J296" s="617"/>
      <c r="K296" s="1706">
        <f>'Revenues 9-14'!G275-'Expenditures 15-22'!K295</f>
        <v>16972</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589</v>
      </c>
      <c r="C299" s="617"/>
      <c r="D299" s="617"/>
      <c r="E299" s="617"/>
      <c r="F299" s="617"/>
      <c r="G299" s="617"/>
      <c r="H299" s="617"/>
      <c r="I299" s="617"/>
      <c r="J299" s="617"/>
      <c r="K299" s="617"/>
      <c r="L299" s="617"/>
    </row>
    <row r="300" spans="1:14" ht="15.75" customHeight="1" x14ac:dyDescent="0.2">
      <c r="A300" s="689" t="s">
        <v>632</v>
      </c>
      <c r="B300" s="632"/>
      <c r="C300" s="624"/>
      <c r="D300" s="624"/>
      <c r="E300" s="624"/>
      <c r="F300" s="624"/>
      <c r="G300" s="624"/>
      <c r="H300" s="624"/>
      <c r="I300" s="617"/>
      <c r="J300" s="617"/>
      <c r="K300" s="624"/>
      <c r="L300" s="624"/>
    </row>
    <row r="301" spans="1:14" x14ac:dyDescent="0.2">
      <c r="A301" s="1539" t="s">
        <v>628</v>
      </c>
      <c r="B301" s="690">
        <v>2530</v>
      </c>
      <c r="C301" s="466"/>
      <c r="D301" s="466"/>
      <c r="E301" s="466"/>
      <c r="F301" s="466"/>
      <c r="G301" s="466"/>
      <c r="H301" s="466"/>
      <c r="I301" s="467"/>
      <c r="J301" s="467"/>
      <c r="K301" s="1693">
        <f>SUM(C301:J301)</f>
        <v>0</v>
      </c>
      <c r="L301" s="467">
        <v>0</v>
      </c>
    </row>
    <row r="302" spans="1:14" ht="13.5" customHeight="1" x14ac:dyDescent="0.2">
      <c r="A302" s="1539" t="s">
        <v>1036</v>
      </c>
      <c r="B302" s="615" t="s">
        <v>594</v>
      </c>
      <c r="C302" s="466"/>
      <c r="D302" s="466"/>
      <c r="E302" s="466"/>
      <c r="F302" s="466"/>
      <c r="G302" s="466"/>
      <c r="H302" s="466"/>
      <c r="I302" s="467"/>
      <c r="J302" s="467"/>
      <c r="K302" s="1693">
        <f>SUM(C302:J302)</f>
        <v>0</v>
      </c>
      <c r="L302" s="466">
        <v>0</v>
      </c>
    </row>
    <row r="303" spans="1:14" ht="12.75" customHeight="1" thickBot="1" x14ac:dyDescent="0.25">
      <c r="A303" s="1690" t="s">
        <v>864</v>
      </c>
      <c r="B303" s="1691" t="s">
        <v>589</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914</v>
      </c>
      <c r="C304" s="617"/>
      <c r="D304" s="617"/>
      <c r="E304" s="617"/>
      <c r="F304" s="617"/>
      <c r="G304" s="617"/>
      <c r="H304" s="617"/>
      <c r="I304" s="617"/>
      <c r="J304" s="617"/>
      <c r="K304" s="617"/>
      <c r="L304" s="617"/>
    </row>
    <row r="305" spans="1:14" ht="15.75" customHeight="1" x14ac:dyDescent="0.2">
      <c r="A305" s="654" t="s">
        <v>952</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v>0</v>
      </c>
    </row>
    <row r="307" spans="1:14" x14ac:dyDescent="0.2">
      <c r="A307" s="1526" t="s">
        <v>321</v>
      </c>
      <c r="B307" s="615">
        <v>4120</v>
      </c>
      <c r="C307" s="617"/>
      <c r="D307" s="617"/>
      <c r="E307" s="467"/>
      <c r="F307" s="617"/>
      <c r="G307" s="617"/>
      <c r="H307" s="467"/>
      <c r="I307" s="477"/>
      <c r="J307" s="617"/>
      <c r="K307" s="1693">
        <f>SUM(E307,H307)</f>
        <v>0</v>
      </c>
      <c r="L307" s="466">
        <v>0</v>
      </c>
    </row>
    <row r="308" spans="1:14" x14ac:dyDescent="0.2">
      <c r="A308" s="1526" t="s">
        <v>720</v>
      </c>
      <c r="B308" s="615">
        <v>4140</v>
      </c>
      <c r="C308" s="617"/>
      <c r="D308" s="617"/>
      <c r="E308" s="467"/>
      <c r="F308" s="617"/>
      <c r="G308" s="617"/>
      <c r="H308" s="467"/>
      <c r="I308" s="477"/>
      <c r="J308" s="617"/>
      <c r="K308" s="1693">
        <f>SUM(E308,H308)</f>
        <v>0</v>
      </c>
      <c r="L308" s="466">
        <v>0</v>
      </c>
    </row>
    <row r="309" spans="1:14" ht="12.75" customHeight="1" x14ac:dyDescent="0.2">
      <c r="A309" s="1530" t="s">
        <v>721</v>
      </c>
      <c r="B309" s="629">
        <v>4190</v>
      </c>
      <c r="C309" s="617"/>
      <c r="D309" s="617"/>
      <c r="E309" s="467"/>
      <c r="F309" s="617"/>
      <c r="G309" s="617"/>
      <c r="H309" s="467"/>
      <c r="I309" s="477"/>
      <c r="J309" s="617"/>
      <c r="K309" s="1693">
        <f>SUM(E309,H309)</f>
        <v>0</v>
      </c>
      <c r="L309" s="466">
        <v>0</v>
      </c>
    </row>
    <row r="310" spans="1:14" ht="12.75" customHeight="1" thickBot="1" x14ac:dyDescent="0.25">
      <c r="A310" s="1690" t="s">
        <v>1566</v>
      </c>
      <c r="B310" s="1697" t="s">
        <v>914</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950</v>
      </c>
      <c r="B311" s="1633" t="s">
        <v>915</v>
      </c>
      <c r="C311" s="624"/>
      <c r="D311" s="624"/>
      <c r="E311" s="624"/>
      <c r="F311" s="624"/>
      <c r="G311" s="624"/>
      <c r="H311" s="624"/>
      <c r="I311" s="624"/>
      <c r="J311" s="617"/>
      <c r="K311" s="624"/>
      <c r="L311" s="576">
        <v>0</v>
      </c>
    </row>
    <row r="312" spans="1:14" s="675" customFormat="1" ht="12.75" customHeight="1" thickTop="1" thickBot="1" x14ac:dyDescent="0.25">
      <c r="A312" s="2188" t="s">
        <v>294</v>
      </c>
      <c r="B312" s="2189"/>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4" t="s">
        <v>1052</v>
      </c>
      <c r="B313" s="2185"/>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953</v>
      </c>
      <c r="B317" s="2198"/>
      <c r="C317" s="1578"/>
      <c r="D317" s="1579"/>
      <c r="E317" s="1579"/>
      <c r="F317" s="1579"/>
      <c r="G317" s="1579"/>
      <c r="H317" s="1579"/>
      <c r="I317" s="1579"/>
      <c r="J317" s="1579"/>
      <c r="K317" s="1579"/>
      <c r="L317" s="1580"/>
    </row>
    <row r="318" spans="1:14" s="675" customFormat="1" ht="15.75" customHeight="1" x14ac:dyDescent="0.2">
      <c r="A318" s="696" t="s">
        <v>630</v>
      </c>
      <c r="B318" s="697"/>
      <c r="C318" s="639"/>
      <c r="D318" s="639"/>
      <c r="E318" s="639"/>
      <c r="F318" s="639"/>
      <c r="G318" s="639"/>
      <c r="H318" s="639"/>
      <c r="I318" s="639"/>
      <c r="J318" s="639"/>
      <c r="K318" s="639"/>
      <c r="L318" s="639"/>
      <c r="M318" s="666"/>
      <c r="N318" s="666"/>
    </row>
    <row r="319" spans="1:14" s="675" customFormat="1" x14ac:dyDescent="0.2">
      <c r="A319" s="1541" t="s">
        <v>316</v>
      </c>
      <c r="B319" s="698" t="s">
        <v>298</v>
      </c>
      <c r="C319" s="467"/>
      <c r="D319" s="467"/>
      <c r="E319" s="467"/>
      <c r="F319" s="467"/>
      <c r="G319" s="467"/>
      <c r="H319" s="467"/>
      <c r="I319" s="467"/>
      <c r="J319" s="467"/>
      <c r="K319" s="1693">
        <f>SUM(C319:J319)</f>
        <v>0</v>
      </c>
      <c r="L319" s="467">
        <v>0</v>
      </c>
      <c r="M319" s="666"/>
      <c r="N319" s="666"/>
    </row>
    <row r="320" spans="1:14" s="675" customFormat="1" x14ac:dyDescent="0.2">
      <c r="A320" s="1545" t="s">
        <v>1907</v>
      </c>
      <c r="B320" s="699" t="s">
        <v>299</v>
      </c>
      <c r="C320" s="467"/>
      <c r="D320" s="467"/>
      <c r="E320" s="467"/>
      <c r="F320" s="467"/>
      <c r="G320" s="467"/>
      <c r="H320" s="467"/>
      <c r="I320" s="467"/>
      <c r="J320" s="467"/>
      <c r="K320" s="1693">
        <f t="shared" ref="K320:K327" si="24">SUM(C320:J320)</f>
        <v>0</v>
      </c>
      <c r="L320" s="467">
        <v>0</v>
      </c>
      <c r="M320" s="666"/>
      <c r="N320" s="666"/>
    </row>
    <row r="321" spans="1:14" s="675" customFormat="1" x14ac:dyDescent="0.2">
      <c r="A321" s="1541" t="s">
        <v>317</v>
      </c>
      <c r="B321" s="698" t="s">
        <v>300</v>
      </c>
      <c r="C321" s="467"/>
      <c r="D321" s="467"/>
      <c r="E321" s="467">
        <v>6761</v>
      </c>
      <c r="F321" s="467"/>
      <c r="G321" s="467"/>
      <c r="H321" s="467"/>
      <c r="I321" s="467"/>
      <c r="J321" s="467"/>
      <c r="K321" s="1693">
        <f t="shared" si="24"/>
        <v>6761</v>
      </c>
      <c r="L321" s="467">
        <v>7000</v>
      </c>
      <c r="M321" s="666"/>
      <c r="N321" s="666"/>
    </row>
    <row r="322" spans="1:14" s="675" customFormat="1" x14ac:dyDescent="0.2">
      <c r="A322" s="1541" t="s">
        <v>256</v>
      </c>
      <c r="B322" s="698" t="s">
        <v>301</v>
      </c>
      <c r="C322" s="467"/>
      <c r="D322" s="467"/>
      <c r="E322" s="467">
        <v>73648</v>
      </c>
      <c r="F322" s="467"/>
      <c r="G322" s="467"/>
      <c r="H322" s="467"/>
      <c r="I322" s="467"/>
      <c r="J322" s="467"/>
      <c r="K322" s="1693">
        <f t="shared" si="24"/>
        <v>73648</v>
      </c>
      <c r="L322" s="467">
        <v>70000</v>
      </c>
      <c r="M322" s="666"/>
      <c r="N322" s="666"/>
    </row>
    <row r="323" spans="1:14" s="675" customFormat="1" x14ac:dyDescent="0.2">
      <c r="A323" s="1541" t="s">
        <v>725</v>
      </c>
      <c r="B323" s="698" t="s">
        <v>302</v>
      </c>
      <c r="C323" s="467"/>
      <c r="D323" s="467"/>
      <c r="E323" s="467"/>
      <c r="F323" s="467"/>
      <c r="G323" s="467"/>
      <c r="H323" s="467"/>
      <c r="I323" s="467"/>
      <c r="J323" s="467"/>
      <c r="K323" s="1693">
        <f t="shared" si="24"/>
        <v>0</v>
      </c>
      <c r="L323" s="467">
        <v>0</v>
      </c>
      <c r="M323" s="666"/>
      <c r="N323" s="666"/>
    </row>
    <row r="324" spans="1:14" s="675" customFormat="1" x14ac:dyDescent="0.2">
      <c r="A324" s="1541" t="s">
        <v>257</v>
      </c>
      <c r="B324" s="698" t="s">
        <v>303</v>
      </c>
      <c r="C324" s="467"/>
      <c r="D324" s="467"/>
      <c r="E324" s="467"/>
      <c r="F324" s="467"/>
      <c r="G324" s="467"/>
      <c r="H324" s="467"/>
      <c r="I324" s="467"/>
      <c r="J324" s="467"/>
      <c r="K324" s="1693">
        <f t="shared" si="24"/>
        <v>0</v>
      </c>
      <c r="L324" s="467">
        <v>0</v>
      </c>
      <c r="M324" s="666"/>
      <c r="N324" s="666"/>
    </row>
    <row r="325" spans="1:14" s="675" customFormat="1" ht="22.5" x14ac:dyDescent="0.2">
      <c r="A325" s="1541" t="s">
        <v>1086</v>
      </c>
      <c r="B325" s="699" t="s">
        <v>304</v>
      </c>
      <c r="C325" s="467">
        <v>110851</v>
      </c>
      <c r="D325" s="467"/>
      <c r="E325" s="467">
        <v>23203</v>
      </c>
      <c r="F325" s="467">
        <v>4273</v>
      </c>
      <c r="G325" s="467">
        <v>13251</v>
      </c>
      <c r="H325" s="467"/>
      <c r="I325" s="467"/>
      <c r="J325" s="467"/>
      <c r="K325" s="1693">
        <f t="shared" si="24"/>
        <v>151578</v>
      </c>
      <c r="L325" s="467">
        <v>165000</v>
      </c>
      <c r="M325" s="666"/>
      <c r="N325" s="666"/>
    </row>
    <row r="326" spans="1:14" s="675" customFormat="1" x14ac:dyDescent="0.2">
      <c r="A326" s="1541" t="s">
        <v>1087</v>
      </c>
      <c r="B326" s="698" t="s">
        <v>305</v>
      </c>
      <c r="C326" s="467"/>
      <c r="D326" s="467"/>
      <c r="E326" s="467"/>
      <c r="F326" s="467"/>
      <c r="G326" s="467"/>
      <c r="H326" s="467"/>
      <c r="I326" s="467"/>
      <c r="J326" s="467"/>
      <c r="K326" s="1693">
        <f t="shared" si="24"/>
        <v>0</v>
      </c>
      <c r="L326" s="467">
        <v>0</v>
      </c>
      <c r="M326" s="666"/>
      <c r="N326" s="666"/>
    </row>
    <row r="327" spans="1:14" s="675" customFormat="1" x14ac:dyDescent="0.2">
      <c r="A327" s="1541" t="s">
        <v>1027</v>
      </c>
      <c r="B327" s="698" t="s">
        <v>306</v>
      </c>
      <c r="C327" s="467"/>
      <c r="D327" s="467"/>
      <c r="E327" s="467"/>
      <c r="F327" s="467"/>
      <c r="G327" s="467"/>
      <c r="H327" s="467"/>
      <c r="I327" s="467"/>
      <c r="J327" s="467"/>
      <c r="K327" s="1693">
        <f t="shared" si="24"/>
        <v>0</v>
      </c>
      <c r="L327" s="467">
        <v>5000</v>
      </c>
      <c r="M327" s="666"/>
      <c r="N327" s="666"/>
    </row>
    <row r="328" spans="1:14" s="675" customFormat="1" x14ac:dyDescent="0.2">
      <c r="A328" s="1542" t="s">
        <v>491</v>
      </c>
      <c r="B328" s="691" t="s">
        <v>1193</v>
      </c>
      <c r="C328" s="474"/>
      <c r="D328" s="474"/>
      <c r="E328" s="474"/>
      <c r="F328" s="474"/>
      <c r="G328" s="474"/>
      <c r="H328" s="474"/>
      <c r="I328" s="474"/>
      <c r="J328" s="474"/>
      <c r="K328" s="1721">
        <f>SUM(C328:J328)</f>
        <v>0</v>
      </c>
      <c r="L328" s="474">
        <v>0</v>
      </c>
      <c r="M328" s="666"/>
      <c r="N328" s="666"/>
    </row>
    <row r="329" spans="1:14" s="675" customFormat="1" x14ac:dyDescent="0.2">
      <c r="A329" s="1542" t="s">
        <v>1194</v>
      </c>
      <c r="B329" s="691" t="s">
        <v>1195</v>
      </c>
      <c r="C329" s="474"/>
      <c r="D329" s="474"/>
      <c r="E329" s="474"/>
      <c r="F329" s="474"/>
      <c r="G329" s="474"/>
      <c r="H329" s="474"/>
      <c r="I329" s="474"/>
      <c r="J329" s="474"/>
      <c r="K329" s="1721">
        <f>SUM(C329:J329)</f>
        <v>0</v>
      </c>
      <c r="L329" s="474">
        <v>0</v>
      </c>
      <c r="M329" s="666"/>
      <c r="N329" s="666"/>
    </row>
    <row r="330" spans="1:14" s="675" customFormat="1" ht="12.75" customHeight="1" thickBot="1" x14ac:dyDescent="0.25">
      <c r="A330" s="1722" t="s">
        <v>740</v>
      </c>
      <c r="B330" s="1691" t="s">
        <v>589</v>
      </c>
      <c r="C330" s="1692">
        <f>SUM(C319:C329)</f>
        <v>110851</v>
      </c>
      <c r="D330" s="1692">
        <f t="shared" ref="D330:J330" si="25">SUM(D319:D329)</f>
        <v>0</v>
      </c>
      <c r="E330" s="1692">
        <f t="shared" si="25"/>
        <v>103612</v>
      </c>
      <c r="F330" s="1692">
        <f t="shared" si="25"/>
        <v>4273</v>
      </c>
      <c r="G330" s="1692">
        <f t="shared" si="25"/>
        <v>13251</v>
      </c>
      <c r="H330" s="1692">
        <f t="shared" si="25"/>
        <v>0</v>
      </c>
      <c r="I330" s="1692">
        <f t="shared" si="25"/>
        <v>0</v>
      </c>
      <c r="J330" s="1692">
        <f t="shared" si="25"/>
        <v>0</v>
      </c>
      <c r="K330" s="1692">
        <f>SUM(K319:K329)</f>
        <v>231987</v>
      </c>
      <c r="L330" s="1692">
        <f>SUM(L319:L329)</f>
        <v>247000</v>
      </c>
      <c r="M330" s="666"/>
      <c r="N330" s="666"/>
    </row>
    <row r="331" spans="1:14" s="675" customFormat="1" ht="12.75" customHeight="1" thickTop="1" x14ac:dyDescent="0.2">
      <c r="A331" s="1854" t="s">
        <v>1962</v>
      </c>
      <c r="B331" s="648" t="s">
        <v>914</v>
      </c>
      <c r="C331" s="1856"/>
      <c r="D331" s="1856"/>
      <c r="E331" s="1856"/>
      <c r="F331" s="1856"/>
      <c r="G331" s="1856"/>
      <c r="H331" s="1856"/>
      <c r="I331" s="1856"/>
      <c r="J331" s="1856"/>
      <c r="K331" s="1856"/>
      <c r="L331" s="1856"/>
      <c r="M331" s="666"/>
      <c r="N331" s="666"/>
    </row>
    <row r="332" spans="1:14" s="675" customFormat="1" ht="12.75" customHeight="1" x14ac:dyDescent="0.2">
      <c r="A332" s="1855" t="s">
        <v>516</v>
      </c>
      <c r="B332" s="1850" t="s">
        <v>1956</v>
      </c>
      <c r="C332" s="1856"/>
      <c r="D332" s="1856"/>
      <c r="E332" s="1856"/>
      <c r="F332" s="1856"/>
      <c r="G332" s="1856"/>
      <c r="H332" s="467"/>
      <c r="I332" s="1856"/>
      <c r="J332" s="1856"/>
      <c r="K332" s="1693">
        <f>H332</f>
        <v>0</v>
      </c>
      <c r="L332" s="467">
        <v>0</v>
      </c>
      <c r="M332" s="666"/>
      <c r="N332" s="666"/>
    </row>
    <row r="333" spans="1:14" s="675" customFormat="1" ht="12.75" customHeight="1" x14ac:dyDescent="0.2">
      <c r="A333" s="1855" t="s">
        <v>321</v>
      </c>
      <c r="B333" s="1850" t="s">
        <v>1958</v>
      </c>
      <c r="C333" s="1856"/>
      <c r="D333" s="1856"/>
      <c r="E333" s="1856"/>
      <c r="F333" s="1856"/>
      <c r="G333" s="1856"/>
      <c r="H333" s="467"/>
      <c r="I333" s="1856"/>
      <c r="J333" s="1856"/>
      <c r="K333" s="1693">
        <f>H333</f>
        <v>0</v>
      </c>
      <c r="L333" s="467">
        <v>0</v>
      </c>
      <c r="M333" s="666"/>
      <c r="N333" s="666"/>
    </row>
    <row r="334" spans="1:14" s="675" customFormat="1" ht="12.75" customHeight="1" thickBot="1" x14ac:dyDescent="0.25">
      <c r="A334" s="1855" t="s">
        <v>1963</v>
      </c>
      <c r="B334" s="1850" t="s">
        <v>914</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954</v>
      </c>
      <c r="B335" s="1629" t="s">
        <v>512</v>
      </c>
      <c r="C335" s="617"/>
      <c r="D335" s="617"/>
      <c r="E335" s="617"/>
      <c r="F335" s="617"/>
      <c r="G335" s="617"/>
      <c r="H335" s="617"/>
      <c r="I335" s="617"/>
      <c r="J335" s="617"/>
      <c r="K335" s="617"/>
      <c r="L335" s="617"/>
    </row>
    <row r="336" spans="1:14" ht="15.75" customHeight="1" x14ac:dyDescent="0.2">
      <c r="A336" s="654" t="s">
        <v>635</v>
      </c>
      <c r="B336" s="623"/>
      <c r="C336" s="617"/>
      <c r="D336" s="617"/>
      <c r="E336" s="617"/>
      <c r="F336" s="617"/>
      <c r="G336" s="617"/>
      <c r="H336" s="624"/>
      <c r="I336" s="617"/>
      <c r="J336" s="617"/>
      <c r="K336" s="624"/>
      <c r="L336" s="624"/>
    </row>
    <row r="337" spans="1:14" x14ac:dyDescent="0.2">
      <c r="A337" s="1540" t="s">
        <v>89</v>
      </c>
      <c r="B337" s="691" t="s">
        <v>955</v>
      </c>
      <c r="C337" s="639"/>
      <c r="D337" s="639"/>
      <c r="E337" s="639"/>
      <c r="F337" s="639"/>
      <c r="G337" s="639"/>
      <c r="H337" s="478"/>
      <c r="I337" s="639"/>
      <c r="J337" s="639"/>
      <c r="K337" s="1693">
        <f>H337</f>
        <v>0</v>
      </c>
      <c r="L337" s="478">
        <v>0</v>
      </c>
    </row>
    <row r="338" spans="1:14" ht="12.75" customHeight="1" x14ac:dyDescent="0.2">
      <c r="A338" s="1540" t="s">
        <v>1231</v>
      </c>
      <c r="B338" s="691" t="s">
        <v>637</v>
      </c>
      <c r="C338" s="639"/>
      <c r="D338" s="639"/>
      <c r="E338" s="639"/>
      <c r="F338" s="639"/>
      <c r="G338" s="639"/>
      <c r="H338" s="478"/>
      <c r="I338" s="639"/>
      <c r="J338" s="639"/>
      <c r="K338" s="1693">
        <f>H338</f>
        <v>0</v>
      </c>
      <c r="L338" s="478">
        <v>0</v>
      </c>
    </row>
    <row r="339" spans="1:14" x14ac:dyDescent="0.2">
      <c r="A339" s="1526" t="s">
        <v>956</v>
      </c>
      <c r="B339" s="629">
        <v>5150</v>
      </c>
      <c r="C339" s="639"/>
      <c r="D339" s="639"/>
      <c r="E339" s="639"/>
      <c r="F339" s="639"/>
      <c r="G339" s="639"/>
      <c r="H339" s="467"/>
      <c r="I339" s="639"/>
      <c r="J339" s="639"/>
      <c r="K339" s="1693">
        <f>H339</f>
        <v>0</v>
      </c>
      <c r="L339" s="467">
        <v>0</v>
      </c>
    </row>
    <row r="340" spans="1:14" ht="13.5" thickBot="1" x14ac:dyDescent="0.25">
      <c r="A340" s="1716" t="s">
        <v>957</v>
      </c>
      <c r="B340" s="1691" t="s">
        <v>512</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958</v>
      </c>
      <c r="B341" s="1633" t="s">
        <v>915</v>
      </c>
      <c r="C341" s="617"/>
      <c r="D341" s="617"/>
      <c r="E341" s="477"/>
      <c r="F341" s="468"/>
      <c r="G341" s="468"/>
      <c r="H341" s="477"/>
      <c r="I341" s="477"/>
      <c r="J341" s="468"/>
      <c r="K341" s="477"/>
      <c r="L341" s="576">
        <v>0</v>
      </c>
    </row>
    <row r="342" spans="1:14" ht="12.75" customHeight="1" thickTop="1" thickBot="1" x14ac:dyDescent="0.25">
      <c r="A342" s="1708" t="s">
        <v>525</v>
      </c>
      <c r="B342" s="1723"/>
      <c r="C342" s="1692">
        <f>SUM(C330)</f>
        <v>110851</v>
      </c>
      <c r="D342" s="1692">
        <f>SUM(D330)</f>
        <v>0</v>
      </c>
      <c r="E342" s="1692">
        <f>SUM(E330)</f>
        <v>103612</v>
      </c>
      <c r="F342" s="1692">
        <f>SUM(F330)</f>
        <v>4273</v>
      </c>
      <c r="G342" s="1692">
        <f>SUM(G330)</f>
        <v>13251</v>
      </c>
      <c r="H342" s="1692">
        <f>SUM(H330,H334,H340)</f>
        <v>0</v>
      </c>
      <c r="I342" s="1692">
        <f>SUM(I330)</f>
        <v>0</v>
      </c>
      <c r="J342" s="1692">
        <f>SUM(J330)</f>
        <v>0</v>
      </c>
      <c r="K342" s="1692">
        <f>SUM(K330,K334,K340)</f>
        <v>231987</v>
      </c>
      <c r="L342" s="1699">
        <f>SUM(L330,L340,L341)</f>
        <v>247000</v>
      </c>
    </row>
    <row r="343" spans="1:14" ht="12.75" customHeight="1" thickTop="1" x14ac:dyDescent="0.2">
      <c r="A343" s="2186" t="s">
        <v>1052</v>
      </c>
      <c r="B343" s="2187"/>
      <c r="C343" s="617"/>
      <c r="D343" s="617"/>
      <c r="E343" s="617"/>
      <c r="F343" s="617"/>
      <c r="G343" s="617"/>
      <c r="H343" s="617"/>
      <c r="I343" s="617"/>
      <c r="J343" s="617"/>
      <c r="K343" s="1706">
        <f>'Revenues 9-14'!J275-'Expenditures 15-22'!K342</f>
        <v>14349</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1022</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898</v>
      </c>
      <c r="B346" s="1637" t="s">
        <v>589</v>
      </c>
      <c r="C346" s="617"/>
      <c r="D346" s="617"/>
      <c r="E346" s="617"/>
      <c r="F346" s="617"/>
      <c r="G346" s="617"/>
      <c r="H346" s="617"/>
      <c r="I346" s="617"/>
      <c r="J346" s="617"/>
      <c r="K346" s="617"/>
      <c r="L346" s="617"/>
      <c r="M346" s="610"/>
      <c r="N346" s="610"/>
    </row>
    <row r="347" spans="1:14" ht="15.75" customHeight="1" x14ac:dyDescent="0.2">
      <c r="A347" s="700" t="s">
        <v>632</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v>0</v>
      </c>
    </row>
    <row r="349" spans="1:14" x14ac:dyDescent="0.2">
      <c r="A349" s="1526" t="s">
        <v>206</v>
      </c>
      <c r="B349" s="615">
        <v>2540</v>
      </c>
      <c r="C349" s="466"/>
      <c r="D349" s="466"/>
      <c r="E349" s="466">
        <v>1763</v>
      </c>
      <c r="F349" s="466"/>
      <c r="G349" s="466">
        <v>27692</v>
      </c>
      <c r="H349" s="466"/>
      <c r="I349" s="467"/>
      <c r="J349" s="467"/>
      <c r="K349" s="1693">
        <f>SUM(C349:J349)</f>
        <v>29455</v>
      </c>
      <c r="L349" s="466">
        <v>15000</v>
      </c>
    </row>
    <row r="350" spans="1:14" ht="12.75" customHeight="1" thickBot="1" x14ac:dyDescent="0.25">
      <c r="A350" s="1690" t="s">
        <v>742</v>
      </c>
      <c r="B350" s="1691" t="s">
        <v>35</v>
      </c>
      <c r="C350" s="1692">
        <f>SUM(C348:C349)</f>
        <v>0</v>
      </c>
      <c r="D350" s="1692">
        <f t="shared" ref="D350:L350" si="26">SUM(D348:D349)</f>
        <v>0</v>
      </c>
      <c r="E350" s="1692">
        <f t="shared" si="26"/>
        <v>1763</v>
      </c>
      <c r="F350" s="1692">
        <f t="shared" si="26"/>
        <v>0</v>
      </c>
      <c r="G350" s="1692">
        <f t="shared" si="26"/>
        <v>27692</v>
      </c>
      <c r="H350" s="1692">
        <f t="shared" si="26"/>
        <v>0</v>
      </c>
      <c r="I350" s="1692">
        <f t="shared" si="26"/>
        <v>0</v>
      </c>
      <c r="J350" s="1692">
        <f t="shared" si="26"/>
        <v>0</v>
      </c>
      <c r="K350" s="1692">
        <f t="shared" si="26"/>
        <v>29455</v>
      </c>
      <c r="L350" s="1692">
        <f t="shared" si="26"/>
        <v>15000</v>
      </c>
    </row>
    <row r="351" spans="1:14" ht="12.75" customHeight="1" thickTop="1" x14ac:dyDescent="0.2">
      <c r="A351" s="1532" t="s">
        <v>1036</v>
      </c>
      <c r="B351" s="644" t="s">
        <v>594</v>
      </c>
      <c r="C351" s="481"/>
      <c r="D351" s="481"/>
      <c r="E351" s="481"/>
      <c r="F351" s="481"/>
      <c r="G351" s="481"/>
      <c r="H351" s="481"/>
      <c r="I351" s="478"/>
      <c r="J351" s="478"/>
      <c r="K351" s="616">
        <f>SUM(C351:J351)</f>
        <v>0</v>
      </c>
      <c r="L351" s="481">
        <v>0</v>
      </c>
    </row>
    <row r="352" spans="1:14" ht="12.75" customHeight="1" thickBot="1" x14ac:dyDescent="0.25">
      <c r="A352" s="1690" t="s">
        <v>644</v>
      </c>
      <c r="B352" s="1697" t="s">
        <v>589</v>
      </c>
      <c r="C352" s="1692">
        <f>SUM(C350:C351)</f>
        <v>0</v>
      </c>
      <c r="D352" s="1692">
        <f t="shared" ref="D352:L352" si="27">SUM(D350:D351)</f>
        <v>0</v>
      </c>
      <c r="E352" s="1692">
        <f t="shared" si="27"/>
        <v>1763</v>
      </c>
      <c r="F352" s="1692">
        <f t="shared" si="27"/>
        <v>0</v>
      </c>
      <c r="G352" s="1692">
        <f t="shared" si="27"/>
        <v>27692</v>
      </c>
      <c r="H352" s="1692">
        <f t="shared" si="27"/>
        <v>0</v>
      </c>
      <c r="I352" s="1692">
        <f t="shared" si="27"/>
        <v>0</v>
      </c>
      <c r="J352" s="1692">
        <f t="shared" si="27"/>
        <v>0</v>
      </c>
      <c r="K352" s="1692">
        <f t="shared" si="27"/>
        <v>29455</v>
      </c>
      <c r="L352" s="1692">
        <f t="shared" si="27"/>
        <v>15000</v>
      </c>
    </row>
    <row r="353" spans="1:14" s="343" customFormat="1" ht="15.75" customHeight="1" thickTop="1" x14ac:dyDescent="0.2">
      <c r="A353" s="1634" t="s">
        <v>645</v>
      </c>
      <c r="B353" s="1631" t="s">
        <v>914</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v>0</v>
      </c>
    </row>
    <row r="355" spans="1:14" ht="12.75" customHeight="1" x14ac:dyDescent="0.2">
      <c r="A355" s="1535" t="s">
        <v>1965</v>
      </c>
      <c r="B355" s="691" t="s">
        <v>1958</v>
      </c>
      <c r="C355" s="617"/>
      <c r="D355" s="617"/>
      <c r="E355" s="617"/>
      <c r="F355" s="617"/>
      <c r="G355" s="617"/>
      <c r="H355" s="467"/>
      <c r="I355" s="702"/>
      <c r="J355" s="617"/>
      <c r="K355" s="1765">
        <f>H355</f>
        <v>0</v>
      </c>
      <c r="L355" s="467">
        <v>0</v>
      </c>
    </row>
    <row r="356" spans="1:14" ht="12.75" customHeight="1" x14ac:dyDescent="0.2">
      <c r="A356" s="1857" t="s">
        <v>721</v>
      </c>
      <c r="B356" s="684" t="s">
        <v>578</v>
      </c>
      <c r="C356" s="617"/>
      <c r="D356" s="617"/>
      <c r="E356" s="617"/>
      <c r="F356" s="617"/>
      <c r="G356" s="617"/>
      <c r="H356" s="479"/>
      <c r="I356" s="702"/>
      <c r="J356" s="617"/>
      <c r="K356" s="1762">
        <f>H356</f>
        <v>0</v>
      </c>
      <c r="L356" s="479">
        <v>0</v>
      </c>
    </row>
    <row r="357" spans="1:14" ht="12.75" customHeight="1" thickBot="1" x14ac:dyDescent="0.25">
      <c r="A357" s="1690" t="s">
        <v>1566</v>
      </c>
      <c r="B357" s="1691" t="s">
        <v>914</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1004</v>
      </c>
      <c r="B358" s="1631" t="s">
        <v>512</v>
      </c>
      <c r="C358" s="617"/>
      <c r="D358" s="617"/>
      <c r="E358" s="617"/>
      <c r="F358" s="617"/>
      <c r="G358" s="617"/>
      <c r="H358" s="617"/>
      <c r="I358" s="617"/>
      <c r="J358" s="617"/>
      <c r="K358" s="617"/>
      <c r="L358" s="617"/>
      <c r="M358" s="610"/>
      <c r="N358" s="610"/>
    </row>
    <row r="359" spans="1:14" s="343" customFormat="1" ht="15.75" customHeight="1" x14ac:dyDescent="0.2">
      <c r="A359" s="654" t="s">
        <v>647</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v>0</v>
      </c>
    </row>
    <row r="361" spans="1:14" ht="12.75" customHeight="1" x14ac:dyDescent="0.2">
      <c r="A361" s="1527" t="s">
        <v>639</v>
      </c>
      <c r="B361" s="603" t="s">
        <v>638</v>
      </c>
      <c r="C361" s="617"/>
      <c r="D361" s="617"/>
      <c r="E361" s="617"/>
      <c r="F361" s="617"/>
      <c r="G361" s="617"/>
      <c r="H361" s="467"/>
      <c r="I361" s="617"/>
      <c r="J361" s="617"/>
      <c r="K361" s="1693">
        <f>SUM(C361:J361)</f>
        <v>0</v>
      </c>
      <c r="L361" s="466">
        <v>0</v>
      </c>
    </row>
    <row r="362" spans="1:14" ht="12.75" customHeight="1" thickBot="1" x14ac:dyDescent="0.25">
      <c r="A362" s="1690" t="s">
        <v>646</v>
      </c>
      <c r="B362" s="1691" t="s">
        <v>741</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v>0</v>
      </c>
      <c r="M363" s="666"/>
      <c r="N363" s="666"/>
    </row>
    <row r="364" spans="1:14" s="709" customFormat="1" ht="29.25" customHeight="1" x14ac:dyDescent="0.2">
      <c r="A364" s="703" t="s">
        <v>1770</v>
      </c>
      <c r="B364" s="704">
        <v>5300</v>
      </c>
      <c r="C364" s="705"/>
      <c r="D364" s="706"/>
      <c r="E364" s="706"/>
      <c r="F364" s="705"/>
      <c r="G364" s="706"/>
      <c r="H364" s="707"/>
      <c r="I364" s="706"/>
      <c r="J364" s="706"/>
      <c r="K364" s="1693">
        <f>SUM(C364:J364)</f>
        <v>0</v>
      </c>
      <c r="L364" s="708">
        <v>0</v>
      </c>
    </row>
    <row r="365" spans="1:14" s="675" customFormat="1" ht="12.75" customHeight="1" thickBot="1" x14ac:dyDescent="0.25">
      <c r="A365" s="1543" t="s">
        <v>610</v>
      </c>
      <c r="B365" s="660" t="s">
        <v>512</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1005</v>
      </c>
      <c r="B366" s="1635" t="s">
        <v>915</v>
      </c>
      <c r="C366" s="624"/>
      <c r="D366" s="624"/>
      <c r="E366" s="624"/>
      <c r="F366" s="624"/>
      <c r="G366" s="624"/>
      <c r="H366" s="624"/>
      <c r="I366" s="624"/>
      <c r="J366" s="617"/>
      <c r="K366" s="624"/>
      <c r="L366" s="573">
        <v>0</v>
      </c>
      <c r="M366" s="610"/>
      <c r="N366" s="610"/>
    </row>
    <row r="367" spans="1:14" ht="12.75" customHeight="1" thickTop="1" thickBot="1" x14ac:dyDescent="0.25">
      <c r="A367" s="1714" t="s">
        <v>525</v>
      </c>
      <c r="B367" s="1726"/>
      <c r="C367" s="1692">
        <f t="shared" ref="C367:L367" si="28">SUM(C352,C357,C365,C366)</f>
        <v>0</v>
      </c>
      <c r="D367" s="1692">
        <f t="shared" si="28"/>
        <v>0</v>
      </c>
      <c r="E367" s="1692">
        <f t="shared" si="28"/>
        <v>1763</v>
      </c>
      <c r="F367" s="1692">
        <f t="shared" si="28"/>
        <v>0</v>
      </c>
      <c r="G367" s="1692">
        <f t="shared" si="28"/>
        <v>27692</v>
      </c>
      <c r="H367" s="1692">
        <f t="shared" si="28"/>
        <v>0</v>
      </c>
      <c r="I367" s="1692">
        <f t="shared" si="28"/>
        <v>0</v>
      </c>
      <c r="J367" s="1692">
        <f t="shared" si="28"/>
        <v>0</v>
      </c>
      <c r="K367" s="1692">
        <f t="shared" si="28"/>
        <v>29455</v>
      </c>
      <c r="L367" s="1692">
        <f t="shared" si="28"/>
        <v>15000</v>
      </c>
    </row>
    <row r="368" spans="1:14" ht="13.5" thickTop="1" x14ac:dyDescent="0.2">
      <c r="A368" s="2173" t="s">
        <v>1052</v>
      </c>
      <c r="B368" s="2174"/>
      <c r="C368" s="655"/>
      <c r="D368" s="655"/>
      <c r="E368" s="627"/>
      <c r="F368" s="627"/>
      <c r="G368" s="627"/>
      <c r="H368" s="627"/>
      <c r="I368" s="627"/>
      <c r="J368" s="624"/>
      <c r="K368" s="1693">
        <f>'Revenues 9-14'!K275-'Expenditures 15-22'!K367</f>
        <v>-8385</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&amp;F&amp;CSee Accompanying Notes to the Financial Statements</oddFooter>
  </headerFooter>
  <rowBreaks count="6" manualBreakCount="6">
    <brk id="53" max="16383" man="1"/>
    <brk id="153" max="16383" man="1"/>
    <brk id="204" max="16383" man="1"/>
    <brk id="252" max="16383" man="1"/>
    <brk id="297" max="16383" man="1"/>
    <brk id="3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add an author</cp:lastModifiedBy>
  <cp:lastPrinted>2018-09-10T19:20:56Z</cp:lastPrinted>
  <dcterms:created xsi:type="dcterms:W3CDTF">2003-10-29T19:06:34Z</dcterms:created>
  <dcterms:modified xsi:type="dcterms:W3CDTF">2018-10-02T15:26:07Z</dcterms:modified>
</cp:coreProperties>
</file>