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16500" windowHeight="110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3" i="11" l="1"/>
  <c r="E124" i="29" l="1"/>
  <c r="F5" i="29"/>
  <c r="D25" i="181"/>
  <c r="D24" i="181"/>
  <c r="D23" i="181"/>
  <c r="D22" i="181"/>
  <c r="D13" i="11" l="1"/>
  <c r="D325" i="29"/>
  <c r="C325" i="29"/>
  <c r="E328" i="29"/>
  <c r="D254" i="29"/>
  <c r="D268" i="29"/>
  <c r="D267" i="29"/>
  <c r="D266" i="29"/>
  <c r="D264" i="29"/>
  <c r="D259" i="29"/>
  <c r="D246" i="29"/>
  <c r="D241" i="29"/>
  <c r="D237" i="29"/>
  <c r="D233" i="29"/>
  <c r="D216" i="29"/>
  <c r="D215" i="29"/>
  <c r="E182" i="29"/>
  <c r="F182" i="29"/>
  <c r="D182" i="29"/>
  <c r="C182" i="29"/>
  <c r="H170" i="29"/>
  <c r="H169" i="29"/>
  <c r="F124" i="29"/>
  <c r="D124" i="29"/>
  <c r="C124" i="29"/>
  <c r="H14" i="29"/>
  <c r="D8" i="29"/>
  <c r="F45" i="29"/>
  <c r="F63" i="29"/>
  <c r="E60" i="29"/>
  <c r="D60" i="29"/>
  <c r="H55" i="29"/>
  <c r="F55" i="29"/>
  <c r="E55" i="29"/>
  <c r="D55" i="29"/>
  <c r="C55" i="29"/>
  <c r="D50" i="29"/>
  <c r="C50" i="29"/>
  <c r="E49" i="29"/>
  <c r="E45" i="29"/>
  <c r="D45" i="29"/>
  <c r="C45" i="29"/>
  <c r="D41" i="29"/>
  <c r="D40" i="29"/>
  <c r="D37" i="29"/>
  <c r="D15" i="29"/>
  <c r="F14" i="29"/>
  <c r="E14" i="29"/>
  <c r="D14" i="29"/>
  <c r="C14" i="29"/>
  <c r="E10" i="29"/>
  <c r="D10" i="29"/>
  <c r="C10" i="29"/>
  <c r="D9" i="29"/>
  <c r="C9" i="29"/>
  <c r="C8" i="29"/>
  <c r="F7" i="29"/>
  <c r="E7" i="29"/>
  <c r="D7" i="29"/>
  <c r="C7" i="29"/>
  <c r="D5" i="29"/>
  <c r="C5" i="29"/>
  <c r="C158" i="5"/>
  <c r="C65" i="5"/>
  <c r="L4" i="3" l="1"/>
  <c r="E4" i="3"/>
  <c r="D4" i="3"/>
  <c r="C39" i="3"/>
  <c r="C4" i="3"/>
  <c r="E16" i="7"/>
  <c r="E14" i="7"/>
  <c r="E13" i="7"/>
  <c r="E12" i="7"/>
  <c r="E11" i="7"/>
  <c r="E10" i="7"/>
  <c r="E7" i="7"/>
  <c r="E6" i="7"/>
  <c r="E5" i="7"/>
  <c r="E4" i="7"/>
  <c r="J32" i="8"/>
  <c r="L12"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B6997" i="106" s="1"/>
  <c r="D6997" i="106" s="1"/>
  <c r="K94" i="29"/>
  <c r="K95" i="29"/>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K252" i="29"/>
  <c r="K253" i="29"/>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c r="B6389" i="106"/>
  <c r="D6389" i="106" s="1"/>
  <c r="B6390" i="106"/>
  <c r="D6390" i="106" s="1"/>
  <c r="B6391" i="106"/>
  <c r="D6391" i="106" s="1"/>
  <c r="B6392" i="106"/>
  <c r="D6392" i="106" s="1"/>
  <c r="B6393" i="106"/>
  <c r="D6393" i="106" s="1"/>
  <c r="B6394" i="106"/>
  <c r="D6394" i="106" s="1"/>
  <c r="B6395" i="106"/>
  <c r="D6395" i="106" s="1"/>
  <c r="B6398" i="106"/>
  <c r="D6398" i="106"/>
  <c r="B6399" i="106"/>
  <c r="D6399" i="106" s="1"/>
  <c r="B6401" i="106"/>
  <c r="D6401" i="106" s="1"/>
  <c r="B6402" i="106"/>
  <c r="D6402" i="106" s="1"/>
  <c r="B6403" i="106"/>
  <c r="D6403" i="106" s="1"/>
  <c r="B6404" i="106"/>
  <c r="D6404" i="106" s="1"/>
  <c r="B6405" i="106"/>
  <c r="D6405" i="106" s="1"/>
  <c r="B6406" i="106"/>
  <c r="D6406" i="106" s="1"/>
  <c r="B6407" i="106"/>
  <c r="D6407" i="106"/>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c r="B6622" i="106"/>
  <c r="D6622" i="106" s="1"/>
  <c r="B6623" i="106"/>
  <c r="D6623" i="106" s="1"/>
  <c r="B6624" i="106"/>
  <c r="D6624" i="106" s="1"/>
  <c r="B6625" i="106"/>
  <c r="D6625" i="106" s="1"/>
  <c r="B6626" i="106"/>
  <c r="D6626" i="106" s="1"/>
  <c r="B6627" i="106"/>
  <c r="D6627" i="106" s="1"/>
  <c r="B6628" i="106"/>
  <c r="D6628" i="106" s="1"/>
  <c r="B6629" i="106"/>
  <c r="D6629" i="106"/>
  <c r="B6630" i="106"/>
  <c r="D6630" i="106" s="1"/>
  <c r="B6631" i="106"/>
  <c r="D6631" i="106" s="1"/>
  <c r="B6632" i="106"/>
  <c r="D6632" i="106" s="1"/>
  <c r="B6633" i="106"/>
  <c r="D6633" i="106" s="1"/>
  <c r="B6634" i="106"/>
  <c r="D6634" i="106" s="1"/>
  <c r="B6635" i="106"/>
  <c r="D6635" i="106" s="1"/>
  <c r="B6636" i="106"/>
  <c r="D6636" i="106" s="1"/>
  <c r="B6637" i="106"/>
  <c r="D6637" i="106"/>
  <c r="B6638" i="106"/>
  <c r="D6638" i="106" s="1"/>
  <c r="B6639" i="106"/>
  <c r="D6639" i="106" s="1"/>
  <c r="B6640" i="106"/>
  <c r="D6640" i="106" s="1"/>
  <c r="B6641" i="106"/>
  <c r="D6641" i="106" s="1"/>
  <c r="B6642" i="106"/>
  <c r="D6642" i="106" s="1"/>
  <c r="B6643" i="106"/>
  <c r="D6643" i="106" s="1"/>
  <c r="B6644" i="106"/>
  <c r="D6644" i="106" s="1"/>
  <c r="B6645" i="106"/>
  <c r="D6645" i="106"/>
  <c r="B6646" i="106"/>
  <c r="D6646" i="106" s="1"/>
  <c r="B6647" i="106"/>
  <c r="D6647" i="106" s="1"/>
  <c r="B6648" i="106"/>
  <c r="D6648" i="106" s="1"/>
  <c r="B6649" i="106"/>
  <c r="D6649" i="106" s="1"/>
  <c r="B6650" i="106"/>
  <c r="D6650" i="106" s="1"/>
  <c r="B6651" i="106"/>
  <c r="D6651" i="106" s="1"/>
  <c r="B6652" i="106"/>
  <c r="D6652" i="106" s="1"/>
  <c r="B6653" i="106"/>
  <c r="D6653" i="106"/>
  <c r="B6654" i="106"/>
  <c r="D6654" i="106" s="1"/>
  <c r="B6655" i="106"/>
  <c r="D6655" i="106" s="1"/>
  <c r="B6656" i="106"/>
  <c r="D6656" i="106" s="1"/>
  <c r="B6657" i="106"/>
  <c r="D6657" i="106" s="1"/>
  <c r="B6658" i="106"/>
  <c r="D6658" i="106" s="1"/>
  <c r="B6659" i="106"/>
  <c r="D6659" i="106" s="1"/>
  <c r="B6660" i="106"/>
  <c r="D6660" i="106" s="1"/>
  <c r="B6661" i="106"/>
  <c r="D6661" i="106"/>
  <c r="B6662" i="106"/>
  <c r="D6662" i="106" s="1"/>
  <c r="B6663" i="106"/>
  <c r="D6663" i="106" s="1"/>
  <c r="B6664" i="106"/>
  <c r="D6664" i="106" s="1"/>
  <c r="B6665" i="106"/>
  <c r="D6665" i="106" s="1"/>
  <c r="B6666" i="106"/>
  <c r="D6666" i="106" s="1"/>
  <c r="B6667" i="106"/>
  <c r="D6667" i="106" s="1"/>
  <c r="B6668" i="106"/>
  <c r="D6668" i="106" s="1"/>
  <c r="B6669" i="106"/>
  <c r="D6669" i="106"/>
  <c r="B6670" i="106"/>
  <c r="D6670" i="106" s="1"/>
  <c r="B6671" i="106"/>
  <c r="D6671" i="106" s="1"/>
  <c r="B6672" i="106"/>
  <c r="D6672" i="106" s="1"/>
  <c r="B6673" i="106"/>
  <c r="D6673" i="106" s="1"/>
  <c r="B6674" i="106"/>
  <c r="D6674" i="106" s="1"/>
  <c r="B6675" i="106"/>
  <c r="D6675" i="106" s="1"/>
  <c r="B6676" i="106"/>
  <c r="D6676" i="106" s="1"/>
  <c r="B6677" i="106"/>
  <c r="D6677" i="106"/>
  <c r="B6678" i="106"/>
  <c r="D6678" i="106" s="1"/>
  <c r="B6679" i="106"/>
  <c r="D6679" i="106" s="1"/>
  <c r="B6680" i="106"/>
  <c r="D6680" i="106" s="1"/>
  <c r="B6681" i="106"/>
  <c r="D6681" i="106" s="1"/>
  <c r="B6682" i="106"/>
  <c r="D6682" i="106" s="1"/>
  <c r="B6683" i="106"/>
  <c r="D6683" i="106" s="1"/>
  <c r="B6684" i="106"/>
  <c r="D6684" i="106" s="1"/>
  <c r="B6685" i="106"/>
  <c r="D6685" i="106"/>
  <c r="B6686" i="106"/>
  <c r="D6686" i="106" s="1"/>
  <c r="B6687" i="106"/>
  <c r="D6687" i="106" s="1"/>
  <c r="B6688" i="106"/>
  <c r="D6688" i="106" s="1"/>
  <c r="B6689" i="106"/>
  <c r="D6689" i="106" s="1"/>
  <c r="B6690" i="106"/>
  <c r="D6690" i="106" s="1"/>
  <c r="B6691" i="106"/>
  <c r="D6691" i="106" s="1"/>
  <c r="B6692" i="106"/>
  <c r="D6692" i="106" s="1"/>
  <c r="B6693" i="106"/>
  <c r="D6693" i="106"/>
  <c r="B6694" i="106"/>
  <c r="D6694" i="106" s="1"/>
  <c r="B6695" i="106"/>
  <c r="D6695" i="106" s="1"/>
  <c r="B6696" i="106"/>
  <c r="D6696" i="106" s="1"/>
  <c r="B6697" i="106"/>
  <c r="D6697" i="106" s="1"/>
  <c r="B6698" i="106"/>
  <c r="D6698" i="106" s="1"/>
  <c r="B6699" i="106"/>
  <c r="D6699" i="106" s="1"/>
  <c r="B6700" i="106"/>
  <c r="D6700" i="106" s="1"/>
  <c r="B6701" i="106"/>
  <c r="D6701" i="106"/>
  <c r="B6702" i="106"/>
  <c r="D6702" i="106" s="1"/>
  <c r="B6703" i="106"/>
  <c r="D6703" i="106" s="1"/>
  <c r="B6704" i="106"/>
  <c r="D6704" i="106" s="1"/>
  <c r="B6705" i="106"/>
  <c r="D6705" i="106" s="1"/>
  <c r="B6706" i="106"/>
  <c r="D6706" i="106" s="1"/>
  <c r="B6707" i="106"/>
  <c r="D6707" i="106" s="1"/>
  <c r="B6708" i="106"/>
  <c r="D6708" i="106" s="1"/>
  <c r="B6709" i="106"/>
  <c r="D6709" i="106"/>
  <c r="B6710" i="106"/>
  <c r="D6710" i="106" s="1"/>
  <c r="B6711" i="106"/>
  <c r="D6711" i="106" s="1"/>
  <c r="B6712" i="106"/>
  <c r="D6712" i="106" s="1"/>
  <c r="B6713" i="106"/>
  <c r="D6713" i="106" s="1"/>
  <c r="B6714" i="106"/>
  <c r="D6714" i="106" s="1"/>
  <c r="B6715" i="106"/>
  <c r="D6715" i="106" s="1"/>
  <c r="B6716" i="106"/>
  <c r="D6716" i="106" s="1"/>
  <c r="B6717" i="106"/>
  <c r="D6717" i="106"/>
  <c r="B6718" i="106"/>
  <c r="D6718" i="106" s="1"/>
  <c r="B6719" i="106"/>
  <c r="D6719" i="106" s="1"/>
  <c r="B6720" i="106"/>
  <c r="D6720" i="106" s="1"/>
  <c r="B6721" i="106"/>
  <c r="D6721" i="106" s="1"/>
  <c r="B6722" i="106"/>
  <c r="D6722" i="106" s="1"/>
  <c r="B6723" i="106"/>
  <c r="D6723" i="106" s="1"/>
  <c r="B6724" i="106"/>
  <c r="D6724" i="106" s="1"/>
  <c r="B6725" i="106"/>
  <c r="D6725" i="106"/>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B64" i="127"/>
  <c r="B65" i="127"/>
  <c r="D26" i="108"/>
  <c r="E26" i="108"/>
  <c r="F26" i="108"/>
  <c r="G26" i="108"/>
  <c r="D27" i="108"/>
  <c r="E27" i="108"/>
  <c r="F27" i="108"/>
  <c r="G27" i="108"/>
  <c r="F28" i="108"/>
  <c r="F31" i="108"/>
  <c r="F36" i="108"/>
  <c r="G28" i="108"/>
  <c r="E29" i="108"/>
  <c r="E30" i="108"/>
  <c r="G30" i="108"/>
  <c r="D31" i="108"/>
  <c r="D36" i="108"/>
  <c r="E31" i="108"/>
  <c r="G31" i="108"/>
  <c r="E33" i="108"/>
  <c r="G33" i="108"/>
  <c r="E34"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J22" i="37"/>
  <c r="L22" i="37"/>
  <c r="D24" i="37"/>
  <c r="B4270" i="106" s="1"/>
  <c r="D4270" i="106" s="1"/>
  <c r="L5" i="11"/>
  <c r="B2056" i="106" s="1"/>
  <c r="D2056" i="106" s="1"/>
  <c r="D5" i="7"/>
  <c r="B1761" i="106" s="1"/>
  <c r="D1761" i="106" s="1"/>
  <c r="D13" i="7"/>
  <c r="B3726" i="106" s="1"/>
  <c r="D3726" i="106" s="1"/>
  <c r="D9" i="7"/>
  <c r="B1767" i="106" s="1"/>
  <c r="D1767" i="106" s="1"/>
  <c r="B5599" i="106"/>
  <c r="D5599" i="106" s="1"/>
  <c r="D17" i="7"/>
  <c r="B4104" i="106" s="1"/>
  <c r="D4104" i="106" s="1"/>
  <c r="B5752" i="106" l="1"/>
  <c r="D5752" i="106" s="1"/>
  <c r="G5" i="4"/>
  <c r="B3409" i="106" s="1"/>
  <c r="D3409" i="106" s="1"/>
  <c r="F50" i="34"/>
  <c r="G39" i="108"/>
  <c r="E35" i="108"/>
  <c r="L15" i="11"/>
  <c r="B3459" i="106" s="1"/>
  <c r="D3459" i="106" s="1"/>
  <c r="F136" i="34"/>
  <c r="K274" i="5"/>
  <c r="B6022" i="106" s="1"/>
  <c r="D6022" i="106" s="1"/>
  <c r="F68" i="34"/>
  <c r="F46" i="34"/>
  <c r="D69" i="36"/>
  <c r="H173" i="5"/>
  <c r="B5906" i="106" s="1"/>
  <c r="D5906" i="106" s="1"/>
  <c r="G173" i="5"/>
  <c r="B5778" i="106" s="1"/>
  <c r="D5778" i="106" s="1"/>
  <c r="F44" i="34"/>
  <c r="G29" i="108"/>
  <c r="K76" i="4"/>
  <c r="B3586" i="106" s="1"/>
  <c r="D3586" i="106" s="1"/>
  <c r="L13" i="11"/>
  <c r="B2060" i="106" s="1"/>
  <c r="D2060" i="106" s="1"/>
  <c r="B1223" i="106"/>
  <c r="D1223" i="106" s="1"/>
  <c r="D12" i="7"/>
  <c r="B1769" i="106" s="1"/>
  <c r="D1769" i="106" s="1"/>
  <c r="D7" i="7"/>
  <c r="B1763" i="106" s="1"/>
  <c r="D1763" i="106" s="1"/>
  <c r="D4" i="7"/>
  <c r="B1760" i="106" s="1"/>
  <c r="D1760" i="106" s="1"/>
  <c r="I129" i="29"/>
  <c r="B7037" i="106" s="1"/>
  <c r="D7037" i="106" s="1"/>
  <c r="D22" i="37"/>
  <c r="F172" i="5"/>
  <c r="B5644" i="106" s="1"/>
  <c r="D5644" i="106" s="1"/>
  <c r="F35" i="34"/>
  <c r="D37" i="108"/>
  <c r="F37" i="108"/>
  <c r="F41" i="108" s="1"/>
  <c r="G43" i="108" s="1"/>
  <c r="E28" i="108"/>
  <c r="B7235" i="106"/>
  <c r="D7235" i="106" s="1"/>
  <c r="C342" i="29"/>
  <c r="B7216" i="106" s="1"/>
  <c r="D7216" i="106" s="1"/>
  <c r="F77" i="4"/>
  <c r="B3255" i="106" s="1"/>
  <c r="D3255" i="106" s="1"/>
  <c r="E174" i="29"/>
  <c r="B1309" i="106" s="1"/>
  <c r="D1309" i="106" s="1"/>
  <c r="F106" i="34"/>
  <c r="H109" i="5"/>
  <c r="F49" i="34"/>
  <c r="F41" i="34"/>
  <c r="B7047" i="106"/>
  <c r="D7047" i="106" s="1"/>
  <c r="B1126" i="106"/>
  <c r="D1126" i="106" s="1"/>
  <c r="C172" i="5"/>
  <c r="B5214" i="106" s="1"/>
  <c r="D5214" i="106" s="1"/>
  <c r="F127" i="34"/>
  <c r="H33" i="118"/>
  <c r="F128" i="34"/>
  <c r="B4951" i="106"/>
  <c r="D4951" i="106" s="1"/>
  <c r="C109" i="5"/>
  <c r="B5121" i="106" s="1"/>
  <c r="D5121" i="106" s="1"/>
  <c r="L367" i="29"/>
  <c r="F19" i="7"/>
  <c r="B1807" i="106" s="1"/>
  <c r="D1807" i="106" s="1"/>
  <c r="F71" i="34"/>
  <c r="K350" i="29"/>
  <c r="K352" i="29" s="1"/>
  <c r="L342" i="29"/>
  <c r="B6025" i="106"/>
  <c r="D6025" i="106" s="1"/>
  <c r="H4" i="4"/>
  <c r="B2655" i="106" s="1"/>
  <c r="D2655" i="106" s="1"/>
  <c r="B5770" i="106"/>
  <c r="D5770" i="106" s="1"/>
  <c r="B3565" i="106"/>
  <c r="D3565" i="106" s="1"/>
  <c r="K41" i="3"/>
  <c r="B6191" i="106"/>
  <c r="D6191" i="106" s="1"/>
  <c r="J41" i="3"/>
  <c r="D15" i="7"/>
  <c r="B1772" i="106" s="1"/>
  <c r="D1772" i="106" s="1"/>
  <c r="B1746" i="106"/>
  <c r="D1746" i="106" s="1"/>
  <c r="D109" i="5"/>
  <c r="F130" i="34"/>
  <c r="K28" i="118"/>
  <c r="O27" i="118" s="1"/>
  <c r="O29" i="118" s="1"/>
  <c r="G109" i="5"/>
  <c r="H342" i="29"/>
  <c r="B7221" i="106" s="1"/>
  <c r="D7221" i="106" s="1"/>
  <c r="B7071" i="106"/>
  <c r="D7071" i="106" s="1"/>
  <c r="F66" i="34"/>
  <c r="I173" i="5"/>
  <c r="B4216" i="106" s="1"/>
  <c r="D4216" i="106" s="1"/>
  <c r="D11" i="7"/>
  <c r="B1768" i="106" s="1"/>
  <c r="D1768" i="106" s="1"/>
  <c r="F111" i="34"/>
  <c r="F131" i="34"/>
  <c r="B7041" i="106"/>
  <c r="D7041" i="106" s="1"/>
  <c r="E109" i="5"/>
  <c r="E4" i="4" s="1"/>
  <c r="B2630" i="106" s="1"/>
  <c r="D2630" i="106" s="1"/>
  <c r="L312" i="29"/>
  <c r="F45" i="34"/>
  <c r="F36" i="34"/>
  <c r="B3658" i="106"/>
  <c r="D3658" i="106" s="1"/>
  <c r="H365" i="29"/>
  <c r="B3649" i="106"/>
  <c r="D3649" i="106" s="1"/>
  <c r="G367" i="29"/>
  <c r="B3650" i="106" s="1"/>
  <c r="D3650" i="106" s="1"/>
  <c r="B3619" i="106"/>
  <c r="D3619" i="106" s="1"/>
  <c r="C352" i="29"/>
  <c r="F21" i="8"/>
  <c r="B3689" i="106"/>
  <c r="D3689" i="106" s="1"/>
  <c r="J77" i="4"/>
  <c r="B6262" i="106" s="1"/>
  <c r="D6262" i="106" s="1"/>
  <c r="B3670" i="106"/>
  <c r="D3670" i="106" s="1"/>
  <c r="B3170" i="106"/>
  <c r="D3170" i="106" s="1"/>
  <c r="H76" i="4"/>
  <c r="B3298" i="106" s="1"/>
  <c r="D3298" i="106" s="1"/>
  <c r="B1995" i="106"/>
  <c r="D1995" i="106" s="1"/>
  <c r="I24" i="12"/>
  <c r="B3647" i="106"/>
  <c r="D3647" i="106" s="1"/>
  <c r="G210" i="29"/>
  <c r="D6103" i="106"/>
  <c r="K285" i="29"/>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E273" i="5"/>
  <c r="B6835" i="106"/>
  <c r="D6835" i="106" s="1"/>
  <c r="G273" i="5"/>
  <c r="B4398" i="106"/>
  <c r="D4398" i="106" s="1"/>
  <c r="B5537" i="106"/>
  <c r="D5537" i="106" s="1"/>
  <c r="E173" i="5"/>
  <c r="I109" i="5"/>
  <c r="L279" i="29"/>
  <c r="L295" i="29" s="1"/>
  <c r="L74" i="29"/>
  <c r="L114" i="29" s="1"/>
  <c r="K33" i="29"/>
  <c r="B720" i="106"/>
  <c r="D720" i="106" s="1"/>
  <c r="L16" i="11"/>
  <c r="B2061" i="106" s="1"/>
  <c r="D2061"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3447" i="106"/>
  <c r="D3447" i="106" s="1"/>
  <c r="B7270" i="106"/>
  <c r="D7256" i="106" l="1"/>
  <c r="D7251" i="106"/>
  <c r="K7" i="4"/>
  <c r="B3718" i="106" s="1"/>
  <c r="D3718" i="106" s="1"/>
  <c r="H6" i="4"/>
  <c r="B2656" i="106" s="1"/>
  <c r="D2656" i="106" s="1"/>
  <c r="H275" i="5"/>
  <c r="K77" i="4"/>
  <c r="B3587" i="106" s="1"/>
  <c r="D3587" i="106" s="1"/>
  <c r="B1317" i="106"/>
  <c r="D1317" i="106" s="1"/>
  <c r="D7254" i="106"/>
  <c r="D7250" i="106"/>
  <c r="K13" i="4"/>
  <c r="B3572" i="106" s="1"/>
  <c r="D3572" i="106" s="1"/>
  <c r="B3672" i="106"/>
  <c r="D3672" i="106" s="1"/>
  <c r="K367" i="29"/>
  <c r="C114" i="29"/>
  <c r="B757" i="106" s="1"/>
  <c r="D757" i="106" s="1"/>
  <c r="F173" i="5"/>
  <c r="B5527" i="106"/>
  <c r="D5527" i="106" s="1"/>
  <c r="F274" i="5"/>
  <c r="C173" i="5"/>
  <c r="D19" i="7"/>
  <c r="B1775" i="106" s="1"/>
  <c r="D1775" i="106" s="1"/>
  <c r="C4" i="4"/>
  <c r="B2551" i="106" s="1"/>
  <c r="D2551" i="106" s="1"/>
  <c r="D44" i="36"/>
  <c r="K342" i="29"/>
  <c r="F13" i="34" s="1"/>
  <c r="B3621" i="106"/>
  <c r="D3621" i="106" s="1"/>
  <c r="C367" i="29"/>
  <c r="B3622" i="106" s="1"/>
  <c r="D3622" i="106" s="1"/>
  <c r="H367" i="29"/>
  <c r="B3660" i="106" s="1"/>
  <c r="D3660" i="106" s="1"/>
  <c r="B7242" i="106"/>
  <c r="D7242" i="106" s="1"/>
  <c r="B1365" i="106"/>
  <c r="D1365" i="106" s="1"/>
  <c r="F65" i="34"/>
  <c r="B5356" i="106"/>
  <c r="D5356" i="106" s="1"/>
  <c r="D4" i="4"/>
  <c r="B2564" i="106" s="1"/>
  <c r="D2564" i="106" s="1"/>
  <c r="B6024" i="106"/>
  <c r="D6024" i="106" s="1"/>
  <c r="G4" i="4"/>
  <c r="B2603" i="106" s="1"/>
  <c r="D2603" i="106" s="1"/>
  <c r="B3568" i="106"/>
  <c r="D3568" i="106" s="1"/>
  <c r="D52" i="36"/>
  <c r="F73" i="34"/>
  <c r="G15" i="4"/>
  <c r="B6032" i="106" s="1"/>
  <c r="D6032" i="106" s="1"/>
  <c r="B1996" i="106"/>
  <c r="D1996" i="106" s="1"/>
  <c r="I26" i="12"/>
  <c r="B7741" i="106" s="1"/>
  <c r="D7741" i="106" s="1"/>
  <c r="B1879" i="106"/>
  <c r="D1879" i="106" s="1"/>
  <c r="H22" i="37"/>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F275" i="5" l="1"/>
  <c r="B5720" i="106" s="1"/>
  <c r="D5720" i="106" s="1"/>
  <c r="H8" i="4"/>
  <c r="G41" i="108"/>
  <c r="G44" i="108" s="1"/>
  <c r="G45" i="108" s="1"/>
  <c r="B5653" i="106"/>
  <c r="D5653" i="106" s="1"/>
  <c r="F6" i="4"/>
  <c r="B2593" i="106" s="1"/>
  <c r="D2593" i="106" s="1"/>
  <c r="B5223" i="106"/>
  <c r="D5223" i="106" s="1"/>
  <c r="C6" i="4"/>
  <c r="B2553" i="106" s="1"/>
  <c r="D2553" i="106" s="1"/>
  <c r="J8" i="4"/>
  <c r="J10" i="4" s="1"/>
  <c r="B6225" i="106" s="1"/>
  <c r="D6225" i="106" s="1"/>
  <c r="F8" i="4"/>
  <c r="F10" i="4" s="1"/>
  <c r="B4125" i="106" s="1"/>
  <c r="D412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5508" i="106"/>
  <c r="D5508" i="106" s="1"/>
  <c r="D8" i="4"/>
  <c r="B2567" i="106"/>
  <c r="D2567" i="106" s="1"/>
  <c r="B2658" i="106" l="1"/>
  <c r="D2658" i="106" s="1"/>
  <c r="H10" i="4"/>
  <c r="B4127" i="106" s="1"/>
  <c r="D4127" i="106" s="1"/>
  <c r="F76" i="34"/>
  <c r="D8" i="146"/>
  <c r="B2595" i="106"/>
  <c r="D259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<sst xmlns="http://schemas.openxmlformats.org/spreadsheetml/2006/main" count="5067" uniqueCount="2121">
  <si>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</si>
  <si>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</si>
  <si>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</si>
  <si>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</si>
  <si>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</si>
  <si>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</si>
  <si>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</si>
  <si>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</si>
  <si>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</si>
  <si>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</si>
  <si>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</si>
  <si>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</si>
  <si>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</si>
  <si>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</si>
  <si>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</si>
  <si>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</si>
  <si>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</si>
  <si>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</si>
  <si>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</si>
  <si>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</si>
  <si>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</si>
  <si>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</si>
  <si>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</si>
  <si>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</si>
  <si>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</si>
  <si>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</si>
  <si>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</si>
  <si>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</si>
  <si>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</si>
  <si>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</si>
  <si>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</si>
  <si>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</si>
  <si>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</si>
  <si>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</si>
  <si>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</si>
  <si>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</si>
  <si>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</si>
  <si>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</si>
  <si>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</si>
  <si>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</si>
  <si>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</si>
  <si>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</si>
  <si>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</si>
  <si>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</si>
  <si>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</si>
  <si>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</si>
  <si>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</si>
  <si>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</si>
  <si>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</si>
  <si>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</si>
  <si>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</si>
  <si>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</si>
  <si>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</si>
  <si>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</si>
  <si>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</si>
  <si>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</si>
  <si>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</si>
  <si>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</si>
  <si>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</si>
  <si>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</si>
  <si>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</si>
  <si>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</si>
  <si>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</si>
  <si>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</si>
  <si>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</si>
  <si>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</si>
  <si>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</si>
  <si>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</si>
  <si>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</si>
  <si>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</si>
  <si>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</si>
  <si>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</si>
  <si>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</si>
  <si>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</si>
  <si>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</si>
  <si>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</si>
  <si>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</si>
  <si>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</si>
  <si>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</si>
  <si>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</si>
  <si>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</si>
  <si>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</si>
  <si>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</si>
  <si>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</si>
  <si>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</si>
  <si>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</si>
  <si>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</si>
  <si>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</si>
  <si>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</si>
  <si>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</si>
  <si>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</si>
  <si>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</si>
  <si>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</si>
  <si>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</si>
  <si>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</si>
  <si>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</si>
  <si>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</si>
  <si>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</si>
  <si>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</si>
  <si>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</si>
  <si>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</si>
  <si>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</si>
  <si>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</si>
  <si>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</si>
  <si>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</si>
  <si>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</si>
  <si>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</si>
  <si>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</si>
  <si>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</si>
  <si>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</si>
  <si>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</si>
  <si>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</si>
  <si>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</si>
  <si>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</si>
  <si>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</si>
  <si>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</si>
  <si>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</si>
  <si>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</si>
  <si>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</si>
  <si>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</si>
  <si>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</si>
  <si>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</si>
  <si>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</si>
  <si>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</si>
  <si>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</si>
  <si>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</si>
  <si>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</si>
  <si>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</si>
  <si>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</si>
  <si>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</si>
  <si>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</si>
  <si>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</si>
  <si>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</si>
  <si>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</si>
  <si>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</si>
  <si>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</si>
  <si>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</si>
  <si>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</si>
  <si>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</si>
  <si>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</si>
  <si>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</si>
  <si>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</si>
  <si>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</si>
  <si>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</si>
  <si>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</si>
  <si>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</si>
  <si>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</si>
  <si>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</si>
  <si>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</si>
  <si>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</si>
  <si>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</si>
  <si>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</si>
  <si>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</si>
  <si>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</si>
  <si>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</si>
  <si>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</si>
  <si>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</si>
  <si>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</si>
  <si>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</si>
  <si>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</si>
  <si>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</si>
  <si>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</si>
  <si>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</si>
  <si>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</si>
  <si>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</si>
  <si>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</si>
  <si>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</si>
  <si>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</si>
  <si>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</si>
  <si>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</si>
  <si>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</si>
  <si>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</si>
  <si>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</si>
  <si>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</si>
  <si>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</si>
  <si>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</si>
  <si>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</si>
  <si>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</si>
  <si>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</si>
  <si>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</si>
  <si>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</si>
  <si>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</si>
  <si>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</si>
  <si>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</si>
  <si>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</si>
  <si>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</si>
  <si>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</si>
  <si>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</si>
  <si>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</si>
  <si>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</si>
  <si>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</si>
  <si>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</si>
  <si>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</si>
  <si>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</si>
  <si>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</si>
  <si>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</si>
  <si>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</si>
  <si>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</si>
  <si>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</si>
  <si>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</si>
  <si>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</si>
  <si>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</si>
  <si>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</si>
  <si>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</si>
  <si>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</si>
  <si>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</si>
  <si>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</si>
  <si>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</si>
  <si>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</si>
  <si>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</si>
  <si>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</si>
  <si>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</si>
  <si>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</si>
  <si>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</si>
  <si>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</si>
  <si>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</si>
  <si>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</si>
  <si>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</si>
  <si>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</si>
  <si>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</si>
  <si>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</si>
  <si>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</si>
  <si>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</si>
  <si>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</si>
  <si>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</si>
  <si>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</si>
  <si>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</si>
  <si>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</si>
  <si>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</si>
  <si>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</si>
  <si>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</si>
  <si>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</si>
  <si>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</si>
  <si>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</si>
  <si>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</si>
  <si>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</si>
  <si>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</si>
  <si>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</si>
  <si>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</si>
  <si>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</si>
  <si>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</si>
  <si>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</si>
  <si>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</si>
  <si>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</si>
  <si>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</si>
  <si>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</si>
  <si>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</si>
  <si>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</si>
  <si>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</si>
  <si>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</si>
  <si>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</si>
  <si>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</si>
  <si>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</si>
  <si>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</si>
  <si>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</si>
  <si>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</si>
  <si>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</si>
  <si>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</si>
  <si>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</si>
  <si>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</si>
  <si>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</si>
  <si>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</si>
  <si>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</si>
  <si>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</si>
  <si>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</si>
  <si>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</si>
  <si>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</si>
  <si>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</si>
  <si>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</si>
  <si>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</si>
  <si>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</si>
  <si>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</si>
  <si>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</si>
  <si>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</si>
  <si>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</si>
  <si>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</si>
  <si>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</si>
  <si>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</si>
  <si>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</si>
  <si>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</si>
  <si>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</si>
  <si>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</si>
  <si>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</si>
  <si>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</si>
  <si>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</si>
  <si>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</si>
  <si>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</si>
  <si>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</si>
  <si>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</si>
  <si>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</si>
  <si>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</si>
  <si>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</si>
  <si>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</si>
  <si>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</si>
  <si>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</si>
  <si>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</si>
  <si>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</si>
  <si>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</si>
  <si>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</si>
  <si>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</si>
  <si>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</si>
  <si>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</si>
  <si>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</si>
  <si>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</si>
  <si>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</si>
  <si>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</si>
  <si>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</si>
  <si>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</si>
  <si>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</si>
  <si>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</si>
  <si>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</si>
  <si>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</si>
  <si>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</si>
  <si>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</si>
  <si>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</si>
  <si>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</si>
  <si>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</si>
  <si>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</si>
  <si>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</si>
  <si>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</si>
  <si>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</si>
  <si>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</si>
  <si>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</si>
  <si>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</si>
  <si>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</si>
  <si>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</si>
  <si>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</si>
  <si>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</si>
  <si>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</si>
  <si>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</si>
  <si>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</si>
  <si>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</si>
  <si>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</si>
  <si>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</si>
  <si>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</si>
  <si>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</si>
  <si>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</si>
  <si>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</si>
  <si>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</si>
  <si>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</si>
  <si>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</si>
  <si>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</si>
  <si>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</si>
  <si>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</si>
  <si>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</si>
  <si>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</si>
  <si>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</si>
  <si>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</si>
  <si>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</si>
  <si>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</si>
  <si>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</si>
  <si>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</si>
  <si>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</si>
  <si>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</si>
  <si>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</si>
  <si>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</si>
  <si>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</si>
  <si>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</si>
  <si>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</si>
  <si>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</si>
  <si>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</si>
  <si>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</si>
  <si>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</si>
  <si>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</si>
  <si>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</si>
  <si>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</si>
  <si>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</si>
  <si>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</si>
  <si>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</si>
  <si>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</si>
  <si>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</si>
  <si>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</si>
  <si>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</si>
  <si>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</si>
  <si>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</si>
  <si>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</si>
  <si>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</si>
  <si>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</si>
  <si>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</si>
  <si>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</si>
  <si>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</si>
  <si>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</si>
  <si>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</si>
  <si>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</si>
  <si>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</si>
  <si>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</si>
  <si>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</si>
  <si>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</si>
  <si>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</si>
  <si>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</si>
  <si>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</si>
  <si>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</si>
  <si>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</si>
  <si>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</si>
  <si>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</si>
  <si>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</si>
  <si>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</si>
  <si>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</si>
  <si>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</si>
  <si>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</si>
  <si>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</si>
  <si>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</si>
  <si>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</si>
  <si>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</si>
  <si>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</si>
  <si>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</si>
  <si>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</si>
  <si>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</si>
  <si>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</si>
  <si>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</si>
  <si>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</si>
  <si>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</si>
  <si>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</si>
  <si>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</si>
  <si>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</si>
  <si>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</si>
  <si>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</si>
  <si>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</si>
  <si>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</si>
  <si>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</si>
  <si>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</si>
  <si>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</si>
  <si>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</si>
  <si>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</si>
  <si>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</si>
  <si>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</si>
  <si>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</si>
  <si>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</si>
  <si>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</si>
  <si>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</si>
  <si>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</si>
  <si>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</si>
  <si>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</si>
  <si>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</si>
  <si>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</si>
  <si>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</si>
  <si>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</si>
  <si>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</si>
  <si>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</si>
  <si>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</si>
  <si>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</si>
  <si>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</si>
  <si>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</si>
  <si>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</si>
  <si>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</si>
  <si>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</si>
  <si>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</si>
  <si>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</si>
  <si>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</si>
  <si>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</si>
  <si>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</si>
  <si>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</si>
  <si>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</si>
  <si>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</si>
  <si>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</si>
  <si>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</si>
  <si>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</si>
  <si>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</si>
  <si>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</si>
  <si>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</si>
  <si>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</si>
  <si>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</si>
  <si>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</si>
  <si>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</si>
  <si>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</si>
  <si>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</si>
  <si>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</si>
  <si>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</si>
  <si>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</si>
  <si>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</si>
  <si>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</si>
  <si>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</si>
  <si>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</si>
  <si>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</si>
  <si>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</si>
  <si>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</si>
  <si>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</si>
  <si>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</si>
  <si>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</si>
  <si>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</si>
  <si>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</si>
  <si>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</si>
  <si>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</si>
  <si>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</si>
  <si>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</si>
  <si>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</si>
  <si>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</si>
  <si>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</si>
  <si>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</si>
  <si>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</si>
  <si>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</si>
  <si>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</si>
  <si>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</si>
  <si>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</si>
  <si>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</si>
  <si>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</si>
  <si>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</si>
  <si>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</si>
  <si>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</si>
  <si>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</si>
  <si>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</si>
  <si>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</si>
  <si>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</si>
  <si>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</si>
  <si>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</si>
  <si>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</si>
  <si>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</si>
  <si>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</si>
  <si>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</si>
  <si>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</si>
  <si>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</si>
  <si>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</si>
  <si>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</si>
  <si>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</si>
  <si>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</si>
  <si>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</si>
  <si>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</si>
  <si>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</si>
  <si>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</si>
  <si>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</si>
  <si>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</si>
  <si>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</si>
  <si>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</si>
  <si>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</si>
  <si>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</si>
  <si>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</si>
  <si>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</si>
  <si>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</si>
  <si>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</si>
  <si>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</si>
  <si>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</si>
  <si>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</si>
  <si>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</si>
  <si>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</si>
  <si>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</si>
  <si>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</si>
  <si>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</si>
  <si>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</si>
  <si>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</si>
  <si>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</si>
  <si>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</si>
  <si>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</si>
  <si>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</si>
  <si>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</si>
  <si>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</si>
  <si>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</si>
  <si>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</si>
  <si>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</si>
  <si>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</si>
  <si>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</si>
  <si>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</si>
  <si>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</si>
  <si>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</si>
  <si>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</si>
  <si>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</si>
  <si>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</si>
  <si>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</si>
  <si>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</si>
  <si>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</si>
  <si>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</si>
  <si>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</si>
  <si>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</si>
  <si>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</si>
  <si>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</si>
  <si>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</si>
  <si>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</si>
  <si>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</si>
  <si>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</si>
  <si>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</si>
  <si>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</si>
  <si>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</si>
  <si>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</si>
  <si>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</si>
  <si>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</si>
  <si>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</si>
  <si>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</si>
  <si>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</si>
  <si>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</si>
  <si>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</si>
  <si>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</si>
  <si>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</si>
  <si>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</si>
  <si>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</si>
  <si>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</si>
  <si>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</si>
  <si>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</si>
  <si>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</si>
  <si>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</si>
  <si>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</si>
  <si>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</si>
  <si>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</si>
  <si>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</si>
  <si>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</si>
  <si>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</si>
  <si>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</si>
  <si>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</si>
  <si>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</si>
  <si>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</si>
  <si>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</si>
  <si>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</si>
  <si>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</si>
  <si>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</si>
  <si>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</si>
  <si>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</si>
  <si>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</si>
  <si>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</si>
  <si>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</si>
  <si>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</si>
  <si>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</si>
  <si>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</si>
  <si>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</si>
  <si>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</si>
  <si>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</si>
  <si>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</si>
  <si>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</si>
  <si>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</si>
  <si>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</si>
  <si>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</si>
  <si>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</si>
  <si>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</si>
  <si>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</si>
  <si>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</si>
  <si>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</si>
  <si>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</si>
  <si>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</si>
  <si>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</si>
  <si>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</si>
  <si>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</si>
  <si>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</si>
  <si>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</si>
  <si>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</si>
  <si>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</si>
  <si>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</si>
  <si>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</si>
  <si>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</si>
  <si>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</si>
  <si>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</si>
  <si>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</si>
  <si>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</si>
  <si>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</si>
  <si>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</si>
  <si>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</si>
  <si>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</si>
  <si>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</si>
  <si>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</si>
  <si>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</si>
  <si>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</si>
  <si>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</si>
  <si>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</si>
  <si>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</si>
  <si>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</si>
  <si>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</si>
  <si>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</si>
  <si>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</si>
  <si>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</si>
  <si>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</si>
  <si>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</si>
  <si>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</si>
  <si>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</si>
  <si>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</si>
  <si>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</si>
  <si>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</si>
  <si>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</si>
  <si>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</si>
  <si>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</si>
  <si>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</si>
  <si>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</si>
  <si>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</si>
  <si>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</si>
  <si>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</si>
  <si>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</si>
  <si>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</si>
  <si>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</si>
  <si>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</si>
  <si>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</si>
  <si>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</si>
  <si>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</si>
  <si>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</si>
  <si>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</si>
  <si>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</si>
  <si>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</si>
  <si>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</si>
  <si>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</si>
  <si>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</si>
  <si>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</si>
  <si>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</si>
  <si>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</si>
  <si>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</si>
  <si>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</si>
  <si>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</si>
  <si>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</si>
  <si>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</si>
  <si>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</si>
  <si>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</si>
  <si>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</si>
  <si>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</si>
  <si>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</si>
  <si>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</si>
  <si>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</si>
  <si>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</si>
  <si>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</si>
  <si>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</si>
  <si>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</si>
  <si>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</si>
  <si>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</si>
  <si>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</si>
  <si>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</si>
  <si>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</si>
  <si>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</si>
  <si>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</si>
  <si>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</si>
  <si>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</si>
  <si>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</si>
  <si>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</si>
  <si>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</si>
  <si>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</si>
  <si>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</si>
  <si>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</si>
  <si>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</si>
  <si>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</si>
  <si>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</si>
  <si>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</si>
  <si>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</si>
  <si>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</si>
  <si>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</si>
  <si>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</si>
  <si>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</si>
  <si>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</si>
  <si>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</si>
  <si>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</si>
  <si>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</si>
  <si>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</si>
  <si>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</si>
  <si>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</si>
  <si>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</si>
  <si>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</si>
  <si>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</si>
  <si>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</si>
  <si>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</si>
  <si>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</si>
  <si>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</si>
  <si>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</si>
  <si>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</si>
  <si>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</si>
  <si>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</si>
  <si>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</si>
  <si>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</si>
  <si>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</si>
  <si>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</si>
  <si>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</si>
  <si>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</si>
  <si>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</si>
  <si>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</si>
  <si>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</si>
  <si>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</si>
  <si>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</si>
  <si>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</si>
  <si>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</si>
  <si>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</si>
  <si>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</si>
  <si>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</si>
  <si>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</si>
  <si>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</si>
  <si>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</si>
  <si>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</si>
  <si>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</si>
  <si>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</si>
  <si>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</si>
  <si>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</si>
  <si>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</si>
  <si>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</si>
  <si>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</si>
  <si>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</si>
  <si>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</si>
  <si>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</si>
  <si>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</si>
  <si>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</si>
  <si>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</si>
  <si>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</si>
  <si>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</si>
  <si>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</si>
  <si>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</si>
  <si>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</si>
  <si>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</si>
  <si>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</si>
  <si>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</si>
  <si>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</si>
  <si>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</si>
  <si>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</si>
  <si>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</si>
  <si>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</si>
  <si>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</si>
  <si>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</si>
  <si>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</si>
  <si>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</si>
  <si>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</si>
  <si>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</si>
  <si>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</si>
  <si>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</si>
  <si>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</si>
  <si>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</si>
  <si>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</si>
  <si>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</si>
  <si>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</si>
  <si>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</si>
  <si>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</si>
  <si>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</si>
  <si>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</si>
  <si>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</si>
  <si>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</si>
  <si>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</si>
  <si>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</si>
  <si>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</si>
  <si>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</si>
  <si>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</si>
  <si>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</si>
  <si>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</si>
  <si>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</si>
  <si>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</si>
  <si>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</si>
  <si>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</si>
  <si>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</si>
  <si>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</si>
  <si>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</si>
  <si>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</si>
  <si>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</si>
  <si>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</si>
  <si>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</si>
  <si>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</si>
  <si>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</si>
  <si>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</si>
  <si>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</si>
  <si>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</si>
  <si>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</si>
  <si>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</si>
  <si>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</si>
  <si>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</si>
  <si>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</si>
  <si>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</si>
  <si>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</si>
  <si>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</si>
  <si>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</si>
  <si>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</si>
  <si>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</si>
  <si>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</si>
  <si>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</si>
  <si>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</si>
  <si>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</si>
  <si>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</si>
  <si>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</si>
  <si>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</si>
  <si>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</si>
  <si>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</si>
  <si>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</si>
  <si>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</si>
  <si>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</si>
  <si>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</si>
  <si>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</si>
  <si>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</si>
  <si>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</si>
  <si>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</si>
  <si>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</si>
  <si>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</si>
  <si>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</si>
  <si>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</si>
  <si>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</si>
  <si>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</si>
  <si>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</si>
  <si>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</si>
  <si>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</si>
  <si>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</si>
  <si>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</si>
  <si>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</si>
  <si>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</si>
  <si>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</si>
  <si>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</si>
  <si>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</si>
  <si>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</si>
  <si>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</si>
  <si>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</si>
  <si>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</si>
  <si>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</si>
  <si>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</si>
  <si>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</si>
  <si>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</si>
  <si>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</si>
  <si>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</si>
  <si>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</si>
  <si>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</si>
  <si>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</si>
  <si>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</si>
  <si>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</si>
  <si>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</si>
  <si>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</si>
  <si>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</si>
  <si>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</si>
  <si>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</si>
  <si>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</si>
  <si>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</si>
  <si>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</si>
  <si>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</si>
  <si>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</si>
  <si>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</si>
  <si>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</si>
  <si>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</si>
  <si>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</si>
  <si>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</si>
  <si>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</si>
  <si>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</si>
  <si>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</si>
  <si>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</si>
  <si>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</si>
  <si>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</si>
  <si>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</si>
  <si>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</si>
  <si>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</si>
  <si>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</si>
  <si>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</si>
  <si>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</si>
  <si>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</si>
  <si>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</si>
  <si>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</si>
  <si>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</si>
  <si>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</si>
  <si>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</si>
  <si>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</si>
  <si>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</si>
  <si>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</si>
  <si>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</si>
  <si>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</si>
  <si>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</si>
  <si>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</si>
  <si>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</si>
  <si>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</si>
  <si>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</si>
  <si>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</si>
  <si>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</si>
  <si>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</si>
  <si>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</si>
  <si>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</si>
  <si>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</si>
  <si>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</si>
  <si>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</si>
  <si>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</si>
  <si>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</si>
  <si>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</si>
  <si>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</si>
  <si>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</si>
  <si>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</si>
  <si>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</si>
  <si>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</si>
  <si>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</si>
  <si>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</si>
  <si>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</si>
  <si>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</si>
  <si>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</si>
  <si>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</si>
  <si>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</si>
  <si>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</si>
  <si>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</si>
  <si>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</si>
  <si>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</si>
  <si>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</si>
  <si>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</si>
  <si>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</si>
  <si>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</si>
  <si>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</si>
  <si>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</si>
  <si>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</si>
  <si>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</si>
  <si>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</si>
  <si>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</si>
  <si>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</si>
  <si>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</si>
  <si>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</si>
  <si>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</si>
  <si>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</si>
  <si>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</si>
  <si>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</si>
  <si>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</si>
  <si>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</si>
  <si>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</si>
  <si>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</si>
  <si>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</si>
  <si>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</si>
  <si>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</si>
  <si>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</si>
  <si>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</si>
  <si>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</si>
  <si>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</si>
  <si>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</si>
  <si>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</si>
  <si>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</si>
  <si>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</si>
  <si>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</si>
  <si>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</si>
  <si>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</si>
  <si>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</si>
  <si>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</si>
  <si>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</si>
  <si>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</si>
  <si>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</si>
  <si>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</si>
  <si>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</si>
  <si>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</si>
  <si>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</si>
  <si>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</si>
  <si>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</si>
  <si>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</si>
  <si>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</si>
  <si>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</si>
  <si>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</si>
  <si>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</si>
  <si>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</si>
  <si>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</si>
  <si>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</si>
  <si>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</si>
  <si>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</si>
  <si>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</si>
  <si>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</si>
  <si>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</si>
  <si>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</si>
  <si>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</si>
  <si>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</si>
  <si>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</si>
  <si>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</si>
  <si>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</si>
  <si>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</si>
  <si>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</si>
  <si>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</si>
  <si>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</si>
  <si>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</si>
  <si>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</si>
  <si>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</si>
  <si>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</si>
  <si>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</si>
  <si>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</si>
  <si>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</si>
  <si>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</si>
  <si>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</si>
  <si>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</si>
  <si>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</si>
  <si>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</si>
  <si>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</si>
  <si>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</si>
  <si>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</si>
  <si>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</si>
  <si>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</si>
  <si>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</si>
  <si>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</si>
  <si>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</si>
  <si>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</si>
  <si>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</si>
  <si>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</si>
  <si>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</si>
  <si>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</si>
  <si>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</si>
  <si>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</si>
  <si>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</si>
  <si>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</si>
  <si>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</si>
  <si>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</si>
  <si>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</si>
  <si>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</si>
  <si>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</si>
  <si>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</si>
  <si>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</si>
  <si>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</si>
  <si>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</si>
  <si>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</si>
  <si>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</si>
  <si>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</si>
  <si>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</si>
  <si>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</si>
  <si>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</si>
  <si>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</si>
  <si>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</si>
  <si>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</si>
  <si>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</si>
  <si>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</si>
  <si>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</si>
  <si>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</si>
  <si>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</si>
  <si>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</si>
  <si>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</si>
  <si>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</si>
  <si>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</si>
  <si>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</si>
  <si>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</si>
  <si>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</si>
  <si>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</si>
  <si>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</si>
  <si>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</si>
  <si>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</si>
  <si>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</si>
  <si>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</si>
  <si>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</si>
  <si>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</si>
  <si>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</si>
  <si>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</si>
  <si>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</si>
  <si>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</si>
  <si>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</si>
  <si>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</si>
  <si>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</si>
  <si>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</si>
  <si>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</si>
  <si>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</si>
  <si>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</si>
  <si>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</si>
  <si>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</si>
  <si>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</si>
  <si>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</si>
  <si>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</si>
  <si>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</si>
  <si>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</si>
  <si>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</si>
  <si>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</si>
  <si>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</si>
  <si>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</si>
  <si>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</si>
  <si>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</si>
  <si>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</si>
  <si>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</si>
  <si>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</si>
  <si>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</si>
  <si>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</si>
  <si>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</si>
  <si>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</si>
  <si>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</si>
  <si>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</si>
  <si>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</si>
  <si>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</si>
  <si>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</si>
  <si>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</si>
  <si>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</si>
  <si>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</si>
  <si>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</si>
  <si>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</si>
  <si>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</si>
  <si>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</si>
  <si>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</si>
  <si>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</si>
  <si>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</si>
  <si>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</si>
  <si>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</si>
  <si>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</si>
  <si>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</si>
  <si>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</si>
  <si>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</si>
  <si>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</si>
  <si>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</si>
  <si>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</si>
  <si>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</si>
  <si>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</si>
  <si>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</si>
  <si>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</si>
  <si>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</si>
  <si>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</si>
  <si>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</si>
  <si>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</si>
  <si>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</si>
  <si>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</si>
  <si>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</si>
  <si>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</si>
  <si>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</si>
  <si>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</si>
  <si>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</si>
  <si>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</si>
  <si>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</si>
  <si>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</si>
  <si>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</si>
  <si>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</si>
  <si>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</si>
  <si>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</si>
  <si>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</si>
  <si>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</si>
  <si>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</si>
  <si>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</si>
  <si>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</si>
  <si>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</si>
  <si>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</si>
  <si>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</si>
  <si>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</si>
  <si>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</si>
  <si>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</si>
  <si>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</si>
  <si>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</si>
  <si>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</si>
  <si>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</si>
  <si>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</si>
  <si>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</si>
  <si>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</si>
  <si>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</si>
  <si>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</si>
  <si>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</si>
  <si>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</si>
  <si>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</si>
  <si>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</si>
  <si>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</si>
  <si>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</si>
  <si>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</si>
  <si>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</si>
  <si>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</si>
  <si>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</si>
  <si>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</si>
  <si>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</si>
  <si>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</si>
  <si>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</si>
  <si>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</si>
  <si>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</si>
  <si>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</si>
  <si>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</si>
  <si>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</si>
  <si>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</si>
  <si>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</si>
  <si>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</si>
  <si>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</si>
  <si>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</si>
  <si>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</si>
  <si>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</si>
  <si>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</si>
  <si>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</si>
  <si>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</si>
  <si>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</si>
  <si>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</si>
  <si>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</si>
  <si>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</si>
  <si>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</si>
  <si>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</si>
  <si>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</si>
  <si>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</si>
  <si>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</si>
  <si>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</si>
  <si>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</si>
  <si>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</si>
  <si>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</si>
  <si>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</si>
  <si>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</si>
  <si>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</si>
  <si>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</si>
  <si>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</si>
  <si>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</si>
  <si>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</si>
  <si>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</si>
  <si>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</si>
  <si>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</si>
  <si>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</si>
  <si>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</si>
  <si>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</si>
  <si>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</si>
  <si>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</si>
  <si>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</si>
  <si>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</si>
  <si>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</si>
  <si>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</si>
  <si>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</si>
  <si>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</si>
  <si>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</si>
  <si>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</si>
  <si>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</si>
  <si>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</si>
  <si>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</si>
  <si>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</si>
  <si>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</si>
  <si>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</si>
  <si>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</si>
  <si>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</si>
  <si>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</si>
  <si>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</si>
  <si>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</si>
  <si>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</si>
  <si>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</si>
  <si>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</si>
  <si>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</si>
  <si>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</si>
  <si>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</si>
  <si>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</si>
  <si>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</si>
  <si>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</si>
  <si>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</si>
  <si>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</si>
  <si>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</si>
  <si>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</si>
  <si>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</si>
  <si>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</si>
  <si>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</si>
  <si>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</si>
  <si>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</si>
  <si>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</si>
  <si>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</si>
  <si>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</si>
  <si>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</si>
  <si>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</si>
  <si>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</si>
  <si>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</si>
  <si>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</si>
  <si>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</si>
  <si>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</si>
  <si>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</si>
  <si>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</si>
  <si>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</si>
  <si>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</si>
  <si>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</si>
  <si>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</si>
  <si>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</si>
  <si>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</si>
  <si>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</si>
  <si>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</si>
  <si>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</si>
  <si>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</si>
  <si>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</si>
  <si>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</si>
  <si>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</si>
  <si>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</si>
  <si>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</si>
  <si>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</si>
  <si>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</si>
  <si>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</si>
  <si>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</si>
  <si>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</si>
  <si>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</si>
  <si>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</si>
  <si>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</si>
  <si>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</si>
  <si>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</si>
  <si>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</si>
  <si>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</si>
  <si>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</si>
  <si>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</si>
  <si>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</si>
  <si>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</si>
  <si>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</si>
  <si>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</si>
  <si>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</si>
  <si>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</si>
  <si>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</si>
  <si>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</si>
  <si>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</si>
  <si>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</si>
  <si>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</si>
  <si>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</si>
  <si>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</si>
  <si>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</si>
  <si>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</si>
  <si>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</si>
  <si>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</si>
  <si>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</si>
  <si>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</si>
  <si>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</si>
  <si>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</si>
  <si>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</si>
  <si>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</si>
  <si>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</si>
  <si>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</si>
  <si>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</si>
  <si>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</si>
  <si>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</si>
  <si>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</si>
  <si>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</si>
  <si>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</si>
  <si>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</si>
  <si>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</si>
  <si>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</si>
  <si>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</si>
  <si>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</si>
  <si>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</si>
  <si>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</si>
  <si>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</si>
  <si>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</si>
  <si>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</si>
  <si>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</si>
  <si>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</si>
  <si>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</si>
  <si>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</si>
  <si>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</si>
  <si>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</si>
  <si>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</si>
  <si>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</si>
  <si>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</si>
  <si>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</si>
  <si>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</si>
  <si>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</si>
  <si>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</si>
  <si>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</si>
  <si>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</si>
  <si>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</si>
  <si>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</si>
  <si>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</si>
  <si>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</si>
  <si>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</si>
  <si>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</si>
  <si>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</si>
  <si>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</si>
  <si>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</si>
  <si>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</si>
  <si>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</si>
  <si>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</si>
  <si>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</si>
  <si>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</si>
  <si>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</si>
  <si>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</si>
  <si>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</si>
  <si>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</si>
  <si>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</si>
  <si>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</si>
  <si>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</si>
  <si>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</si>
  <si>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</si>
  <si>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</si>
  <si>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</si>
  <si>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</si>
  <si>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</si>
  <si>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</si>
  <si>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</si>
  <si>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</si>
  <si>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</si>
  <si>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</si>
  <si>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</si>
  <si>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</si>
  <si>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</si>
  <si>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</si>
  <si>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</si>
  <si>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</si>
  <si>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</si>
  <si>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</si>
  <si>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</si>
  <si>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</si>
  <si>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</si>
  <si>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</si>
  <si>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</si>
  <si>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</si>
  <si>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</si>
  <si>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</si>
  <si>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</si>
  <si>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</si>
  <si>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</si>
  <si>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</si>
  <si>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</si>
  <si>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</si>
  <si>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</si>
  <si>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</si>
  <si>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</si>
  <si>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</si>
  <si>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</si>
  <si>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</si>
  <si>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</si>
  <si>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</si>
  <si>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</si>
  <si>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</si>
  <si>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</si>
  <si>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</si>
  <si>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</si>
  <si>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</si>
  <si>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</si>
  <si>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</si>
  <si>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</si>
  <si>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</si>
  <si>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</si>
  <si>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</si>
  <si>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</si>
  <si>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</si>
  <si>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</si>
  <si>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</si>
  <si>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</si>
  <si>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</si>
  <si>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</si>
  <si>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</si>
  <si>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</si>
  <si>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</si>
  <si>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</si>
  <si>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</si>
  <si>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</si>
  <si>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</si>
  <si>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</si>
  <si>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</si>
  <si>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</si>
  <si>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</si>
  <si>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</si>
  <si>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</si>
  <si>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</si>
  <si>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</si>
  <si>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</si>
  <si>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</si>
  <si>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</si>
  <si>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</si>
  <si>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</si>
  <si>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</si>
  <si>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</si>
  <si>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</si>
  <si>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</si>
  <si>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</si>
  <si>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</si>
  <si>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</si>
  <si>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</si>
  <si>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</si>
  <si>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</si>
  <si>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</si>
  <si>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</si>
  <si>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</si>
  <si>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</si>
  <si>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</si>
  <si>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</si>
  <si>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</si>
  <si>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</si>
  <si>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</si>
  <si>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</si>
  <si>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</si>
  <si>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</si>
  <si>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</si>
  <si>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</si>
  <si>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</si>
  <si>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</si>
  <si>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</si>
  <si>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</si>
  <si>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</si>
  <si>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</si>
  <si>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</si>
  <si>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</si>
  <si>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</si>
  <si>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</si>
  <si>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</si>
  <si>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</si>
  <si>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</si>
  <si>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</si>
  <si>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</si>
  <si>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</si>
  <si>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</si>
  <si>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</si>
  <si>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</si>
  <si>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</si>
  <si>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</si>
  <si>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</si>
  <si>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</si>
  <si>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</si>
  <si>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</si>
  <si>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</si>
  <si>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</si>
  <si>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</si>
  <si>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</si>
  <si>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</si>
  <si>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</si>
  <si>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</si>
  <si>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</si>
  <si>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</si>
  <si>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</si>
  <si>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</si>
  <si>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</si>
  <si>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</si>
  <si>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</si>
  <si>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</si>
  <si>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</si>
  <si>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</si>
  <si>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</si>
  <si>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</si>
  <si>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</si>
  <si>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</si>
  <si>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</si>
  <si>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</si>
  <si>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</si>
  <si>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</si>
  <si>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</si>
  <si>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</si>
  <si>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</si>
  <si>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</si>
  <si>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</si>
  <si>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</si>
  <si>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</si>
  <si>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</si>
  <si>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</si>
  <si>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</si>
  <si>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</si>
  <si>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</si>
  <si>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</si>
  <si>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</si>
  <si>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</si>
  <si>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</si>
  <si>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</si>
  <si>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</si>
  <si>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</si>
  <si>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</si>
  <si>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</si>
  <si>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</si>
  <si>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</si>
  <si>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</si>
  <si>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</si>
  <si>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</si>
  <si>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</si>
  <si>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</si>
  <si>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</si>
  <si>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</si>
  <si>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</si>
  <si>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</si>
  <si>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</si>
  <si>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</si>
  <si>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</si>
  <si>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</si>
  <si>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</si>
  <si>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</si>
  <si>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</si>
  <si>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</si>
  <si>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</si>
  <si>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</si>
  <si>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</si>
  <si>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</si>
  <si>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</si>
  <si>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</si>
  <si>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</si>
  <si>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</si>
  <si>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</si>
  <si>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</si>
  <si>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</si>
  <si>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</si>
  <si>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</si>
  <si>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</si>
  <si>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</si>
  <si>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</si>
  <si>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</si>
  <si>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</si>
  <si>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</si>
  <si>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</si>
  <si>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</si>
  <si>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</si>
  <si>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</si>
  <si>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</si>
  <si>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</si>
  <si>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</si>
  <si>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</si>
  <si>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</si>
  <si>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</si>
  <si>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</si>
  <si>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</si>
  <si>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</si>
  <si>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</si>
  <si>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</si>
  <si>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</si>
  <si>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</si>
  <si>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</si>
  <si>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</si>
  <si>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</si>
  <si>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</si>
  <si>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</si>
  <si>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</si>
  <si>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</si>
  <si>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</si>
  <si>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</si>
  <si>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</si>
  <si>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</si>
  <si>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</si>
  <si>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</si>
  <si>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</si>
  <si>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</si>
  <si>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</si>
  <si>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</si>
  <si>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</si>
  <si>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</si>
  <si>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</si>
  <si>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</si>
  <si>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</si>
  <si>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</si>
  <si>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</si>
  <si>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</si>
  <si>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</si>
  <si>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</si>
  <si>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</si>
  <si>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</si>
  <si>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</si>
  <si>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</si>
  <si>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</si>
  <si>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</si>
  <si>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</si>
  <si>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</si>
  <si>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</si>
  <si>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</si>
  <si>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</si>
  <si>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</si>
  <si>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</si>
  <si>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</si>
  <si>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</si>
  <si>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</si>
  <si>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</si>
  <si>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</si>
  <si>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</si>
  <si>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</si>
  <si>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</si>
  <si>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</si>
  <si>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</si>
  <si>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</si>
  <si>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</si>
  <si>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</si>
  <si>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</si>
  <si>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</si>
  <si>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</si>
  <si>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</si>
  <si>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</si>
  <si>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</si>
  <si>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</si>
  <si>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</si>
  <si>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</si>
  <si>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</si>
  <si>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</si>
  <si>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</si>
  <si>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</si>
  <si>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</si>
  <si>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</si>
  <si>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</si>
  <si>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</si>
  <si>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</si>
  <si>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</si>
  <si>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</si>
  <si>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</si>
  <si>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</si>
  <si>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</si>
  <si>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</si>
  <si>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</si>
  <si>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</si>
  <si>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</si>
  <si>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</si>
  <si>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</si>
  <si>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</si>
  <si>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</si>
  <si>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</si>
  <si>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</si>
  <si>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</si>
  <si>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</si>
  <si>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</si>
  <si>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</si>
  <si>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</si>
  <si>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</si>
  <si>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</si>
  <si>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</si>
  <si>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</si>
  <si>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</si>
  <si>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</si>
  <si>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</si>
  <si>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</si>
  <si>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</si>
  <si>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</si>
  <si>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</si>
  <si>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</si>
  <si>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</si>
  <si>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</si>
  <si>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</si>
  <si>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</si>
  <si>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</si>
  <si>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</si>
  <si>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</si>
  <si>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</si>
  <si>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</si>
  <si>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</si>
  <si>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</si>
  <si>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</si>
  <si>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</si>
  <si>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</si>
  <si>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</si>
  <si>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</si>
  <si>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</si>
  <si>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</si>
  <si>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</si>
  <si>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</si>
  <si>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</si>
  <si>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</si>
  <si>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</si>
  <si>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</si>
  <si>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</si>
  <si>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</si>
  <si>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</si>
  <si>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</si>
  <si>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</si>
  <si>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</si>
  <si>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</si>
  <si>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</si>
  <si>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</si>
  <si>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</si>
  <si>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</si>
  <si>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</si>
  <si>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</si>
  <si>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</si>
  <si>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</si>
  <si>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</si>
  <si>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</si>
  <si>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</si>
  <si>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</si>
  <si>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</si>
  <si>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</si>
  <si>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</si>
  <si>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</si>
  <si>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</si>
  <si>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</si>
  <si>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</si>
  <si>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</si>
  <si>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</si>
  <si>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</si>
  <si>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</si>
  <si>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</si>
  <si>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</si>
  <si>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</si>
  <si>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</si>
  <si>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</si>
  <si>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</si>
  <si>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</si>
  <si>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</si>
  <si>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</si>
  <si>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</si>
  <si>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</si>
  <si>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</si>
  <si>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</si>
  <si>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</si>
  <si>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</si>
  <si>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</si>
  <si>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</si>
  <si>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</si>
  <si>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</si>
  <si>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</si>
  <si>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</si>
  <si>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</si>
  <si>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</si>
  <si>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</si>
  <si>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</si>
  <si>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</si>
  <si>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</si>
  <si>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</si>
  <si>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</si>
  <si>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</si>
  <si>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</si>
  <si>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</si>
  <si>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</si>
  <si>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</si>
  <si>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</si>
  <si>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</si>
  <si>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</si>
  <si>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</si>
  <si>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</si>
  <si>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</si>
  <si>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</si>
  <si>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</si>
  <si>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</si>
  <si>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</si>
  <si>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</si>
  <si>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</si>
  <si>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</si>
  <si>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</si>
  <si>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</si>
  <si>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</si>
  <si>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</si>
  <si>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</si>
  <si>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</si>
  <si>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</si>
  <si>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</si>
  <si>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</si>
  <si>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</si>
  <si>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</si>
  <si>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</si>
  <si>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</si>
  <si>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</si>
  <si>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</si>
  <si>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</si>
  <si>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</si>
  <si>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</si>
  <si>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</si>
  <si>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</si>
  <si>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</si>
  <si>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</si>
  <si>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</si>
  <si>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</si>
  <si>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</si>
  <si>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</si>
  <si>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</si>
  <si>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</si>
  <si>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</si>
  <si>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</si>
  <si>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</si>
  <si>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</si>
  <si>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</si>
  <si>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</si>
  <si>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</si>
  <si>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</si>
  <si>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</si>
  <si>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</si>
  <si>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</si>
  <si>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</si>
  <si>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</si>
  <si>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</si>
  <si>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</si>
  <si>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</si>
  <si>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</si>
  <si>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</si>
  <si>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</si>
  <si>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</si>
  <si>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</si>
  <si>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</si>
  <si>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</si>
  <si>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</si>
  <si>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</si>
  <si>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</si>
  <si>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</si>
  <si>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</si>
  <si>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</si>
  <si>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</si>
  <si>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</si>
  <si>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</si>
  <si>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</si>
  <si>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</si>
  <si>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</si>
  <si>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</si>
  <si>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</si>
  <si>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</si>
  <si>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</si>
  <si>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</si>
  <si>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</si>
  <si>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</si>
  <si>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</si>
  <si>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</si>
  <si>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</si>
  <si>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</si>
  <si>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</si>
  <si>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</si>
  <si>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</si>
  <si>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</si>
  <si>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</si>
  <si>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</si>
  <si>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</si>
  <si>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</si>
  <si>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</si>
  <si>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</si>
  <si>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</si>
  <si>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</si>
  <si>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</si>
  <si>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</si>
  <si>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</si>
  <si>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</si>
  <si>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</si>
  <si>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</si>
  <si>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</si>
  <si>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</si>
  <si>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</si>
  <si>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</si>
  <si>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</si>
  <si>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</si>
  <si>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</si>
  <si>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</si>
  <si>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</si>
  <si>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</si>
  <si>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</si>
  <si>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</si>
  <si>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</si>
  <si>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</si>
  <si>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</si>
  <si>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</si>
  <si>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</si>
  <si>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</si>
  <si>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</si>
  <si>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</si>
  <si>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</si>
  <si>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</si>
  <si>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</si>
  <si>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</si>
  <si>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</si>
  <si>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</si>
  <si>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</si>
  <si>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</si>
  <si>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</si>
  <si>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</si>
  <si>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</si>
  <si>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</si>
  <si>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</si>
  <si>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</si>
  <si>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</si>
  <si>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</si>
  <si>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</si>
  <si>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</si>
  <si>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</si>
  <si>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</si>
  <si>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</si>
  <si>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</si>
  <si>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</si>
  <si>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</si>
  <si>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</si>
  <si>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</si>
  <si>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</si>
  <si>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</si>
  <si>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</si>
  <si>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</si>
  <si>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</si>
  <si>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</si>
  <si>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</si>
  <si>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</si>
  <si>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</si>
  <si>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</si>
  <si>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</si>
  <si>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</si>
  <si>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</si>
  <si>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</si>
  <si>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</si>
  <si>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</si>
  <si>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</si>
  <si>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</si>
  <si>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</si>
  <si>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</si>
  <si>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</si>
  <si>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</si>
  <si>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</si>
  <si>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</si>
  <si>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</si>
  <si>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</si>
  <si>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</si>
  <si>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</si>
  <si>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</si>
  <si>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</si>
  <si>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</si>
  <si>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</si>
  <si>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</si>
  <si>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</si>
  <si>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</si>
  <si>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</si>
  <si>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</si>
  <si>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</si>
  <si>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</si>
  <si>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</si>
  <si>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</si>
  <si>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</si>
  <si>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</si>
  <si>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</si>
  <si>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</si>
  <si>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</si>
  <si>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</si>
  <si>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</si>
  <si>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</si>
  <si>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</si>
  <si>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</si>
  <si>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</si>
  <si>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</si>
  <si>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</si>
  <si>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</si>
  <si>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</si>
  <si>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</si>
  <si>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</si>
  <si>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</si>
  <si>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</si>
  <si>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</si>
  <si>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</si>
  <si>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</si>
  <si>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</si>
  <si>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</si>
  <si>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</si>
  <si>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</si>
  <si>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</si>
  <si>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</si>
  <si>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</si>
  <si>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</si>
  <si>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</si>
  <si>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</si>
  <si>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</si>
  <si>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</si>
  <si>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</si>
  <si>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</si>
  <si>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</si>
  <si>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</si>
  <si>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</si>
  <si>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</si>
  <si>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</si>
  <si>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</si>
  <si>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</si>
  <si>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</si>
  <si>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</si>
  <si>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</si>
  <si>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</si>
  <si>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</si>
  <si>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</si>
  <si>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</si>
  <si>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</si>
  <si>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</si>
  <si>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</si>
  <si>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</si>
  <si>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</si>
  <si>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</si>
  <si>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</si>
  <si>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</si>
  <si>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BUREAU</t>
  </si>
  <si>
    <t>506 E DOVER</t>
  </si>
  <si>
    <t xml:space="preserve">PRINCETON </t>
  </si>
  <si>
    <t>TSMITH@PES115.ORG</t>
  </si>
  <si>
    <t>TIMOTHY SMITH</t>
  </si>
  <si>
    <t>815-875-3162</t>
  </si>
  <si>
    <t>HOPKINS &amp; ASSOCIATES, CPAS</t>
  </si>
  <si>
    <t>JOEL HOPKINS</t>
  </si>
  <si>
    <t>314 S. MCCOY STREET</t>
  </si>
  <si>
    <t>GRANVILLE</t>
  </si>
  <si>
    <t>IL</t>
  </si>
  <si>
    <t>815-339-6630</t>
  </si>
  <si>
    <t>815-339-6643</t>
  </si>
  <si>
    <t>JOEL@HOPKINSOFFICE.COM</t>
  </si>
  <si>
    <t>GASB 75 OMISSION</t>
  </si>
  <si>
    <t>2016 WORKING CASH BONDS</t>
  </si>
  <si>
    <t>2016 TRANSPORTATION BONDS</t>
  </si>
  <si>
    <t>BMP Special Ed Coop</t>
  </si>
  <si>
    <t>Princeton High School</t>
  </si>
  <si>
    <t>Education - Sup Services - Business - Fiscal - Purch Svc</t>
  </si>
  <si>
    <t>10-2520-300</t>
  </si>
  <si>
    <t>Power School Group</t>
  </si>
  <si>
    <t>O&amp;M - Sup Services - Business - O&amp;M Plant Svcs - Purch Svc</t>
  </si>
  <si>
    <t>20-2540-300</t>
  </si>
  <si>
    <t>Oberlander Alarm Systems</t>
  </si>
  <si>
    <t>Mike Gibson Farm Drainage</t>
  </si>
  <si>
    <t>Diller Rod Inc.</t>
  </si>
  <si>
    <t>Williams Mowing Service</t>
  </si>
  <si>
    <t>AT&amp;T</t>
  </si>
  <si>
    <t>Frontier</t>
  </si>
  <si>
    <t>IV Net LLP</t>
  </si>
  <si>
    <t>City of Princeton</t>
  </si>
  <si>
    <t>Village of Tiskilwa</t>
  </si>
  <si>
    <t>Republic Services</t>
  </si>
  <si>
    <t>1993  Ed Fund - Other Local Fees - $3,317 - PE and Towel Fees</t>
  </si>
  <si>
    <t>1999-Ed Fund - Other Local Rev - $24,983 - Claim Refund and Health Insr Reimb</t>
  </si>
  <si>
    <t>10-2190-100 - Ed Fund - Instruction - $16,369 - Supervision Salary</t>
  </si>
  <si>
    <t>10-2190-200 - Ed Fund - Benefits - $875 - Supervision Benefits</t>
  </si>
  <si>
    <t>1999-O&amp;M Fund - Other Local Rev - $23,331 - Erate Reimb, Ins Reimb Fire</t>
  </si>
  <si>
    <t>1999-Trans Fund - Other Local Rev - $4,533 - Insurance Reimb</t>
  </si>
  <si>
    <t>3999-Ed Fund - Other State Rev - $1,515 - Per Capita Grant Library</t>
  </si>
  <si>
    <t>Transportation Bonds</t>
  </si>
  <si>
    <t>Princeton ESD 115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</si>
</sst>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35F91388-2A5B-4BE2-9E4F-725BC3A0375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90" zoomScaleNormal="9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1" t="s">
        <v>425</v>
      </c>
      <c r="J1" s="2032"/>
      <c r="K1" s="2032"/>
      <c r="L1" s="2032"/>
      <c r="M1" s="2032"/>
      <c r="N1" s="2032"/>
      <c r="O1" s="2032"/>
      <c r="P1" s="2032"/>
      <c r="Q1" s="2032"/>
      <c r="R1" s="2032"/>
      <c r="S1" s="2032"/>
    </row>
    <row r="2" spans="1:28" ht="12" customHeight="1" x14ac:dyDescent="0.2">
      <c r="A2" s="47" t="s">
        <v>1684</v>
      </c>
      <c r="D2" s="48"/>
      <c r="I2" s="2033" t="s">
        <v>1036</v>
      </c>
      <c r="J2" s="2032"/>
      <c r="K2" s="2032"/>
      <c r="L2" s="2032"/>
      <c r="M2" s="2032"/>
      <c r="N2" s="2032"/>
      <c r="O2" s="2032"/>
      <c r="P2" s="2032"/>
      <c r="Q2" s="2032"/>
      <c r="R2" s="2032"/>
      <c r="S2" s="2032"/>
    </row>
    <row r="3" spans="1:28" ht="12" customHeight="1" x14ac:dyDescent="0.2">
      <c r="A3" s="155" t="s">
        <v>1685</v>
      </c>
      <c r="B3" s="156"/>
      <c r="C3" s="156"/>
      <c r="D3" s="157"/>
      <c r="I3" s="2033" t="s">
        <v>54</v>
      </c>
      <c r="J3" s="2032"/>
      <c r="K3" s="2032"/>
      <c r="L3" s="2032"/>
      <c r="M3" s="2032"/>
      <c r="N3" s="2032"/>
      <c r="O3" s="2032"/>
      <c r="P3" s="2032"/>
      <c r="Q3" s="2032"/>
      <c r="R3" s="2032"/>
      <c r="S3" s="2032"/>
    </row>
    <row r="4" spans="1:28" ht="12" customHeight="1" x14ac:dyDescent="0.2">
      <c r="A4" s="37"/>
      <c r="I4" s="2033" t="s">
        <v>545</v>
      </c>
      <c r="J4" s="2032"/>
      <c r="K4" s="2032"/>
      <c r="L4" s="2032"/>
      <c r="M4" s="2032"/>
      <c r="N4" s="2032"/>
      <c r="O4" s="2032"/>
      <c r="P4" s="2032"/>
      <c r="Q4" s="2032"/>
      <c r="R4" s="2032"/>
      <c r="S4" s="2032"/>
    </row>
    <row r="5" spans="1:28" ht="14.1" customHeight="1" x14ac:dyDescent="0.2">
      <c r="B5" s="104" t="s">
        <v>2077</v>
      </c>
      <c r="C5" s="26" t="s">
        <v>966</v>
      </c>
      <c r="D5" s="84"/>
      <c r="E5" s="84"/>
      <c r="H5" s="38"/>
      <c r="I5" s="2040" t="s">
        <v>701</v>
      </c>
      <c r="J5" s="1985"/>
      <c r="K5" s="1985"/>
      <c r="L5" s="1985"/>
      <c r="M5" s="1985"/>
      <c r="N5" s="1985"/>
      <c r="O5" s="1985"/>
      <c r="P5" s="1985"/>
      <c r="Q5" s="1985"/>
      <c r="R5" s="1985"/>
      <c r="S5" s="1985"/>
    </row>
    <row r="6" spans="1:28" ht="14.1" customHeight="1" x14ac:dyDescent="0.2">
      <c r="B6" s="104"/>
      <c r="C6" s="26" t="s">
        <v>967</v>
      </c>
      <c r="D6" s="84"/>
      <c r="E6" s="84"/>
      <c r="I6" s="2039" t="s">
        <v>938</v>
      </c>
      <c r="J6" s="1985"/>
      <c r="K6" s="1985"/>
      <c r="L6" s="1985"/>
      <c r="M6" s="1985"/>
      <c r="N6" s="1985"/>
      <c r="O6" s="1985"/>
      <c r="P6" s="1985"/>
      <c r="Q6" s="1985"/>
      <c r="R6" s="1985"/>
      <c r="S6" s="1985"/>
    </row>
    <row r="7" spans="1:28" ht="12.2" customHeight="1" x14ac:dyDescent="0.2">
      <c r="I7" s="2034">
        <v>43281</v>
      </c>
      <c r="J7" s="2035"/>
      <c r="K7" s="2035"/>
      <c r="L7" s="2035"/>
      <c r="M7" s="2035"/>
      <c r="N7" s="2035"/>
      <c r="O7" s="2035"/>
      <c r="P7" s="2035"/>
      <c r="Q7" s="2035"/>
      <c r="R7" s="2035"/>
      <c r="S7" s="203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6" t="s">
        <v>695</v>
      </c>
      <c r="J9" s="2037"/>
      <c r="K9" s="2037"/>
      <c r="L9" s="2037"/>
      <c r="M9" s="2037"/>
      <c r="N9" s="2037"/>
      <c r="O9" s="2037"/>
      <c r="P9" s="2037"/>
      <c r="Q9" s="2037"/>
      <c r="R9" s="2037"/>
      <c r="S9" s="2038"/>
      <c r="T9" s="1981" t="s">
        <v>554</v>
      </c>
      <c r="U9" s="1982"/>
      <c r="V9" s="1982"/>
      <c r="W9" s="1982"/>
      <c r="X9" s="1982"/>
      <c r="Y9" s="1982"/>
      <c r="Z9" s="1982"/>
      <c r="AA9" s="1983"/>
    </row>
    <row r="10" spans="1:28" ht="13.5" customHeight="1" x14ac:dyDescent="0.2">
      <c r="A10" s="1990" t="s">
        <v>696</v>
      </c>
      <c r="B10" s="1991"/>
      <c r="C10" s="1991"/>
      <c r="D10" s="1991"/>
      <c r="E10" s="1991"/>
      <c r="F10" s="1991"/>
      <c r="G10" s="1991"/>
      <c r="H10" s="1992"/>
      <c r="I10" s="29"/>
      <c r="J10" s="30"/>
      <c r="K10" s="28"/>
      <c r="R10" s="30"/>
      <c r="S10" s="30"/>
      <c r="T10" s="1984"/>
      <c r="U10" s="1985"/>
      <c r="V10" s="1985"/>
      <c r="W10" s="1985"/>
      <c r="X10" s="1985"/>
      <c r="Y10" s="1985"/>
      <c r="Z10" s="1985"/>
      <c r="AA10" s="1986"/>
    </row>
    <row r="11" spans="1:28" ht="14.25" customHeight="1" x14ac:dyDescent="0.2">
      <c r="A11" s="1993" t="s">
        <v>1012</v>
      </c>
      <c r="B11" s="1994"/>
      <c r="C11" s="1994"/>
      <c r="D11" s="1994"/>
      <c r="E11" s="1994"/>
      <c r="F11" s="1994"/>
      <c r="G11" s="1994"/>
      <c r="H11" s="1995"/>
      <c r="I11" s="27"/>
      <c r="J11" s="74"/>
      <c r="K11" s="27"/>
      <c r="O11" s="148" t="s">
        <v>2077</v>
      </c>
      <c r="P11" s="100" t="s">
        <v>210</v>
      </c>
      <c r="Q11" s="30"/>
      <c r="R11" s="28"/>
      <c r="S11" s="27"/>
      <c r="T11" s="1987"/>
      <c r="U11" s="1988"/>
      <c r="V11" s="1988"/>
      <c r="W11" s="1988"/>
      <c r="X11" s="1988"/>
      <c r="Y11" s="1988"/>
      <c r="Z11" s="1988"/>
      <c r="AA11" s="198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1">
        <v>28006115002</v>
      </c>
      <c r="B13" s="2002"/>
      <c r="C13" s="2002"/>
      <c r="D13" s="2002"/>
      <c r="E13" s="2002"/>
      <c r="F13" s="2002"/>
      <c r="G13" s="2002"/>
      <c r="H13" s="2003"/>
      <c r="I13" s="31"/>
      <c r="J13" s="30"/>
      <c r="K13" s="28"/>
      <c r="L13" s="30"/>
      <c r="M13" s="30"/>
      <c r="N13" s="30"/>
      <c r="O13" s="30"/>
      <c r="P13" s="30"/>
      <c r="Q13" s="30"/>
      <c r="R13" s="30"/>
      <c r="S13" s="30"/>
      <c r="T13" s="2006" t="s">
        <v>2084</v>
      </c>
      <c r="U13" s="2007"/>
      <c r="V13" s="2007"/>
      <c r="W13" s="2007"/>
      <c r="X13" s="2007"/>
      <c r="Y13" s="2008"/>
      <c r="Z13" s="2008"/>
      <c r="AA13" s="200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9" t="s">
        <v>2078</v>
      </c>
      <c r="B15" s="2004"/>
      <c r="C15" s="2004"/>
      <c r="D15" s="2004"/>
      <c r="E15" s="2004"/>
      <c r="F15" s="2004"/>
      <c r="G15" s="2004"/>
      <c r="H15" s="2005"/>
      <c r="T15" s="1967" t="s">
        <v>2085</v>
      </c>
      <c r="U15" s="1968"/>
      <c r="V15" s="1968"/>
      <c r="W15" s="1968"/>
      <c r="X15" s="1968"/>
      <c r="Y15" s="2010"/>
      <c r="Z15" s="2010"/>
      <c r="AA15" s="201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9" t="s">
        <v>2120</v>
      </c>
      <c r="B17" s="2029"/>
      <c r="C17" s="2029"/>
      <c r="D17" s="2029"/>
      <c r="E17" s="2029"/>
      <c r="F17" s="2029"/>
      <c r="G17" s="2029"/>
      <c r="H17" s="2030"/>
      <c r="T17" s="2016" t="s">
        <v>2086</v>
      </c>
      <c r="U17" s="2017"/>
      <c r="V17" s="2017"/>
      <c r="W17" s="2017"/>
      <c r="X17" s="2017"/>
      <c r="Y17" s="2017"/>
      <c r="Z17" s="2017"/>
      <c r="AA17" s="2018"/>
    </row>
    <row r="18" spans="1:27" ht="13.5" customHeight="1" x14ac:dyDescent="0.2">
      <c r="A18" s="85" t="s">
        <v>551</v>
      </c>
      <c r="B18" s="76"/>
      <c r="C18" s="72"/>
      <c r="D18" s="76"/>
      <c r="E18" s="76"/>
      <c r="F18" s="76"/>
      <c r="G18" s="76"/>
      <c r="H18" s="56"/>
      <c r="I18" s="2026" t="s">
        <v>697</v>
      </c>
      <c r="J18" s="2027"/>
      <c r="K18" s="2027"/>
      <c r="L18" s="2027"/>
      <c r="M18" s="2027"/>
      <c r="N18" s="2027"/>
      <c r="O18" s="2027"/>
      <c r="P18" s="2027"/>
      <c r="Q18" s="2027"/>
      <c r="R18" s="2027"/>
      <c r="S18" s="2028"/>
      <c r="T18" s="85" t="s">
        <v>735</v>
      </c>
      <c r="U18" s="51"/>
      <c r="V18" s="72"/>
      <c r="W18" s="50"/>
      <c r="X18" s="85" t="s">
        <v>284</v>
      </c>
      <c r="Y18" s="81"/>
      <c r="Z18" s="159" t="s">
        <v>698</v>
      </c>
      <c r="AA18" s="46"/>
    </row>
    <row r="19" spans="1:27" ht="13.5" customHeight="1" x14ac:dyDescent="0.2">
      <c r="A19" s="1999" t="s">
        <v>2079</v>
      </c>
      <c r="B19" s="2000"/>
      <c r="C19" s="2000"/>
      <c r="D19" s="2000"/>
      <c r="E19" s="2000"/>
      <c r="F19" s="2000"/>
      <c r="G19" s="2000"/>
      <c r="H19" s="1998"/>
      <c r="I19" s="30"/>
      <c r="J19" s="99"/>
      <c r="K19" s="40"/>
      <c r="L19" s="38"/>
      <c r="M19" s="112" t="s">
        <v>333</v>
      </c>
      <c r="P19" s="27"/>
      <c r="Q19" s="27"/>
      <c r="R19" s="27"/>
      <c r="S19" s="31"/>
      <c r="T19" s="1999" t="s">
        <v>2087</v>
      </c>
      <c r="U19" s="1997"/>
      <c r="V19" s="1997"/>
      <c r="W19" s="1998"/>
      <c r="X19" s="2014" t="s">
        <v>2088</v>
      </c>
      <c r="Y19" s="2015"/>
      <c r="Z19" s="2012">
        <v>61326</v>
      </c>
      <c r="AA19" s="201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6" t="s">
        <v>2080</v>
      </c>
      <c r="B21" s="1997"/>
      <c r="C21" s="1997"/>
      <c r="D21" s="1997"/>
      <c r="E21" s="1997"/>
      <c r="F21" s="1997"/>
      <c r="G21" s="1997"/>
      <c r="H21" s="1998"/>
      <c r="I21" s="2022" t="s">
        <v>699</v>
      </c>
      <c r="J21" s="1985"/>
      <c r="K21" s="1985"/>
      <c r="L21" s="1985"/>
      <c r="M21" s="1985"/>
      <c r="N21" s="1985"/>
      <c r="O21" s="1985"/>
      <c r="P21" s="1985"/>
      <c r="Q21" s="1985"/>
      <c r="R21" s="1985"/>
      <c r="S21" s="1986"/>
      <c r="T21" s="1964" t="s">
        <v>2089</v>
      </c>
      <c r="U21" s="1965"/>
      <c r="V21" s="1965"/>
      <c r="W21" s="1965"/>
      <c r="X21" s="1978" t="s">
        <v>2090</v>
      </c>
      <c r="Y21" s="1979"/>
      <c r="Z21" s="1979"/>
      <c r="AA21" s="1980"/>
    </row>
    <row r="22" spans="1:27" ht="13.5" customHeight="1" x14ac:dyDescent="0.2">
      <c r="A22" s="87" t="s">
        <v>552</v>
      </c>
      <c r="B22" s="59"/>
      <c r="C22" s="59"/>
      <c r="D22" s="59"/>
      <c r="E22" s="59"/>
      <c r="F22" s="59"/>
      <c r="G22" s="59"/>
      <c r="H22" s="60"/>
      <c r="I22" s="2023" t="s">
        <v>1504</v>
      </c>
      <c r="J22" s="2024"/>
      <c r="K22" s="2024"/>
      <c r="L22" s="2024"/>
      <c r="M22" s="2024"/>
      <c r="N22" s="2024"/>
      <c r="O22" s="2024"/>
      <c r="P22" s="2024"/>
      <c r="Q22" s="2024"/>
      <c r="R22" s="2024"/>
      <c r="S22" s="2025"/>
      <c r="T22" s="85" t="s">
        <v>1596</v>
      </c>
      <c r="U22" s="51"/>
      <c r="V22" s="72"/>
      <c r="W22" s="51"/>
      <c r="X22" s="160" t="s">
        <v>1385</v>
      </c>
      <c r="Z22" s="45"/>
      <c r="AA22" s="46"/>
    </row>
    <row r="23" spans="1:27" ht="13.5" customHeight="1" x14ac:dyDescent="0.2">
      <c r="A23" s="2019" t="s">
        <v>2081</v>
      </c>
      <c r="B23" s="2020"/>
      <c r="C23" s="2020"/>
      <c r="D23" s="2020"/>
      <c r="E23" s="2020"/>
      <c r="F23" s="2020"/>
      <c r="G23" s="2020"/>
      <c r="H23" s="2021"/>
      <c r="T23" s="1959">
        <v>66.004501000000005</v>
      </c>
      <c r="U23" s="1960"/>
      <c r="V23" s="1960"/>
      <c r="W23" s="1960"/>
      <c r="X23" s="1975">
        <v>43434</v>
      </c>
      <c r="Y23" s="1976"/>
      <c r="Z23" s="1976"/>
      <c r="AA23" s="1977"/>
    </row>
    <row r="24" spans="1:27" ht="14.1" customHeight="1" x14ac:dyDescent="0.2">
      <c r="A24" s="88" t="s">
        <v>698</v>
      </c>
      <c r="B24" s="49"/>
      <c r="C24" s="49"/>
      <c r="D24" s="49"/>
      <c r="E24" s="49"/>
      <c r="F24" s="49"/>
      <c r="G24" s="49"/>
      <c r="H24" s="61"/>
      <c r="J24" s="2061">
        <f>IF(B5="x",IF(AUDITCHECK!D29="AFR form Incomplete.","",IF(AUDITCHECK!D29="Deficit reduction plan is required.","School District must complete a deficit reduction plan in the 2018-2019 Budget",)),"")</f>
        <v>0</v>
      </c>
      <c r="K24" s="2061"/>
      <c r="L24" s="2061"/>
      <c r="M24" s="2061"/>
      <c r="N24" s="2061"/>
      <c r="O24" s="2061"/>
      <c r="P24" s="2061"/>
      <c r="Q24" s="2061"/>
      <c r="R24" s="2061"/>
      <c r="S24" s="2062"/>
      <c r="T24" s="105" t="s">
        <v>552</v>
      </c>
      <c r="U24" s="106"/>
      <c r="V24" s="106"/>
      <c r="W24" s="106"/>
      <c r="X24" s="107"/>
      <c r="Y24" s="107"/>
      <c r="Z24" s="107"/>
      <c r="AA24" s="108"/>
    </row>
    <row r="25" spans="1:27" ht="14.1" customHeight="1" x14ac:dyDescent="0.2">
      <c r="A25" s="1996">
        <v>61356</v>
      </c>
      <c r="B25" s="1997"/>
      <c r="C25" s="1997"/>
      <c r="D25" s="1997"/>
      <c r="E25" s="1997"/>
      <c r="F25" s="1997"/>
      <c r="G25" s="1997"/>
      <c r="H25" s="1998"/>
      <c r="I25" s="113"/>
      <c r="J25" s="2063"/>
      <c r="K25" s="2063"/>
      <c r="L25" s="2063"/>
      <c r="M25" s="2063"/>
      <c r="N25" s="2063"/>
      <c r="O25" s="2063"/>
      <c r="P25" s="2063"/>
      <c r="Q25" s="2063"/>
      <c r="R25" s="2063"/>
      <c r="S25" s="2064"/>
      <c r="T25" s="1956" t="s">
        <v>2091</v>
      </c>
      <c r="U25" s="1957"/>
      <c r="V25" s="1957"/>
      <c r="W25" s="1957"/>
      <c r="X25" s="1957"/>
      <c r="Y25" s="1957"/>
      <c r="Z25" s="1957"/>
      <c r="AA25" s="19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4" t="s">
        <v>1591</v>
      </c>
      <c r="J27" s="2027"/>
      <c r="K27" s="2027"/>
      <c r="L27" s="2027"/>
      <c r="M27" s="2027"/>
      <c r="N27" s="2027"/>
      <c r="O27" s="2027"/>
      <c r="P27" s="2027"/>
      <c r="Q27" s="2027"/>
      <c r="R27" s="2027"/>
      <c r="S27" s="202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0"/>
      <c r="Q35" s="1997"/>
      <c r="R35" s="199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9" t="s">
        <v>2082</v>
      </c>
      <c r="B38" s="2029"/>
      <c r="C38" s="2029"/>
      <c r="D38" s="2029"/>
      <c r="E38" s="2029"/>
      <c r="F38" s="1997"/>
      <c r="G38" s="1997"/>
      <c r="H38" s="1998"/>
      <c r="I38" s="2048"/>
      <c r="J38" s="1968"/>
      <c r="K38" s="1968"/>
      <c r="L38" s="1968"/>
      <c r="M38" s="1968"/>
      <c r="N38" s="1968"/>
      <c r="O38" s="1968"/>
      <c r="P38" s="1969"/>
      <c r="Q38" s="1969"/>
      <c r="R38" s="1969"/>
      <c r="S38" s="1970"/>
      <c r="T38" s="1967"/>
      <c r="U38" s="1968"/>
      <c r="V38" s="1968"/>
      <c r="W38" s="1968"/>
      <c r="X38" s="1969"/>
      <c r="Y38" s="1969"/>
      <c r="Z38" s="1969"/>
      <c r="AA38" s="1970"/>
    </row>
    <row r="39" spans="1:27" ht="12" customHeight="1" x14ac:dyDescent="0.2">
      <c r="A39" s="2052" t="s">
        <v>552</v>
      </c>
      <c r="B39" s="2053"/>
      <c r="C39" s="72"/>
      <c r="D39" s="69"/>
      <c r="E39" s="69"/>
      <c r="F39" s="79"/>
      <c r="G39" s="69"/>
      <c r="H39" s="56"/>
      <c r="I39" s="2052" t="s">
        <v>552</v>
      </c>
      <c r="J39" s="2053"/>
      <c r="K39" s="2053"/>
      <c r="L39" s="2053"/>
      <c r="M39" s="2053"/>
      <c r="N39" s="67"/>
      <c r="O39" s="72"/>
      <c r="P39" s="72"/>
      <c r="Q39" s="78"/>
      <c r="R39" s="72"/>
      <c r="S39" s="56"/>
      <c r="T39" s="72" t="s">
        <v>552</v>
      </c>
      <c r="U39" s="51"/>
      <c r="V39" s="72"/>
      <c r="W39" s="50"/>
      <c r="X39" s="78"/>
      <c r="Y39" s="45"/>
      <c r="Z39" s="45"/>
      <c r="AA39" s="46"/>
    </row>
    <row r="40" spans="1:27" ht="13.5" customHeight="1" x14ac:dyDescent="0.2">
      <c r="A40" s="2055" t="s">
        <v>2081</v>
      </c>
      <c r="B40" s="2056"/>
      <c r="C40" s="2057"/>
      <c r="D40" s="2057"/>
      <c r="E40" s="2057"/>
      <c r="F40" s="2058"/>
      <c r="G40" s="2058"/>
      <c r="H40" s="2059"/>
      <c r="I40" s="1971"/>
      <c r="J40" s="1973"/>
      <c r="K40" s="1973"/>
      <c r="L40" s="1973"/>
      <c r="M40" s="1973"/>
      <c r="N40" s="1973"/>
      <c r="O40" s="1973"/>
      <c r="P40" s="1973"/>
      <c r="Q40" s="1973"/>
      <c r="R40" s="1973"/>
      <c r="S40" s="1974"/>
      <c r="T40" s="1971"/>
      <c r="U40" s="1972"/>
      <c r="V40" s="1973"/>
      <c r="W40" s="1973"/>
      <c r="X40" s="1973"/>
      <c r="Y40" s="1973"/>
      <c r="Z40" s="1973"/>
      <c r="AA40" s="197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5" t="s">
        <v>2083</v>
      </c>
      <c r="B42" s="2046"/>
      <c r="C42" s="2047"/>
      <c r="D42" s="2060"/>
      <c r="E42" s="2046"/>
      <c r="F42" s="2046"/>
      <c r="G42" s="2046"/>
      <c r="H42" s="2047"/>
      <c r="I42" s="1966"/>
      <c r="J42" s="1962"/>
      <c r="K42" s="1962"/>
      <c r="L42" s="1962"/>
      <c r="M42" s="1962"/>
      <c r="N42" s="1962"/>
      <c r="O42" s="1963"/>
      <c r="P42" s="1961"/>
      <c r="Q42" s="1962"/>
      <c r="R42" s="1962"/>
      <c r="S42" s="1963"/>
      <c r="T42" s="1966"/>
      <c r="U42" s="1962"/>
      <c r="V42" s="1962"/>
      <c r="W42" s="1963"/>
      <c r="X42" s="1961"/>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9"/>
      <c r="B44" s="2050"/>
      <c r="C44" s="2050"/>
      <c r="D44" s="2050"/>
      <c r="E44" s="2050"/>
      <c r="F44" s="2050"/>
      <c r="G44" s="2050"/>
      <c r="H44" s="2051"/>
      <c r="I44" s="2041"/>
      <c r="J44" s="2043"/>
      <c r="K44" s="2043"/>
      <c r="L44" s="2043"/>
      <c r="M44" s="2043"/>
      <c r="N44" s="2043"/>
      <c r="O44" s="2043"/>
      <c r="P44" s="2043"/>
      <c r="Q44" s="2043"/>
      <c r="R44" s="2043"/>
      <c r="S44" s="2044"/>
      <c r="T44" s="2041"/>
      <c r="U44" s="2042"/>
      <c r="V44" s="2042"/>
      <c r="W44" s="2042"/>
      <c r="X44" s="2042"/>
      <c r="Y44" s="2042"/>
      <c r="Z44" s="2043"/>
      <c r="AA44" s="204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2" colorId="8" zoomScale="110" zoomScaleNormal="110" workbookViewId="0">
      <selection activeCell="E18" sqref="E18"/>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0" t="s">
        <v>1905</v>
      </c>
      <c r="B2" s="1550" t="s">
        <v>2037</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3314699</v>
      </c>
      <c r="C4" s="1546"/>
      <c r="D4" s="1774">
        <f>B4-C4</f>
        <v>3314699</v>
      </c>
      <c r="E4" s="1546">
        <f>243754019*0.0207411</f>
        <v>5055726.4834808996</v>
      </c>
      <c r="F4" s="1774">
        <f>E4-C4</f>
        <v>5055726.4834808996</v>
      </c>
    </row>
    <row r="5" spans="1:6" ht="13.7" customHeight="1" x14ac:dyDescent="0.2">
      <c r="A5" s="716" t="s">
        <v>925</v>
      </c>
      <c r="B5" s="1772">
        <f>'Revenues 9-14'!D5</f>
        <v>591911</v>
      </c>
      <c r="C5" s="585"/>
      <c r="D5" s="1775">
        <f t="shared" ref="D5:D18" si="0">B5-C5</f>
        <v>591911</v>
      </c>
      <c r="E5" s="585">
        <f>243754019*0.0025</f>
        <v>609385.04749999999</v>
      </c>
      <c r="F5" s="1775">
        <f>E5-C5</f>
        <v>609385.04749999999</v>
      </c>
    </row>
    <row r="6" spans="1:6" ht="13.7" customHeight="1" x14ac:dyDescent="0.2">
      <c r="A6" s="716" t="s">
        <v>431</v>
      </c>
      <c r="B6" s="1772">
        <f>'Revenues 9-14'!E5</f>
        <v>1705008</v>
      </c>
      <c r="C6" s="585"/>
      <c r="D6" s="1775">
        <f t="shared" si="0"/>
        <v>1705008</v>
      </c>
      <c r="E6" s="585">
        <f>243754019*0.0005643</f>
        <v>137550.3929217</v>
      </c>
      <c r="F6" s="1775">
        <f t="shared" ref="F6:F18" si="1">E6-C6</f>
        <v>137550.3929217</v>
      </c>
    </row>
    <row r="7" spans="1:6" ht="13.7" customHeight="1" x14ac:dyDescent="0.2">
      <c r="A7" s="716" t="s">
        <v>157</v>
      </c>
      <c r="B7" s="1772">
        <f>'Revenues 9-14'!F5</f>
        <v>284117</v>
      </c>
      <c r="C7" s="585"/>
      <c r="D7" s="1775">
        <f t="shared" si="0"/>
        <v>284117</v>
      </c>
      <c r="E7" s="585">
        <f>243754019*0.0012</f>
        <v>292504.82279999997</v>
      </c>
      <c r="F7" s="1775">
        <f t="shared" si="1"/>
        <v>292504.82279999997</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118382</v>
      </c>
      <c r="C10" s="585"/>
      <c r="D10" s="1775">
        <f t="shared" si="0"/>
        <v>118382</v>
      </c>
      <c r="E10" s="585">
        <f>243754019*0.0005</f>
        <v>121877.0095</v>
      </c>
      <c r="F10" s="1775">
        <f t="shared" si="1"/>
        <v>121877.0095</v>
      </c>
    </row>
    <row r="11" spans="1:6" x14ac:dyDescent="0.2">
      <c r="A11" s="716" t="s">
        <v>429</v>
      </c>
      <c r="B11" s="1772">
        <f>'Revenues 9-14'!J5</f>
        <v>770242</v>
      </c>
      <c r="C11" s="585"/>
      <c r="D11" s="1775">
        <f t="shared" si="0"/>
        <v>770242</v>
      </c>
      <c r="E11" s="585">
        <f>243754019*0.0031426</f>
        <v>766021.38010940002</v>
      </c>
      <c r="F11" s="1775">
        <f t="shared" si="1"/>
        <v>766021.38010940002</v>
      </c>
    </row>
    <row r="12" spans="1:6" ht="13.7" customHeight="1" x14ac:dyDescent="0.2">
      <c r="A12" s="716" t="s">
        <v>159</v>
      </c>
      <c r="B12" s="1772">
        <f>'Revenues 9-14'!K5</f>
        <v>118382</v>
      </c>
      <c r="C12" s="585"/>
      <c r="D12" s="1775">
        <f t="shared" si="0"/>
        <v>118382</v>
      </c>
      <c r="E12" s="585">
        <f>243754019*0.0005</f>
        <v>121877.0095</v>
      </c>
      <c r="F12" s="1775">
        <f t="shared" si="1"/>
        <v>121877.0095</v>
      </c>
    </row>
    <row r="13" spans="1:6" ht="13.7" customHeight="1" x14ac:dyDescent="0.2">
      <c r="A13" s="716" t="s">
        <v>993</v>
      </c>
      <c r="B13" s="1772">
        <f>SUM('Revenues 9-14'!C6:D6)</f>
        <v>118382</v>
      </c>
      <c r="C13" s="585"/>
      <c r="D13" s="1775">
        <f t="shared" si="0"/>
        <v>118382</v>
      </c>
      <c r="E13" s="585">
        <f>243754019*0.0005</f>
        <v>121877.0095</v>
      </c>
      <c r="F13" s="1775">
        <f t="shared" si="1"/>
        <v>121877.0095</v>
      </c>
    </row>
    <row r="14" spans="1:6" ht="13.7" customHeight="1" x14ac:dyDescent="0.2">
      <c r="A14" s="716" t="s">
        <v>430</v>
      </c>
      <c r="B14" s="1772">
        <f>SUM('Revenues 9-14'!C7:D7,'Revenues 9-14'!F7:H7)</f>
        <v>47353</v>
      </c>
      <c r="C14" s="585"/>
      <c r="D14" s="1775">
        <f t="shared" si="0"/>
        <v>47353</v>
      </c>
      <c r="E14" s="585">
        <f>243754019*0.0002</f>
        <v>48750.803800000002</v>
      </c>
      <c r="F14" s="1775">
        <f t="shared" si="1"/>
        <v>48750.803800000002</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448693</v>
      </c>
      <c r="C16" s="585"/>
      <c r="D16" s="1775">
        <f t="shared" si="0"/>
        <v>448693</v>
      </c>
      <c r="E16" s="585">
        <f>243754019*0.0019016</f>
        <v>463522.64253040001</v>
      </c>
      <c r="F16" s="1775">
        <f t="shared" si="1"/>
        <v>463522.64253040001</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7517169</v>
      </c>
      <c r="C19" s="1773">
        <f>SUM(C4:C18)</f>
        <v>0</v>
      </c>
      <c r="D19" s="1773">
        <f>SUM(D4:D18)</f>
        <v>7517169</v>
      </c>
      <c r="E19" s="1773">
        <f>SUM(E4:E18)</f>
        <v>7739092.6016424</v>
      </c>
      <c r="F19" s="1773">
        <f>SUM(F4:F18)</f>
        <v>7739092.6016424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F53" sqref="F53:G5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1905</v>
      </c>
      <c r="B2" s="2216"/>
      <c r="C2" s="1908" t="s">
        <v>2038</v>
      </c>
      <c r="D2" s="724" t="s">
        <v>2045</v>
      </c>
      <c r="E2" s="724" t="s">
        <v>2046</v>
      </c>
      <c r="F2" s="1908" t="s">
        <v>2039</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7">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4" t="s">
        <v>652</v>
      </c>
      <c r="B15" s="2205"/>
      <c r="C15" s="1777">
        <f>SUM(C6:C14)</f>
        <v>0</v>
      </c>
      <c r="D15" s="1777">
        <f>SUM(D6:D14)</f>
        <v>0</v>
      </c>
      <c r="E15" s="1777">
        <f>SUM(E6:E14)</f>
        <v>0</v>
      </c>
      <c r="F15" s="1777">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7">
        <f>SUM(C17+D17)-E17</f>
        <v>0</v>
      </c>
    </row>
    <row r="18" spans="1:11" ht="12.75" customHeight="1" thickTop="1" thickBot="1" x14ac:dyDescent="0.25">
      <c r="A18" s="2227" t="s">
        <v>6</v>
      </c>
      <c r="B18" s="2228"/>
      <c r="C18" s="727"/>
      <c r="D18" s="585"/>
      <c r="E18" s="727"/>
      <c r="F18" s="1777">
        <f>SUM(C18+D18)-E18</f>
        <v>0</v>
      </c>
    </row>
    <row r="19" spans="1:11" ht="12.75" customHeight="1" thickTop="1" thickBot="1" x14ac:dyDescent="0.25">
      <c r="A19" s="2227" t="s">
        <v>406</v>
      </c>
      <c r="B19" s="2228"/>
      <c r="C19" s="727"/>
      <c r="D19" s="585"/>
      <c r="E19" s="727"/>
      <c r="F19" s="1777">
        <f>SUM(C19+D19)-E19</f>
        <v>0</v>
      </c>
    </row>
    <row r="20" spans="1:11" ht="12.75" customHeight="1" thickTop="1" thickBot="1" x14ac:dyDescent="0.25">
      <c r="A20" s="2227" t="s">
        <v>468</v>
      </c>
      <c r="B20" s="2228"/>
      <c r="C20" s="727"/>
      <c r="D20" s="585"/>
      <c r="E20" s="727"/>
      <c r="F20" s="1777">
        <f>SUM(C20+D20)-E20</f>
        <v>0</v>
      </c>
    </row>
    <row r="21" spans="1:11" ht="14.25" thickTop="1" thickBot="1" x14ac:dyDescent="0.25">
      <c r="A21" s="2204" t="s">
        <v>653</v>
      </c>
      <c r="B21" s="2205"/>
      <c r="C21" s="1777">
        <f>SUM(C17:C20)</f>
        <v>0</v>
      </c>
      <c r="D21" s="1777">
        <f>SUM(D17:D20)</f>
        <v>0</v>
      </c>
      <c r="E21" s="1777">
        <f>SUM(E17:E20)</f>
        <v>0</v>
      </c>
      <c r="F21" s="1777">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7">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7">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7">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1"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t="s">
        <v>2093</v>
      </c>
      <c r="B31" s="734">
        <v>42339</v>
      </c>
      <c r="C31" s="735">
        <v>2995000</v>
      </c>
      <c r="D31" s="736">
        <v>1</v>
      </c>
      <c r="E31" s="735">
        <v>1540000</v>
      </c>
      <c r="F31" s="735"/>
      <c r="G31" s="735"/>
      <c r="H31" s="735">
        <v>1540000</v>
      </c>
      <c r="I31" s="1778">
        <f>((E31+F31)-H31)+G31</f>
        <v>0</v>
      </c>
      <c r="J31" s="735"/>
      <c r="K31" s="737"/>
    </row>
    <row r="32" spans="1:11" ht="12" customHeight="1" x14ac:dyDescent="0.2">
      <c r="A32" s="733" t="s">
        <v>2094</v>
      </c>
      <c r="B32" s="734">
        <v>42339</v>
      </c>
      <c r="C32" s="735">
        <v>270000</v>
      </c>
      <c r="D32" s="736">
        <v>7</v>
      </c>
      <c r="E32" s="735">
        <v>270000</v>
      </c>
      <c r="F32" s="735"/>
      <c r="G32" s="735"/>
      <c r="H32" s="735">
        <v>135000</v>
      </c>
      <c r="I32" s="1778">
        <f>((E32+F32)-H32)+G32</f>
        <v>135000</v>
      </c>
      <c r="J32" s="735">
        <f>-62696+135000</f>
        <v>72304</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3265000</v>
      </c>
      <c r="D49" s="746"/>
      <c r="E49" s="1778">
        <f t="shared" ref="E49:J49" si="2">SUM(E31:E48)</f>
        <v>1810000</v>
      </c>
      <c r="F49" s="1778">
        <f t="shared" si="2"/>
        <v>0</v>
      </c>
      <c r="G49" s="1778">
        <f t="shared" si="2"/>
        <v>0</v>
      </c>
      <c r="H49" s="1778">
        <f t="shared" si="2"/>
        <v>1675000</v>
      </c>
      <c r="I49" s="1778">
        <f t="shared" si="2"/>
        <v>135000</v>
      </c>
      <c r="J49" s="1778">
        <f t="shared" si="2"/>
        <v>72304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t="s">
        <v>2119</v>
      </c>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C1" colorId="8" zoomScale="110" zoomScaleNormal="110" workbookViewId="0">
      <selection activeCell="K6" sqref="K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2"/>
      <c r="I1" s="761"/>
      <c r="J1" s="433"/>
    </row>
    <row r="2" spans="1:11" ht="26.25" x14ac:dyDescent="0.2">
      <c r="A2" s="2234" t="s">
        <v>1776</v>
      </c>
      <c r="B2" s="2235"/>
      <c r="C2" s="2235"/>
      <c r="D2" s="2235"/>
      <c r="E2" s="2236"/>
      <c r="F2" s="762" t="s">
        <v>960</v>
      </c>
      <c r="G2" s="763" t="s">
        <v>1773</v>
      </c>
      <c r="H2" s="763" t="s">
        <v>430</v>
      </c>
      <c r="I2" s="763" t="s">
        <v>1220</v>
      </c>
      <c r="J2" s="763" t="s">
        <v>1919</v>
      </c>
      <c r="K2" s="763" t="s">
        <v>140</v>
      </c>
    </row>
    <row r="3" spans="1:11" x14ac:dyDescent="0.2">
      <c r="A3" s="2237" t="s">
        <v>1698</v>
      </c>
      <c r="B3" s="2238"/>
      <c r="C3" s="2238"/>
      <c r="D3" s="2238"/>
      <c r="E3" s="2239"/>
      <c r="F3" s="764"/>
      <c r="G3" s="765"/>
      <c r="H3" s="765"/>
      <c r="I3" s="765"/>
      <c r="J3" s="766"/>
      <c r="K3" s="766"/>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v>47353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8" t="s">
        <v>1920</v>
      </c>
      <c r="B10" s="2231"/>
      <c r="C10" s="2231"/>
      <c r="D10" s="2231"/>
      <c r="E10" s="2260"/>
      <c r="F10" s="784" t="s">
        <v>917</v>
      </c>
      <c r="G10" s="783"/>
      <c r="H10" s="785"/>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9"/>
      <c r="G12" s="1780">
        <f>SUM(G5:G11)</f>
        <v>0</v>
      </c>
      <c r="H12" s="1780">
        <f>SUM(H5:H11)</f>
        <v>47353</v>
      </c>
      <c r="I12" s="1780">
        <f>SUM(I5:I11)</f>
        <v>0</v>
      </c>
      <c r="J12" s="1780">
        <f>SUM(J5:J11)</f>
        <v>0</v>
      </c>
      <c r="K12" s="1780">
        <f>SUM(K5:K11)</f>
        <v>0</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v>47353</v>
      </c>
      <c r="I14" s="772"/>
      <c r="J14" s="774"/>
      <c r="K14" s="766"/>
    </row>
    <row r="15" spans="1:11" x14ac:dyDescent="0.2">
      <c r="A15" s="2231" t="s">
        <v>4</v>
      </c>
      <c r="B15" s="2231"/>
      <c r="C15" s="2231"/>
      <c r="D15" s="2231"/>
      <c r="E15" s="2259"/>
      <c r="F15" s="790" t="s">
        <v>910</v>
      </c>
      <c r="G15" s="772"/>
      <c r="H15" s="765"/>
      <c r="I15" s="765"/>
      <c r="J15" s="766"/>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1916</v>
      </c>
      <c r="B19" s="2266"/>
      <c r="C19" s="2266"/>
      <c r="D19" s="2266"/>
      <c r="E19" s="2267"/>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81"/>
      <c r="G21" s="793"/>
      <c r="H21" s="797"/>
      <c r="I21" s="797"/>
      <c r="J21" s="1782">
        <f>SUM(J18:J20)</f>
        <v>0</v>
      </c>
      <c r="K21" s="794"/>
    </row>
    <row r="22" spans="1:11" ht="13.5" thickTop="1" x14ac:dyDescent="0.2">
      <c r="A22" s="2231" t="s">
        <v>1922</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3"/>
      <c r="G23" s="1780">
        <f>SUM(G14:G16,G21,G22)</f>
        <v>0</v>
      </c>
      <c r="H23" s="1780">
        <f>SUM(H14:H16,H21,H22)</f>
        <v>47353</v>
      </c>
      <c r="I23" s="1780">
        <f>SUM(I14:I16,I21,I22)</f>
        <v>0</v>
      </c>
      <c r="J23" s="1780">
        <f>SUM(J14:J16,J21,J22)</f>
        <v>0</v>
      </c>
      <c r="K23" s="1780">
        <f>SUM(K14:K16,K21,K22)</f>
        <v>0</v>
      </c>
    </row>
    <row r="24" spans="1:11" ht="14.25" thickTop="1" thickBot="1" x14ac:dyDescent="0.25">
      <c r="A24" s="2252" t="s">
        <v>2026</v>
      </c>
      <c r="B24" s="2251"/>
      <c r="C24" s="2251"/>
      <c r="D24" s="2251"/>
      <c r="E24" s="2251"/>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144067</v>
      </c>
      <c r="D5" s="842"/>
      <c r="E5" s="842"/>
      <c r="F5" s="1782">
        <f>(C5+D5)-E5</f>
        <v>144067</v>
      </c>
      <c r="G5" s="838"/>
      <c r="H5" s="843"/>
      <c r="I5" s="843"/>
      <c r="J5" s="843"/>
      <c r="K5" s="794"/>
      <c r="L5" s="1791">
        <f>F5-K5</f>
        <v>144067</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8733366</v>
      </c>
      <c r="D8" s="845">
        <v>91841</v>
      </c>
      <c r="E8" s="845"/>
      <c r="F8" s="1782">
        <f>(C8+D8)-E8</f>
        <v>8825207</v>
      </c>
      <c r="G8" s="844">
        <v>50</v>
      </c>
      <c r="H8" s="766">
        <v>4369087</v>
      </c>
      <c r="I8" s="766">
        <v>175586</v>
      </c>
      <c r="J8" s="766"/>
      <c r="K8" s="1791">
        <f>(H8+I8)-J8</f>
        <v>4544673</v>
      </c>
      <c r="L8" s="1791">
        <f>F8-K8</f>
        <v>4280534</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174406</v>
      </c>
      <c r="D10" s="847"/>
      <c r="E10" s="847"/>
      <c r="F10" s="1786">
        <f>(C10+D10)-E10</f>
        <v>174406</v>
      </c>
      <c r="G10" s="844">
        <v>20</v>
      </c>
      <c r="H10" s="848">
        <v>158880</v>
      </c>
      <c r="I10" s="848">
        <v>3560</v>
      </c>
      <c r="J10" s="848"/>
      <c r="K10" s="1791">
        <f>(H10+I10)-J10</f>
        <v>162440</v>
      </c>
      <c r="L10" s="1791">
        <f>F10-K10</f>
        <v>11966</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2370516</v>
      </c>
      <c r="D12" s="845"/>
      <c r="E12" s="845"/>
      <c r="F12" s="1782">
        <f>(C12+D12)-E12</f>
        <v>2370516</v>
      </c>
      <c r="G12" s="844">
        <v>10</v>
      </c>
      <c r="H12" s="766">
        <v>2164216</v>
      </c>
      <c r="I12" s="766">
        <v>27241</v>
      </c>
      <c r="J12" s="766"/>
      <c r="K12" s="1791">
        <f>(H12+I12)-J12</f>
        <v>2191457</v>
      </c>
      <c r="L12" s="1791">
        <f>F12-K12</f>
        <v>179059</v>
      </c>
    </row>
    <row r="13" spans="1:14" ht="14.25" thickTop="1" thickBot="1" x14ac:dyDescent="0.25">
      <c r="A13" s="849" t="s">
        <v>1184</v>
      </c>
      <c r="B13" s="841">
        <v>252</v>
      </c>
      <c r="C13" s="845">
        <v>2998503</v>
      </c>
      <c r="D13" s="845">
        <f>88694+7041+22187+6500</f>
        <v>124422</v>
      </c>
      <c r="E13" s="845"/>
      <c r="F13" s="1782">
        <f>(C13+D13)-E13</f>
        <v>3122925</v>
      </c>
      <c r="G13" s="844">
        <v>5</v>
      </c>
      <c r="H13" s="766">
        <v>2332934</v>
      </c>
      <c r="I13" s="766">
        <f>270162+2908</f>
        <v>273070</v>
      </c>
      <c r="J13" s="766"/>
      <c r="K13" s="1791">
        <f>(H13+I13)-J13</f>
        <v>2606004</v>
      </c>
      <c r="L13" s="1791">
        <f>F13-K13</f>
        <v>516921</v>
      </c>
    </row>
    <row r="14" spans="1:14" ht="14.25" thickTop="1" thickBot="1" x14ac:dyDescent="0.25">
      <c r="A14" s="849" t="s">
        <v>1185</v>
      </c>
      <c r="B14" s="841">
        <v>253</v>
      </c>
      <c r="C14" s="766">
        <v>160019</v>
      </c>
      <c r="D14" s="766"/>
      <c r="E14" s="766"/>
      <c r="F14" s="1782">
        <f>(C14+D14)-E14</f>
        <v>160019</v>
      </c>
      <c r="G14" s="844">
        <v>3</v>
      </c>
      <c r="H14" s="766">
        <v>149227</v>
      </c>
      <c r="I14" s="766">
        <v>7617</v>
      </c>
      <c r="J14" s="766"/>
      <c r="K14" s="1791">
        <f>(H14+I14)-J14</f>
        <v>156844</v>
      </c>
      <c r="L14" s="1791">
        <f>F14-K14</f>
        <v>3175</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14580877</v>
      </c>
      <c r="D16" s="1782">
        <f>SUM(D3,D5:D6,D8:D10,D12:D15)</f>
        <v>216263</v>
      </c>
      <c r="E16" s="1782">
        <f>SUM(E3,E5:E6,E8:E10,E12:E15)</f>
        <v>0</v>
      </c>
      <c r="F16" s="1782">
        <f>SUM(F3,F5:F6,F8:F10,F12:F15)</f>
        <v>14797140</v>
      </c>
      <c r="G16" s="844"/>
      <c r="H16" s="1782">
        <f>SUM(H3,H6,H8:H10,H12:H14,)</f>
        <v>9174344</v>
      </c>
      <c r="I16" s="1782">
        <f>SUM(I3,I6,I8:I10,I12:I14,)</f>
        <v>487074</v>
      </c>
      <c r="J16" s="1782">
        <f>SUM(J3,J6,J8:J10,J12:J14,)</f>
        <v>0</v>
      </c>
      <c r="K16" s="1782">
        <f>(H16+I16)-J16</f>
        <v>9661418</v>
      </c>
      <c r="L16" s="1782">
        <f>F16-K16</f>
        <v>5135722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487074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7"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8456813</v>
      </c>
      <c r="G8" s="866"/>
    </row>
    <row r="9" spans="1:7" x14ac:dyDescent="0.2">
      <c r="A9" s="870" t="s">
        <v>480</v>
      </c>
      <c r="B9" s="871" t="s">
        <v>1989</v>
      </c>
      <c r="C9" s="872"/>
      <c r="D9" s="870" t="s">
        <v>522</v>
      </c>
      <c r="E9" s="869"/>
      <c r="F9" s="1934">
        <f>'Expenditures 15-22'!K151</f>
        <v>668354</v>
      </c>
      <c r="G9" s="873"/>
    </row>
    <row r="10" spans="1:7" x14ac:dyDescent="0.2">
      <c r="A10" s="870" t="s">
        <v>520</v>
      </c>
      <c r="B10" s="871" t="s">
        <v>1990</v>
      </c>
      <c r="C10" s="872"/>
      <c r="D10" s="870" t="s">
        <v>522</v>
      </c>
      <c r="E10" s="869"/>
      <c r="F10" s="1934">
        <f>'Expenditures 15-22'!K174</f>
        <v>1712681</v>
      </c>
      <c r="G10" s="873"/>
    </row>
    <row r="11" spans="1:7" x14ac:dyDescent="0.2">
      <c r="A11" s="870" t="s">
        <v>481</v>
      </c>
      <c r="B11" s="871" t="s">
        <v>1991</v>
      </c>
      <c r="C11" s="872"/>
      <c r="D11" s="870" t="s">
        <v>522</v>
      </c>
      <c r="E11" s="869"/>
      <c r="F11" s="1934">
        <f>'Expenditures 15-22'!K210</f>
        <v>626199</v>
      </c>
      <c r="G11" s="873"/>
    </row>
    <row r="12" spans="1:7" x14ac:dyDescent="0.2">
      <c r="A12" s="870" t="s">
        <v>482</v>
      </c>
      <c r="B12" s="871" t="s">
        <v>1992</v>
      </c>
      <c r="C12" s="872"/>
      <c r="D12" s="870" t="s">
        <v>522</v>
      </c>
      <c r="E12" s="869"/>
      <c r="F12" s="1934">
        <f>'Expenditures 15-22'!K295</f>
        <v>429327</v>
      </c>
      <c r="G12" s="873"/>
    </row>
    <row r="13" spans="1:7" x14ac:dyDescent="0.2">
      <c r="A13" s="870" t="s">
        <v>108</v>
      </c>
      <c r="B13" s="871" t="s">
        <v>1993</v>
      </c>
      <c r="C13" s="872"/>
      <c r="D13" s="870" t="s">
        <v>522</v>
      </c>
      <c r="E13" s="869"/>
      <c r="F13" s="1934">
        <f>'Expenditures 15-22'!K342</f>
        <v>756162</v>
      </c>
      <c r="G13" s="874"/>
    </row>
    <row r="14" spans="1:7" ht="12" customHeight="1" thickBot="1" x14ac:dyDescent="0.25">
      <c r="A14" s="1792"/>
      <c r="B14" s="1793"/>
      <c r="C14" s="1794"/>
      <c r="D14" s="1795" t="s">
        <v>522</v>
      </c>
      <c r="E14" s="1796" t="s">
        <v>1015</v>
      </c>
      <c r="F14" s="1797">
        <f>SUM(F8:F13)</f>
        <v>12649536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5909</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109818</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613314</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55934</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8148</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103529</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437941</v>
      </c>
      <c r="G53" s="866"/>
    </row>
    <row r="54" spans="1:7" x14ac:dyDescent="0.2">
      <c r="A54" s="870" t="s">
        <v>479</v>
      </c>
      <c r="B54" s="870" t="s">
        <v>1552</v>
      </c>
      <c r="C54" s="890" t="s">
        <v>1039</v>
      </c>
      <c r="D54" s="886" t="s">
        <v>1157</v>
      </c>
      <c r="E54" s="869"/>
      <c r="F54" s="1938">
        <f>'Expenditures 15-22'!G114</f>
        <v>95735</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0</v>
      </c>
      <c r="G57" s="866"/>
    </row>
    <row r="58" spans="1:7" x14ac:dyDescent="0.2">
      <c r="A58" s="870" t="s">
        <v>480</v>
      </c>
      <c r="B58" s="870" t="s">
        <v>1995</v>
      </c>
      <c r="C58" s="887" t="s">
        <v>1039</v>
      </c>
      <c r="D58" s="886" t="s">
        <v>1157</v>
      </c>
      <c r="E58" s="869"/>
      <c r="F58" s="1940">
        <f>'Expenditures 15-22'!G151</f>
        <v>6500</v>
      </c>
      <c r="G58" s="866"/>
    </row>
    <row r="59" spans="1:7" x14ac:dyDescent="0.2">
      <c r="A59" s="894" t="s">
        <v>480</v>
      </c>
      <c r="B59" s="857" t="s">
        <v>1996</v>
      </c>
      <c r="C59" s="895" t="s">
        <v>1039</v>
      </c>
      <c r="D59" s="857" t="s">
        <v>309</v>
      </c>
      <c r="F59" s="1941">
        <f>'Expenditures 15-22'!I151</f>
        <v>0</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1675000</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2001</v>
      </c>
      <c r="C64" s="897" t="str">
        <f>'Expenditures 15-22'!B206</f>
        <v>5300</v>
      </c>
      <c r="D64" s="893" t="s">
        <v>329</v>
      </c>
      <c r="E64" s="869"/>
      <c r="F64" s="1938">
        <f>'Expenditures 15-22'!K206</f>
        <v>0</v>
      </c>
      <c r="G64" s="866"/>
    </row>
    <row r="65" spans="1:8" x14ac:dyDescent="0.2">
      <c r="A65" s="870" t="s">
        <v>481</v>
      </c>
      <c r="B65" s="870" t="s">
        <v>2002</v>
      </c>
      <c r="C65" s="887" t="s">
        <v>1039</v>
      </c>
      <c r="D65" s="886" t="s">
        <v>1157</v>
      </c>
      <c r="E65" s="869"/>
      <c r="F65" s="1938">
        <f>'Expenditures 15-22'!G210</f>
        <v>22187</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47181</v>
      </c>
      <c r="G67" s="866"/>
    </row>
    <row r="68" spans="1:8" x14ac:dyDescent="0.2">
      <c r="A68" s="870" t="s">
        <v>482</v>
      </c>
      <c r="B68" s="870" t="s">
        <v>1555</v>
      </c>
      <c r="C68" s="887" t="str">
        <f>'Expenditures 15-22'!B218</f>
        <v>1225</v>
      </c>
      <c r="D68" s="893" t="str">
        <f>'Expenditures 15-22'!A218</f>
        <v>Special Education Programs - Pre-K</v>
      </c>
      <c r="E68" s="869"/>
      <c r="F68" s="1938">
        <f>'Expenditures 15-22'!K218</f>
        <v>2029</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147</v>
      </c>
      <c r="G71" s="866"/>
    </row>
    <row r="72" spans="1:8" x14ac:dyDescent="0.2">
      <c r="A72" s="870" t="s">
        <v>482</v>
      </c>
      <c r="B72" s="870" t="s">
        <v>2008</v>
      </c>
      <c r="C72" s="887">
        <f>'Expenditures 15-22'!B280</f>
        <v>3000</v>
      </c>
      <c r="D72" s="877" t="s">
        <v>469</v>
      </c>
      <c r="E72" s="869"/>
      <c r="F72" s="1938">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3183372</v>
      </c>
      <c r="G76" s="866"/>
    </row>
    <row r="77" spans="1:8" s="894" customFormat="1" ht="12" customHeight="1" thickTop="1" thickBot="1" x14ac:dyDescent="0.25">
      <c r="A77" s="1801"/>
      <c r="B77" s="1798"/>
      <c r="C77" s="1794"/>
      <c r="D77" s="1799" t="s">
        <v>2012</v>
      </c>
      <c r="E77" s="1796"/>
      <c r="F77" s="1802">
        <f>(F14-F76)</f>
        <v>9466164</v>
      </c>
      <c r="G77" s="870"/>
    </row>
    <row r="78" spans="1:8" s="894" customFormat="1" ht="12" customHeight="1" thickTop="1" x14ac:dyDescent="0.2">
      <c r="A78" s="1803"/>
      <c r="B78" s="1798"/>
      <c r="C78" s="1794"/>
      <c r="D78" s="1799" t="s">
        <v>2059</v>
      </c>
      <c r="E78" s="1796"/>
      <c r="F78" s="899">
        <v>1022.69</v>
      </c>
      <c r="G78" s="900"/>
      <c r="H78" s="870"/>
    </row>
    <row r="79" spans="1:8" s="894" customFormat="1" ht="12" customHeight="1" thickBot="1" x14ac:dyDescent="0.25">
      <c r="A79" s="1804"/>
      <c r="B79" s="1798"/>
      <c r="C79" s="1794"/>
      <c r="D79" s="1799" t="s">
        <v>2013</v>
      </c>
      <c r="E79" s="1796" t="s">
        <v>1015</v>
      </c>
      <c r="F79" s="1805">
        <f>IF(F78&gt;0,F77/F78," Complete Line 78")</f>
        <v>9256.1421349578068</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2142</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215852</v>
      </c>
      <c r="G94" s="913"/>
    </row>
    <row r="95" spans="1:7" x14ac:dyDescent="0.2">
      <c r="A95" s="909" t="s">
        <v>142</v>
      </c>
      <c r="B95" s="909" t="s">
        <v>177</v>
      </c>
      <c r="C95" s="911">
        <v>1700</v>
      </c>
      <c r="D95" s="919" t="str">
        <f>'Revenues 9-14'!A82</f>
        <v>Total District/School Activity Income</v>
      </c>
      <c r="E95" s="907"/>
      <c r="F95" s="1811">
        <f>SUM('Revenues 9-14'!C82,'Revenues 9-14'!D82)</f>
        <v>30248</v>
      </c>
      <c r="G95" s="913"/>
    </row>
    <row r="96" spans="1:7" x14ac:dyDescent="0.2">
      <c r="A96" s="909" t="s">
        <v>479</v>
      </c>
      <c r="B96" s="909" t="s">
        <v>178</v>
      </c>
      <c r="C96" s="911">
        <f>'Revenues 9-14'!B84</f>
        <v>1811</v>
      </c>
      <c r="D96" s="912" t="str">
        <f>'Revenues 9-14'!A84</f>
        <v>Rentals - Regular Textbooks</v>
      </c>
      <c r="E96" s="907"/>
      <c r="F96" s="1811">
        <f>'Revenues 9-14'!C84</f>
        <v>24870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40357</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486</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3317</v>
      </c>
      <c r="G104" s="913"/>
    </row>
    <row r="105" spans="1:7" x14ac:dyDescent="0.2">
      <c r="A105" s="909" t="s">
        <v>524</v>
      </c>
      <c r="B105" s="909" t="s">
        <v>842</v>
      </c>
      <c r="C105" s="914">
        <v>3100</v>
      </c>
      <c r="D105" s="920" t="str">
        <f>'Revenues 9-14'!A131</f>
        <v>Total Special Education</v>
      </c>
      <c r="E105" s="907"/>
      <c r="F105" s="1811">
        <f>SUM('Revenues 9-14'!C131:D131,'Revenues 9-14'!F131)</f>
        <v>184543</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3747</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400589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1515</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19625</v>
      </c>
      <c r="G128" s="931"/>
    </row>
    <row r="129" spans="1:7" x14ac:dyDescent="0.2">
      <c r="A129" s="928" t="s">
        <v>685</v>
      </c>
      <c r="B129" s="928" t="s">
        <v>803</v>
      </c>
      <c r="C129" s="933">
        <v>4200</v>
      </c>
      <c r="D129" s="930" t="str">
        <f>'Revenues 9-14'!A201</f>
        <v>Total Food Service</v>
      </c>
      <c r="E129" s="907"/>
      <c r="F129" s="1811">
        <f>SUM('Revenues 9-14'!C201,'Revenues 9-14'!G201)</f>
        <v>248147</v>
      </c>
      <c r="G129" s="931"/>
    </row>
    <row r="130" spans="1:7" x14ac:dyDescent="0.2">
      <c r="A130" s="928" t="s">
        <v>689</v>
      </c>
      <c r="B130" s="928" t="s">
        <v>804</v>
      </c>
      <c r="C130" s="933">
        <v>4300</v>
      </c>
      <c r="D130" s="934" t="str">
        <f>'Revenues 9-14'!A211</f>
        <v>Total Title I</v>
      </c>
      <c r="E130" s="907"/>
      <c r="F130" s="1811">
        <f>SUM('Revenues 9-14'!C211,'Revenues 9-14'!D211,'Revenues 9-14'!F211,'Revenues 9-14'!G211)</f>
        <v>273195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4635</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39829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23570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167587</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2058</v>
      </c>
      <c r="C175" s="1945">
        <v>3100</v>
      </c>
      <c r="D175" s="1946" t="s">
        <v>2061</v>
      </c>
      <c r="E175" s="907"/>
      <c r="F175" s="1930"/>
      <c r="G175" s="928"/>
    </row>
    <row r="176" spans="1:7" x14ac:dyDescent="0.2">
      <c r="A176" s="1943" t="s">
        <v>685</v>
      </c>
      <c r="B176" s="1944" t="s">
        <v>2058</v>
      </c>
      <c r="C176" s="1945">
        <v>3300</v>
      </c>
      <c r="D176" s="1946" t="s">
        <v>2062</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1684254</v>
      </c>
    </row>
    <row r="179" spans="1:7" ht="12" customHeight="1" x14ac:dyDescent="0.2">
      <c r="A179" s="1792"/>
      <c r="B179" s="1806"/>
      <c r="C179" s="1807"/>
      <c r="D179" s="1808" t="s">
        <v>2015</v>
      </c>
      <c r="E179" s="1809"/>
      <c r="F179" s="1811">
        <f>'PCTC-OEPP 27-28'!F77-F178</f>
        <v>7781910</v>
      </c>
    </row>
    <row r="180" spans="1:7" ht="12" customHeight="1" x14ac:dyDescent="0.2">
      <c r="A180" s="1792"/>
      <c r="B180" s="1806"/>
      <c r="C180" s="1807"/>
      <c r="D180" s="1808" t="s">
        <v>1924</v>
      </c>
      <c r="E180" s="1809"/>
      <c r="F180" s="1811">
        <f>'Cap Outlay Deprec 26'!I18</f>
        <v>487074</v>
      </c>
    </row>
    <row r="181" spans="1:7" ht="12" customHeight="1" x14ac:dyDescent="0.2">
      <c r="A181" s="1792"/>
      <c r="B181" s="1806"/>
      <c r="C181" s="1807"/>
      <c r="D181" s="1808" t="s">
        <v>2016</v>
      </c>
      <c r="E181" s="1809"/>
      <c r="F181" s="1811">
        <f>F179+F180</f>
        <v>8268984</v>
      </c>
    </row>
    <row r="182" spans="1:7" ht="12" customHeight="1" x14ac:dyDescent="0.2">
      <c r="A182" s="1792"/>
      <c r="B182" s="1812"/>
      <c r="C182" s="1807"/>
      <c r="D182" s="1808" t="str">
        <f>D78</f>
        <v>9 Month ADA from District Average Daily Attendance/Prior General State Aid Inquiry 2017-2018</v>
      </c>
      <c r="E182" s="1809"/>
      <c r="F182" s="1813">
        <f>'PCTC-OEPP 27-28'!F78</f>
        <v>1022.69</v>
      </c>
      <c r="G182" s="931"/>
    </row>
    <row r="183" spans="1:7" ht="12" customHeight="1" thickBot="1" x14ac:dyDescent="0.25">
      <c r="A183" s="1792"/>
      <c r="B183" s="1812"/>
      <c r="C183" s="1807"/>
      <c r="D183" s="1808" t="s">
        <v>2017</v>
      </c>
      <c r="E183" s="1809" t="s">
        <v>1626</v>
      </c>
      <c r="F183" s="1814">
        <f>F181/F182</f>
        <v>8085.5234724109941</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pane="bottomLeft" activeCell="A11" sqref="A11:G11"/>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1941</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3" t="s">
        <v>2097</v>
      </c>
      <c r="B17" s="1954" t="s">
        <v>2098</v>
      </c>
      <c r="C17" s="1955" t="s">
        <v>2099</v>
      </c>
      <c r="D17" s="1867">
        <v>1975</v>
      </c>
      <c r="E17" s="1562">
        <f t="shared" ref="E17:E141" si="1">IF(D17&lt;=25000,D17,IF(D17&gt;25000,25000,0))</f>
        <v>1975</v>
      </c>
      <c r="F17" s="1815">
        <f t="shared" si="0"/>
        <v>1975</v>
      </c>
      <c r="G17" s="1816">
        <f>IF(F17=0,0,D17-F17)</f>
        <v>0</v>
      </c>
      <c r="H17" s="1669"/>
    </row>
    <row r="18" spans="1:8" ht="30" x14ac:dyDescent="0.25">
      <c r="A18" s="1953" t="s">
        <v>2100</v>
      </c>
      <c r="B18" s="1954" t="s">
        <v>2101</v>
      </c>
      <c r="C18" s="1955" t="s">
        <v>2102</v>
      </c>
      <c r="D18" s="1867">
        <v>880</v>
      </c>
      <c r="E18" s="1562">
        <f t="shared" ref="E18:E140" si="2">IF(D18&lt;=25000,D18,IF(D18&gt;25000,25000,0))</f>
        <v>880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880</v>
      </c>
      <c r="G18" s="1816">
        <f t="shared" ref="G18:G140" si="4">IF(F18=0,0,D18-F18)</f>
        <v>0</v>
      </c>
    </row>
    <row r="19" spans="1:8" ht="30" x14ac:dyDescent="0.25">
      <c r="A19" s="1953" t="s">
        <v>2100</v>
      </c>
      <c r="B19" s="1954" t="s">
        <v>2101</v>
      </c>
      <c r="C19" s="1955" t="s">
        <v>2103</v>
      </c>
      <c r="D19" s="1867">
        <v>7260</v>
      </c>
      <c r="E19" s="1562">
        <f t="shared" si="2"/>
        <v>7260</v>
      </c>
      <c r="F19" s="1815">
        <f t="shared" si="3"/>
        <v>7260</v>
      </c>
      <c r="G19" s="1816">
        <f t="shared" si="4"/>
        <v>0</v>
      </c>
    </row>
    <row r="20" spans="1:8" ht="30" x14ac:dyDescent="0.25">
      <c r="A20" s="1953" t="s">
        <v>2100</v>
      </c>
      <c r="B20" s="1954" t="s">
        <v>2101</v>
      </c>
      <c r="C20" s="1955" t="s">
        <v>2104</v>
      </c>
      <c r="D20" s="1867">
        <v>1450</v>
      </c>
      <c r="E20" s="1562">
        <f t="shared" si="2"/>
        <v>1450</v>
      </c>
      <c r="F20" s="1815">
        <f t="shared" si="3"/>
        <v>1450</v>
      </c>
      <c r="G20" s="1816">
        <f t="shared" si="4"/>
        <v>0</v>
      </c>
    </row>
    <row r="21" spans="1:8" ht="30" x14ac:dyDescent="0.25">
      <c r="A21" s="1953" t="s">
        <v>2100</v>
      </c>
      <c r="B21" s="1954" t="s">
        <v>2101</v>
      </c>
      <c r="C21" s="1955" t="s">
        <v>2105</v>
      </c>
      <c r="D21" s="1867">
        <v>650</v>
      </c>
      <c r="E21" s="1562">
        <f t="shared" si="2"/>
        <v>650</v>
      </c>
      <c r="F21" s="1815">
        <f t="shared" si="3"/>
        <v>650</v>
      </c>
      <c r="G21" s="1816">
        <f t="shared" si="4"/>
        <v>0</v>
      </c>
    </row>
    <row r="22" spans="1:8" ht="30" x14ac:dyDescent="0.25">
      <c r="A22" s="1953" t="s">
        <v>2100</v>
      </c>
      <c r="B22" s="1954" t="s">
        <v>2101</v>
      </c>
      <c r="C22" s="1955" t="s">
        <v>2106</v>
      </c>
      <c r="D22" s="1867">
        <f>153+248+193+182+888+275</f>
        <v>1939</v>
      </c>
      <c r="E22" s="1562">
        <f t="shared" si="2"/>
        <v>1939</v>
      </c>
      <c r="F22" s="1815">
        <f t="shared" si="3"/>
        <v>1939</v>
      </c>
      <c r="G22" s="1816">
        <f t="shared" si="4"/>
        <v>0</v>
      </c>
    </row>
    <row r="23" spans="1:8" ht="30" x14ac:dyDescent="0.25">
      <c r="A23" s="1953" t="s">
        <v>2100</v>
      </c>
      <c r="B23" s="1954" t="s">
        <v>2101</v>
      </c>
      <c r="C23" s="1955" t="s">
        <v>2107</v>
      </c>
      <c r="D23" s="1867">
        <f>3935+1855+1917+1972+4689+1778</f>
        <v>16146</v>
      </c>
      <c r="E23" s="1562">
        <f t="shared" si="2"/>
        <v>16146</v>
      </c>
      <c r="F23" s="1815">
        <f t="shared" si="3"/>
        <v>16146</v>
      </c>
      <c r="G23" s="1816">
        <f t="shared" si="4"/>
        <v>0</v>
      </c>
    </row>
    <row r="24" spans="1:8" ht="30" x14ac:dyDescent="0.25">
      <c r="A24" s="1953" t="s">
        <v>2100</v>
      </c>
      <c r="B24" s="1954" t="s">
        <v>2101</v>
      </c>
      <c r="C24" s="1955" t="s">
        <v>2108</v>
      </c>
      <c r="D24" s="1867">
        <f>1199+2300+2460+1920+2820+1020</f>
        <v>11719</v>
      </c>
      <c r="E24" s="1562">
        <f t="shared" si="2"/>
        <v>11719</v>
      </c>
      <c r="F24" s="1815">
        <f t="shared" si="3"/>
        <v>11719</v>
      </c>
      <c r="G24" s="1816">
        <f t="shared" si="4"/>
        <v>0</v>
      </c>
    </row>
    <row r="25" spans="1:8" ht="30" x14ac:dyDescent="0.25">
      <c r="A25" s="1953" t="s">
        <v>2100</v>
      </c>
      <c r="B25" s="1954" t="s">
        <v>2101</v>
      </c>
      <c r="C25" s="1955" t="s">
        <v>2109</v>
      </c>
      <c r="D25" s="1867">
        <f>481+3380+3594+2294+8652</f>
        <v>18401</v>
      </c>
      <c r="E25" s="1562">
        <f t="shared" si="2"/>
        <v>18401</v>
      </c>
      <c r="F25" s="1815">
        <f t="shared" si="3"/>
        <v>18401</v>
      </c>
      <c r="G25" s="1816">
        <f t="shared" si="4"/>
        <v>0</v>
      </c>
    </row>
    <row r="26" spans="1:8" ht="30" x14ac:dyDescent="0.25">
      <c r="A26" s="1953" t="s">
        <v>2100</v>
      </c>
      <c r="B26" s="1954" t="s">
        <v>2101</v>
      </c>
      <c r="C26" s="1955" t="s">
        <v>2110</v>
      </c>
      <c r="D26" s="1867">
        <v>1302</v>
      </c>
      <c r="E26" s="1562">
        <f t="shared" si="2"/>
        <v>1302</v>
      </c>
      <c r="F26" s="1815">
        <f t="shared" si="3"/>
        <v>1302</v>
      </c>
      <c r="G26" s="1816">
        <f t="shared" si="4"/>
        <v>0</v>
      </c>
    </row>
    <row r="27" spans="1:8" ht="30" x14ac:dyDescent="0.25">
      <c r="A27" s="1953" t="s">
        <v>2100</v>
      </c>
      <c r="B27" s="1954" t="s">
        <v>2101</v>
      </c>
      <c r="C27" s="1955" t="s">
        <v>2111</v>
      </c>
      <c r="D27" s="1867">
        <v>21365</v>
      </c>
      <c r="E27" s="1562">
        <f t="shared" si="2"/>
        <v>21365</v>
      </c>
      <c r="F27" s="1815">
        <f t="shared" si="3"/>
        <v>21365</v>
      </c>
      <c r="G27" s="1816">
        <f t="shared" si="4"/>
        <v>0</v>
      </c>
    </row>
    <row r="28" spans="1:8" x14ac:dyDescent="0.25">
      <c r="A28" s="1675"/>
      <c r="B28" s="1868"/>
      <c r="C28" s="1676"/>
      <c r="D28" s="1867"/>
      <c r="E28" s="1562">
        <f t="shared" si="2"/>
        <v>0</v>
      </c>
      <c r="F28" s="1815">
        <f t="shared" si="3"/>
        <v>0</v>
      </c>
      <c r="G28" s="1816">
        <f t="shared" si="4"/>
        <v>0</v>
      </c>
    </row>
    <row r="29" spans="1:8" hidden="1" x14ac:dyDescent="0.25">
      <c r="A29" s="1675"/>
      <c r="B29" s="1868"/>
      <c r="C29" s="1676"/>
      <c r="D29" s="1867"/>
      <c r="E29" s="1562">
        <f t="shared" si="2"/>
        <v>0</v>
      </c>
      <c r="F29" s="1815">
        <f t="shared" si="3"/>
        <v>0</v>
      </c>
      <c r="G29" s="1816">
        <f t="shared" si="4"/>
        <v>0</v>
      </c>
    </row>
    <row r="30" spans="1:8" hidden="1" x14ac:dyDescent="0.25">
      <c r="A30" s="1675"/>
      <c r="B30" s="1868"/>
      <c r="C30" s="1676"/>
      <c r="D30" s="1867"/>
      <c r="E30" s="1562">
        <f t="shared" si="2"/>
        <v>0</v>
      </c>
      <c r="F30" s="1815">
        <f t="shared" si="3"/>
        <v>0</v>
      </c>
      <c r="G30" s="1816">
        <f t="shared" si="4"/>
        <v>0</v>
      </c>
    </row>
    <row r="31" spans="1:8" hidden="1" x14ac:dyDescent="0.25">
      <c r="A31" s="1675"/>
      <c r="B31" s="1868"/>
      <c r="C31" s="1676"/>
      <c r="D31" s="1867"/>
      <c r="E31" s="1562">
        <f t="shared" si="2"/>
        <v>0</v>
      </c>
      <c r="F31" s="1815">
        <f t="shared" si="3"/>
        <v>0</v>
      </c>
      <c r="G31" s="1816">
        <f t="shared" si="4"/>
        <v>0</v>
      </c>
    </row>
    <row r="32" spans="1:8" hidden="1" x14ac:dyDescent="0.25">
      <c r="A32" s="1675"/>
      <c r="B32" s="1868"/>
      <c r="C32" s="1676"/>
      <c r="D32" s="1867"/>
      <c r="E32" s="1562">
        <f t="shared" si="2"/>
        <v>0</v>
      </c>
      <c r="F32" s="1815">
        <f t="shared" si="3"/>
        <v>0</v>
      </c>
      <c r="G32" s="1816">
        <f t="shared" si="4"/>
        <v>0</v>
      </c>
    </row>
    <row r="33" spans="1:7" hidden="1" x14ac:dyDescent="0.25">
      <c r="A33" s="1675"/>
      <c r="B33" s="1868"/>
      <c r="C33" s="1676"/>
      <c r="D33" s="1867"/>
      <c r="E33" s="1562">
        <f t="shared" si="2"/>
        <v>0</v>
      </c>
      <c r="F33" s="1815">
        <f t="shared" si="3"/>
        <v>0</v>
      </c>
      <c r="G33" s="1816">
        <f t="shared" si="4"/>
        <v>0</v>
      </c>
    </row>
    <row r="34" spans="1:7" hidden="1" x14ac:dyDescent="0.25">
      <c r="A34" s="1675"/>
      <c r="B34" s="1868"/>
      <c r="C34" s="1676"/>
      <c r="D34" s="1867"/>
      <c r="E34" s="1562">
        <f t="shared" si="2"/>
        <v>0</v>
      </c>
      <c r="F34" s="1815">
        <f t="shared" si="3"/>
        <v>0</v>
      </c>
      <c r="G34" s="1816">
        <f t="shared" si="4"/>
        <v>0</v>
      </c>
    </row>
    <row r="35" spans="1:7" hidden="1" x14ac:dyDescent="0.25">
      <c r="A35" s="1675"/>
      <c r="B35" s="1868"/>
      <c r="C35" s="1676"/>
      <c r="D35" s="1867"/>
      <c r="E35" s="1562">
        <f t="shared" si="2"/>
        <v>0</v>
      </c>
      <c r="F35" s="1815">
        <f t="shared" si="3"/>
        <v>0</v>
      </c>
      <c r="G35" s="1816">
        <f t="shared" si="4"/>
        <v>0</v>
      </c>
    </row>
    <row r="36" spans="1:7" hidden="1" x14ac:dyDescent="0.25">
      <c r="A36" s="1675"/>
      <c r="B36" s="1868"/>
      <c r="C36" s="1676"/>
      <c r="D36" s="1867"/>
      <c r="E36" s="1562">
        <f t="shared" si="2"/>
        <v>0</v>
      </c>
      <c r="F36" s="1815">
        <f t="shared" si="3"/>
        <v>0</v>
      </c>
      <c r="G36" s="1816">
        <f t="shared" si="4"/>
        <v>0</v>
      </c>
    </row>
    <row r="37" spans="1:7" hidden="1" x14ac:dyDescent="0.25">
      <c r="A37" s="1675"/>
      <c r="B37" s="1868"/>
      <c r="C37" s="1676"/>
      <c r="D37" s="1867"/>
      <c r="E37" s="1562">
        <f t="shared" si="2"/>
        <v>0</v>
      </c>
      <c r="F37" s="1815">
        <f t="shared" si="3"/>
        <v>0</v>
      </c>
      <c r="G37" s="1816">
        <f t="shared" si="4"/>
        <v>0</v>
      </c>
    </row>
    <row r="38" spans="1:7" hidden="1" x14ac:dyDescent="0.25">
      <c r="A38" s="1675"/>
      <c r="B38" s="1689"/>
      <c r="C38" s="1676"/>
      <c r="D38" s="1867"/>
      <c r="E38" s="1562">
        <f t="shared" si="2"/>
        <v>0</v>
      </c>
      <c r="F38" s="1815">
        <f t="shared" si="3"/>
        <v>0</v>
      </c>
      <c r="G38" s="1816">
        <f t="shared" si="4"/>
        <v>0</v>
      </c>
    </row>
    <row r="39" spans="1:7" hidden="1" x14ac:dyDescent="0.25">
      <c r="A39" s="1675"/>
      <c r="B39" s="1689"/>
      <c r="C39" s="1676"/>
      <c r="D39" s="1867"/>
      <c r="E39" s="1562">
        <f t="shared" si="2"/>
        <v>0</v>
      </c>
      <c r="F39" s="1815">
        <f t="shared" si="3"/>
        <v>0</v>
      </c>
      <c r="G39" s="1816">
        <f t="shared" si="4"/>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hidden="1" x14ac:dyDescent="0.25">
      <c r="A133" s="1675"/>
      <c r="B133" s="1689"/>
      <c r="C133" s="1676"/>
      <c r="D133" s="1867"/>
      <c r="E133" s="1562">
        <f t="shared" si="23"/>
        <v>0</v>
      </c>
      <c r="F133" s="1815">
        <f t="shared" si="24"/>
        <v>0</v>
      </c>
      <c r="G133" s="1816">
        <f t="shared" si="25"/>
        <v>0</v>
      </c>
    </row>
    <row r="134" spans="1:7" hidden="1" x14ac:dyDescent="0.25">
      <c r="A134" s="1675"/>
      <c r="B134" s="1689"/>
      <c r="C134" s="1676"/>
      <c r="D134" s="1867"/>
      <c r="E134" s="1562">
        <f t="shared" si="23"/>
        <v>0</v>
      </c>
      <c r="F134" s="1815">
        <f t="shared" si="24"/>
        <v>0</v>
      </c>
      <c r="G134" s="1816">
        <f t="shared" si="25"/>
        <v>0</v>
      </c>
    </row>
    <row r="135" spans="1:7" hidden="1"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hidden="1" x14ac:dyDescent="0.25">
      <c r="A136" s="1675"/>
      <c r="B136" s="1689"/>
      <c r="C136" s="1676"/>
      <c r="D136" s="1867"/>
      <c r="E136" s="1562">
        <f t="shared" si="26"/>
        <v>0</v>
      </c>
      <c r="F136" s="1815">
        <f t="shared" si="27"/>
        <v>0</v>
      </c>
      <c r="G136" s="1816">
        <f t="shared" si="28"/>
        <v>0</v>
      </c>
    </row>
    <row r="137" spans="1:7" hidden="1" x14ac:dyDescent="0.25">
      <c r="A137" s="1675"/>
      <c r="B137" s="1689"/>
      <c r="C137" s="1676"/>
      <c r="D137" s="1867"/>
      <c r="E137" s="1562">
        <f t="shared" si="26"/>
        <v>0</v>
      </c>
      <c r="F137" s="1815">
        <f t="shared" si="27"/>
        <v>0</v>
      </c>
      <c r="G137" s="1816">
        <f t="shared" si="28"/>
        <v>0</v>
      </c>
    </row>
    <row r="138" spans="1:7" hidden="1" x14ac:dyDescent="0.25">
      <c r="A138" s="1675"/>
      <c r="B138" s="1689"/>
      <c r="C138" s="1676"/>
      <c r="D138" s="1867"/>
      <c r="E138" s="1562">
        <f t="shared" si="26"/>
        <v>0</v>
      </c>
      <c r="F138" s="1815">
        <f t="shared" si="27"/>
        <v>0</v>
      </c>
      <c r="G138" s="1816">
        <f t="shared" si="28"/>
        <v>0</v>
      </c>
    </row>
    <row r="139" spans="1:7" hidden="1" x14ac:dyDescent="0.25">
      <c r="A139" s="1675"/>
      <c r="B139" s="1689"/>
      <c r="C139" s="1676"/>
      <c r="D139" s="1867"/>
      <c r="E139" s="1562">
        <f t="shared" si="26"/>
        <v>0</v>
      </c>
      <c r="F139" s="1815">
        <f t="shared" si="27"/>
        <v>0</v>
      </c>
      <c r="G139" s="1816">
        <f t="shared" si="28"/>
        <v>0</v>
      </c>
    </row>
    <row r="140" spans="1:7" hidden="1"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83087</v>
      </c>
      <c r="E141" s="1563">
        <f t="shared" si="1"/>
        <v>25000</v>
      </c>
      <c r="F141" s="1817">
        <f>SUM(F17:F140)</f>
        <v>83087</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D27" sqref="D2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4" t="s">
        <v>1945</v>
      </c>
      <c r="B11" s="2305"/>
      <c r="C11" s="2305"/>
      <c r="D11" s="2306"/>
      <c r="E11" s="978">
        <v>42752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6229309</v>
      </c>
      <c r="F19" s="1822"/>
      <c r="G19" s="1824">
        <f>'Expenditures 15-22'!K33-SUM('Expenditures 15-22'!G33,'Expenditures 15-22'!I33)+'Expenditures 15-22'!D229</f>
        <v>6229309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394843</v>
      </c>
      <c r="F21" s="1825"/>
      <c r="G21" s="1828">
        <f>'Expenditures 15-22'!K42-SUM('Expenditures 15-22'!G42,'Expenditures 15-22'!I42)+'Expenditures 15-22'!K120-SUM('Expenditures 15-22'!G120,'Expenditures 15-22'!I120)+'Expenditures 15-22'!K180-SUM('Expenditures 15-22'!G180,'Expenditures 15-22'!I180)+'Expenditures 15-22'!D238</f>
        <v>394843</v>
      </c>
      <c r="H21" s="988"/>
      <c r="I21" s="162"/>
    </row>
    <row r="22" spans="1:9" s="669" customFormat="1" ht="12" customHeight="1" x14ac:dyDescent="0.2">
      <c r="A22" s="995" t="s">
        <v>585</v>
      </c>
      <c r="B22" s="996"/>
      <c r="C22" s="994">
        <v>2200</v>
      </c>
      <c r="D22" s="1825"/>
      <c r="E22" s="1827">
        <f>'Expenditures 15-22'!K47-SUM('Expenditures 15-22'!G47,'Expenditures 15-22'!I47)+'Expenditures 15-22'!D243</f>
        <v>261473</v>
      </c>
      <c r="F22" s="1825"/>
      <c r="G22" s="1828">
        <f>'Expenditures 15-22'!K47-SUM('Expenditures 15-22'!G47,'Expenditures 15-22'!I47)+'Expenditures 15-22'!D243</f>
        <v>261473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1103032</v>
      </c>
      <c r="F23" s="1825"/>
      <c r="G23" s="1827">
        <f>'Expenditures 15-22'!K53-SUM('Expenditures 15-22'!G53,'Expenditures 15-22'!I53)+'Expenditures 15-22'!D257+'Expenditures 15-22'!K330-SUM('Expenditures 15-22'!G330,'Expenditures 15-22'!I330)</f>
        <v>1103032</v>
      </c>
      <c r="H23" s="988"/>
      <c r="I23" s="162"/>
    </row>
    <row r="24" spans="1:9" s="669" customFormat="1" ht="12" customHeight="1" x14ac:dyDescent="0.2">
      <c r="A24" s="995" t="s">
        <v>587</v>
      </c>
      <c r="B24" s="996"/>
      <c r="C24" s="994">
        <v>2400</v>
      </c>
      <c r="D24" s="1825"/>
      <c r="E24" s="1827">
        <f>'Expenditures 15-22'!K57-SUM('Expenditures 15-22'!G57,'Expenditures 15-22'!I57)+'Expenditures 15-22'!D261</f>
        <v>520912</v>
      </c>
      <c r="F24" s="1825"/>
      <c r="G24" s="1828">
        <f>'Expenditures 15-22'!K57-SUM('Expenditures 15-22'!G57,'Expenditures 15-22'!I57)+'Expenditures 15-22'!D261</f>
        <v>520912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107168</v>
      </c>
      <c r="E27" s="1827">
        <f>E8</f>
        <v>0</v>
      </c>
      <c r="F27" s="1827">
        <f>'Expenditures 15-22'!K60-SUM('Expenditures 15-22'!G60,'Expenditures 15-22'!I60)+'Expenditures 15-22'!D264-E8</f>
        <v>107168</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707927</v>
      </c>
      <c r="F28" s="1829">
        <f>'Expenditures 15-22'!K61-SUM('Expenditures 15-22'!G61,'Expenditures 15-22'!I61)+'Expenditures 15-22'!K124-SUM('Expenditures 15-22'!G124,'Expenditures 15-22'!I124)+'Expenditures 15-22'!D266-E9</f>
        <v>707927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665237</v>
      </c>
      <c r="F29" s="1825"/>
      <c r="G29" s="1828">
        <f>'Expenditures 15-22'!K62-SUM('Expenditures 15-22'!G62,'Expenditures 15-22'!I62)+'Expenditures 15-22'!K125-SUM('Expenditures 15-22'!G125,'Expenditures 15-22'!I125)+'Expenditures 15-22'!K182-SUM('Expenditures 15-22'!G182,'Expenditures 15-22'!I182)+'Expenditures 15-22'!D267</f>
        <v>665237</v>
      </c>
      <c r="H29" s="986"/>
    </row>
    <row r="30" spans="1:9" ht="12" customHeight="1" x14ac:dyDescent="0.2">
      <c r="A30" s="995" t="s">
        <v>102</v>
      </c>
      <c r="B30" s="998"/>
      <c r="C30" s="994">
        <v>2560</v>
      </c>
      <c r="D30" s="1825"/>
      <c r="E30" s="1827">
        <f>'Expenditures 15-22'!K63-SUM('Expenditures 15-22'!G63,'Expenditures 15-22'!I63)+'Expenditures 15-22'!D268-E10</f>
        <v>384591</v>
      </c>
      <c r="F30" s="1825"/>
      <c r="G30" s="1827">
        <f>'Expenditures 15-22'!K63-SUM('Expenditures 15-22'!G63,'Expenditures 15-22'!I63)+'Expenditures 15-22'!D268-E10</f>
        <v>384591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107168</v>
      </c>
      <c r="E41" s="1829">
        <f>SUM(E19:E40)</f>
        <v>10267324</v>
      </c>
      <c r="F41" s="1829">
        <f>SUM(F19:F39)</f>
        <v>815095</v>
      </c>
      <c r="G41" s="1829">
        <f>SUM(G19:G40)</f>
        <v>9559397</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107168</v>
      </c>
      <c r="F43" s="1830" t="s">
        <v>495</v>
      </c>
      <c r="G43" s="1831">
        <f>F41</f>
        <v>815095</v>
      </c>
    </row>
    <row r="44" spans="1:7" ht="12" customHeight="1" x14ac:dyDescent="0.2">
      <c r="A44" s="988"/>
      <c r="B44" s="162"/>
      <c r="C44" s="1002"/>
      <c r="D44" s="1830" t="s">
        <v>494</v>
      </c>
      <c r="E44" s="1831">
        <f>E41</f>
        <v>10267324</v>
      </c>
      <c r="F44" s="1830" t="s">
        <v>494</v>
      </c>
      <c r="G44" s="1831">
        <f>G41</f>
        <v>9559397</v>
      </c>
    </row>
    <row r="45" spans="1:7" ht="12" customHeight="1" x14ac:dyDescent="0.2">
      <c r="A45" s="988"/>
      <c r="B45" s="162"/>
      <c r="C45" s="162"/>
      <c r="D45" s="1832" t="s">
        <v>1063</v>
      </c>
      <c r="E45" s="1833">
        <f>(E43/E44)</f>
        <v>1.0437773269841294E-2</v>
      </c>
      <c r="F45" s="1832" t="s">
        <v>1063</v>
      </c>
      <c r="G45" s="1833">
        <f>(G43/G44)</f>
        <v>8.5266361466105028E-2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47" sqref="A47"/>
      <selection pane="bottomLeft" activeCell="C32" sqref="C32"/>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7109375" style="1902" bestFit="1" customWidth="1"/>
    <col min="9" max="9" width="3" style="1902" bestFit="1" customWidth="1"/>
    <col min="10" max="10" width="2.140625" style="1902" bestFit="1" customWidth="1"/>
    <col min="11" max="11" width="9" style="1902" customWidth="1"/>
    <col min="12" max="16384" width="9.140625" style="1871"/>
  </cols>
  <sheetData>
    <row r="1" spans="1:10" x14ac:dyDescent="0.2">
      <c r="A1" s="2310" t="s">
        <v>1446</v>
      </c>
      <c r="B1" s="2310"/>
      <c r="C1" s="2310"/>
      <c r="D1" s="2310"/>
      <c r="E1" s="2310"/>
      <c r="F1" s="2310"/>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1" t="s">
        <v>1627</v>
      </c>
      <c r="B5" s="2312"/>
      <c r="C5" s="2313"/>
      <c r="D5" s="2313"/>
      <c r="E5" s="2313"/>
      <c r="F5" s="2313"/>
    </row>
    <row r="6" spans="1:10" ht="12" customHeight="1" x14ac:dyDescent="0.25">
      <c r="A6" s="1874"/>
      <c r="B6" s="1875"/>
      <c r="C6" s="2314" t="str">
        <f>COVER!A17</f>
        <v>Princeton ESD 115</v>
      </c>
      <c r="D6" s="2314"/>
      <c r="E6" s="2314"/>
      <c r="F6" s="1876"/>
    </row>
    <row r="7" spans="1:10" ht="11.25" customHeight="1" thickBot="1" x14ac:dyDescent="0.3">
      <c r="A7" s="1874"/>
      <c r="B7" s="1875"/>
      <c r="C7" s="2315">
        <f>COVER!A13</f>
        <v>28006115002</v>
      </c>
      <c r="D7" s="2315"/>
      <c r="E7" s="2315"/>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2077</v>
      </c>
      <c r="D26" s="1889" t="s">
        <v>2077</v>
      </c>
      <c r="E26" s="1892"/>
      <c r="F26" s="1891" t="s">
        <v>2095</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t="s">
        <v>2077</v>
      </c>
      <c r="D31" s="1889" t="s">
        <v>2077</v>
      </c>
      <c r="E31" s="1892"/>
      <c r="F31" s="1891" t="s">
        <v>2096</v>
      </c>
      <c r="H31" s="1902">
        <f t="shared" si="0"/>
        <v>5</v>
      </c>
      <c r="I31" s="1902">
        <f t="shared" si="1"/>
        <v>5</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10</v>
      </c>
      <c r="I34" s="1902">
        <f>SUM(I11:I32)</f>
        <v>10</v>
      </c>
      <c r="J34" s="1902">
        <f>SUM(J11:J32)</f>
        <v>0</v>
      </c>
      <c r="K34" s="1902">
        <f>SUM(H34:J34)</f>
        <v>20</v>
      </c>
    </row>
    <row r="35" spans="1:11" ht="12" customHeight="1" x14ac:dyDescent="0.2">
      <c r="A35" s="1895" t="s">
        <v>1459</v>
      </c>
      <c r="B35" s="1896"/>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7"/>
      <c r="B39" s="1897"/>
      <c r="C39" s="1897"/>
      <c r="D39" s="1897"/>
      <c r="E39" s="1897"/>
      <c r="F39" s="1897"/>
    </row>
    <row r="40" spans="1:11" s="1894" customFormat="1" ht="12" customHeight="1" x14ac:dyDescent="0.25">
      <c r="A40" s="1898" t="s">
        <v>1458</v>
      </c>
      <c r="B40" s="1899"/>
      <c r="C40" s="2324"/>
      <c r="D40" s="2324"/>
      <c r="E40" s="2324"/>
      <c r="F40" s="2325"/>
      <c r="H40" s="1903"/>
      <c r="I40" s="1903"/>
      <c r="J40" s="1903"/>
      <c r="K40" s="1903"/>
    </row>
    <row r="41" spans="1:11" s="1894" customFormat="1" ht="12" customHeight="1" x14ac:dyDescent="0.25">
      <c r="A41" s="2326"/>
      <c r="B41" s="2327"/>
      <c r="C41" s="2327"/>
      <c r="D41" s="2327"/>
      <c r="E41" s="2327"/>
      <c r="F41" s="2328"/>
      <c r="H41" s="1903"/>
      <c r="I41" s="1903"/>
      <c r="J41" s="1903"/>
      <c r="K41" s="1903"/>
    </row>
    <row r="42" spans="1:11" s="1894" customFormat="1" ht="12" customHeight="1" x14ac:dyDescent="0.25">
      <c r="A42" s="2326"/>
      <c r="B42" s="2327"/>
      <c r="C42" s="2327"/>
      <c r="D42" s="2327"/>
      <c r="E42" s="2327"/>
      <c r="F42" s="2328"/>
      <c r="H42" s="1903"/>
      <c r="I42" s="1903"/>
      <c r="J42" s="1903"/>
      <c r="K42" s="1903"/>
    </row>
    <row r="43" spans="1:11" s="1894" customFormat="1" ht="15" x14ac:dyDescent="0.25">
      <c r="A43" s="2318"/>
      <c r="B43" s="2319"/>
      <c r="C43" s="2319"/>
      <c r="D43" s="2319"/>
      <c r="E43" s="2319"/>
      <c r="F43" s="2320"/>
      <c r="H43" s="1903"/>
      <c r="I43" s="1903"/>
      <c r="J43" s="1903"/>
      <c r="K43" s="1903"/>
    </row>
    <row r="44" spans="1:11" s="1894" customFormat="1" ht="12" hidden="1" customHeight="1" x14ac:dyDescent="0.25">
      <c r="A44" s="2318"/>
      <c r="B44" s="2319"/>
      <c r="C44" s="2319"/>
      <c r="D44" s="2319"/>
      <c r="E44" s="2319"/>
      <c r="F44" s="232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4" t="str">
        <f>COVER!A17</f>
        <v>Princeton ESD 115</v>
      </c>
      <c r="J6" s="2335"/>
      <c r="Q6" s="1686"/>
    </row>
    <row r="7" spans="1:17" x14ac:dyDescent="0.2">
      <c r="A7" s="2336" t="s">
        <v>924</v>
      </c>
      <c r="B7" s="2337"/>
      <c r="C7" s="2337"/>
      <c r="D7" s="2337"/>
      <c r="E7" s="2338"/>
      <c r="F7" s="1018"/>
      <c r="G7" s="1010"/>
      <c r="H7" s="1017" t="s">
        <v>390</v>
      </c>
      <c r="I7" s="2339">
        <f>COVER!A13</f>
        <v>28006115002</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211006</v>
      </c>
      <c r="F12" s="1040"/>
      <c r="G12" s="1834">
        <f t="shared" ref="G12:G18" si="0">SUM(E12:F12)</f>
        <v>211006</v>
      </c>
      <c r="H12" s="1041">
        <v>209201</v>
      </c>
      <c r="I12" s="1040"/>
      <c r="J12" s="1834">
        <f t="shared" ref="J12:J18" si="1">SUM(H12:I12)</f>
        <v>209201</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211006</v>
      </c>
      <c r="F19" s="1836">
        <f t="shared" si="2"/>
        <v>0</v>
      </c>
      <c r="G19" s="1836">
        <f t="shared" si="2"/>
        <v>211006</v>
      </c>
      <c r="H19" s="1836">
        <f t="shared" si="2"/>
        <v>209201</v>
      </c>
      <c r="I19" s="1836">
        <f t="shared" si="2"/>
        <v>0</v>
      </c>
      <c r="J19" s="1836">
        <f t="shared" si="2"/>
        <v>209201</v>
      </c>
    </row>
    <row r="20" spans="1:10" ht="13.5" thickTop="1" x14ac:dyDescent="0.2">
      <c r="A20" s="1036">
        <v>9</v>
      </c>
      <c r="B20" s="2346" t="s">
        <v>1703</v>
      </c>
      <c r="C20" s="2346"/>
      <c r="D20" s="2347"/>
      <c r="E20" s="1047"/>
      <c r="F20" s="1047"/>
      <c r="G20" s="1047"/>
      <c r="H20" s="1047"/>
      <c r="I20" s="1047"/>
      <c r="J20" s="1837">
        <f>IF(AND(G19&gt;0,J19&gt;0),(((J19-G19)/G19)),"Enter Budget Data")</f>
        <v>-8.5542591205937275E-3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1944</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4" sqref="B1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2112</v>
      </c>
    </row>
    <row r="6" spans="1:2" x14ac:dyDescent="0.2">
      <c r="A6" s="1069">
        <v>2</v>
      </c>
      <c r="B6" s="329" t="s">
        <v>2113</v>
      </c>
    </row>
    <row r="7" spans="1:2" x14ac:dyDescent="0.2">
      <c r="A7" s="1069">
        <v>3</v>
      </c>
      <c r="B7" s="329" t="s">
        <v>2116</v>
      </c>
    </row>
    <row r="8" spans="1:2" x14ac:dyDescent="0.2">
      <c r="A8" s="1069">
        <v>4</v>
      </c>
      <c r="B8" s="329" t="s">
        <v>2117</v>
      </c>
    </row>
    <row r="9" spans="1:2" x14ac:dyDescent="0.2">
      <c r="A9" s="1069">
        <v>5</v>
      </c>
      <c r="B9" s="329" t="s">
        <v>2118</v>
      </c>
    </row>
    <row r="10" spans="1:2" x14ac:dyDescent="0.2">
      <c r="A10" s="1069">
        <v>6</v>
      </c>
      <c r="B10" s="329" t="s">
        <v>2114</v>
      </c>
    </row>
    <row r="11" spans="1:2" x14ac:dyDescent="0.2">
      <c r="A11" s="1070"/>
      <c r="B11" s="329" t="s">
        <v>2115</v>
      </c>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Princeton ESD 115</v>
      </c>
    </row>
    <row r="65" spans="2:2" x14ac:dyDescent="0.2">
      <c r="B65" s="1071">
        <f>COVER!A13</f>
        <v>28006115002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8" t="s">
        <v>1125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715</v>
      </c>
      <c r="B40" s="2065"/>
      <c r="C40" s="2065"/>
      <c r="D40" s="2065"/>
      <c r="E40" s="2065"/>
    </row>
    <row r="41" spans="1:5" x14ac:dyDescent="0.2">
      <c r="A41" s="2066" t="s">
        <v>1706</v>
      </c>
      <c r="B41" s="2066"/>
      <c r="C41" s="2066"/>
      <c r="D41" s="2066"/>
      <c r="E41" s="2066"/>
    </row>
    <row r="42" spans="1:5" ht="12.75" customHeight="1" x14ac:dyDescent="0.2">
      <c r="A42" s="2067" t="s">
        <v>1080</v>
      </c>
      <c r="B42" s="2067"/>
      <c r="C42" s="2067"/>
      <c r="D42" s="2067"/>
      <c r="E42" s="206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2056</v>
      </c>
      <c r="B4" s="2374"/>
      <c r="C4" s="2374"/>
      <c r="D4" s="2374"/>
      <c r="E4" s="2374"/>
      <c r="F4" s="2375"/>
      <c r="G4" s="1075"/>
      <c r="H4" s="1075"/>
    </row>
    <row r="5" spans="1:8" ht="14.25" customHeight="1" x14ac:dyDescent="0.2">
      <c r="A5" s="2376" t="s">
        <v>2057</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7807735</v>
      </c>
      <c r="C8" s="1838">
        <f>'Acct Summary 7-8'!D8</f>
        <v>657535</v>
      </c>
      <c r="D8" s="1838">
        <f>'Acct Summary 7-8'!F8</f>
        <v>810179</v>
      </c>
      <c r="E8" s="1838">
        <f>'Acct Summary 7-8'!I8</f>
        <v>128025</v>
      </c>
      <c r="F8" s="1838">
        <f>SUM(B8:E8)</f>
        <v>9403474</v>
      </c>
    </row>
    <row r="9" spans="1:8" s="1080" customFormat="1" ht="14.25" customHeight="1" thickBot="1" x14ac:dyDescent="0.25">
      <c r="A9" s="1079" t="s">
        <v>1436</v>
      </c>
      <c r="B9" s="1839">
        <f>'Acct Summary 7-8'!C17</f>
        <v>8456813</v>
      </c>
      <c r="C9" s="1839">
        <f>'Acct Summary 7-8'!D17</f>
        <v>668354</v>
      </c>
      <c r="D9" s="1839">
        <f>'Acct Summary 7-8'!F17</f>
        <v>626199</v>
      </c>
      <c r="E9" s="1838"/>
      <c r="F9" s="1838">
        <f>SUM(B9:E9)</f>
        <v>9751366</v>
      </c>
    </row>
    <row r="10" spans="1:8" s="1080" customFormat="1" ht="14.25" thickTop="1" thickBot="1" x14ac:dyDescent="0.25">
      <c r="A10" s="1081" t="s">
        <v>1437</v>
      </c>
      <c r="B10" s="1840">
        <f>(B8-B9)</f>
        <v>-649078</v>
      </c>
      <c r="C10" s="1840">
        <f>(C8-C9)</f>
        <v>-10819</v>
      </c>
      <c r="D10" s="1840">
        <f>(D8-D9)</f>
        <v>183980</v>
      </c>
      <c r="E10" s="1839">
        <f>(E8-E9)</f>
        <v>128025</v>
      </c>
      <c r="F10" s="1841">
        <f>SUM(F8-F9)</f>
        <v>-347892</v>
      </c>
    </row>
    <row r="11" spans="1:8" s="1080" customFormat="1" ht="14.25" thickTop="1" thickBot="1" x14ac:dyDescent="0.25">
      <c r="A11" s="1082" t="s">
        <v>1785</v>
      </c>
      <c r="B11" s="1842">
        <f>'Acct Summary 7-8'!C81</f>
        <v>650203</v>
      </c>
      <c r="C11" s="1842">
        <f>'Acct Summary 7-8'!D81</f>
        <v>110072</v>
      </c>
      <c r="D11" s="1842">
        <f>'Acct Summary 7-8'!F81</f>
        <v>350966</v>
      </c>
      <c r="E11" s="1842">
        <f>'Acct Summary 7-8'!I81</f>
        <v>156456</v>
      </c>
      <c r="F11" s="1843">
        <f>SUM(B11:E11)</f>
        <v>1267697</v>
      </c>
    </row>
    <row r="12" spans="1:8" ht="16.5" customHeight="1" thickTop="1" x14ac:dyDescent="0.2">
      <c r="A12" s="1083"/>
      <c r="B12" s="1084"/>
      <c r="C12" s="2358" t="str">
        <f>IF(AND(F10&lt;0,F11&gt;=0,ABS(F10*3)&gt;ABS(F11)),A16,IF(AND(F10&lt;0,F11&gt;0,ABS(F10*3)&lt;=ABS(F11)),A17,IF(AND(F10&lt;0,F11&lt;0),A16,IF(F11=0,A19,A18))))</f>
        <v>Unbalanced -  however, a deficit reduction plan is not required at this time.</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28006115002</v>
      </c>
    </row>
    <row r="3" spans="1:2" x14ac:dyDescent="0.2">
      <c r="A3" t="s">
        <v>1013</v>
      </c>
      <c r="B3" s="138" t="str">
        <f>COVER!A15</f>
        <v>BUREAU</v>
      </c>
    </row>
    <row r="4" spans="1:2" x14ac:dyDescent="0.2">
      <c r="A4" t="s">
        <v>1064</v>
      </c>
      <c r="B4" s="138" t="str">
        <f>COVER!A17</f>
        <v>Princeton ESD 115</v>
      </c>
    </row>
    <row r="5" spans="1:2" x14ac:dyDescent="0.2">
      <c r="A5" t="s">
        <v>728</v>
      </c>
      <c r="B5" s="138" t="str">
        <f>COVER!A38</f>
        <v>TIMOTHY SMITH</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66.004501000000005</v>
      </c>
    </row>
    <row r="16" spans="1:2" x14ac:dyDescent="0.2">
      <c r="A16" t="s">
        <v>442</v>
      </c>
      <c r="B16" s="138" t="str">
        <f>COVER!T13</f>
        <v>HOPKINS &amp; ASSOCIATES, CPAS</v>
      </c>
    </row>
    <row r="17" spans="1:2" x14ac:dyDescent="0.2">
      <c r="A17" t="s">
        <v>939</v>
      </c>
      <c r="B17" s="138" t="str">
        <f>COVER!T15</f>
        <v>JOEL HOPKINS</v>
      </c>
    </row>
    <row r="18" spans="1:2" x14ac:dyDescent="0.2">
      <c r="A18" t="s">
        <v>1212</v>
      </c>
      <c r="B18" s="138" t="str">
        <f>COVER!T17</f>
        <v>314 S. MCCOY STREET</v>
      </c>
    </row>
    <row r="19" spans="1:2" x14ac:dyDescent="0.2">
      <c r="A19" t="s">
        <v>941</v>
      </c>
      <c r="B19" s="138" t="str">
        <f>COVER!T25</f>
        <v>JOEL@HOPKINSOFFICE.COM</v>
      </c>
    </row>
    <row r="20" spans="1:2" x14ac:dyDescent="0.2">
      <c r="A20" t="s">
        <v>942</v>
      </c>
      <c r="B20" s="138" t="str">
        <f>COVER!T19</f>
        <v>GRANVILLE</v>
      </c>
    </row>
    <row r="21" spans="1:2" x14ac:dyDescent="0.2">
      <c r="A21" t="s">
        <v>500</v>
      </c>
      <c r="B21" s="138" t="str">
        <f>COVER!X19</f>
        <v>IL</v>
      </c>
    </row>
    <row r="22" spans="1:2" x14ac:dyDescent="0.2">
      <c r="A22" t="s">
        <v>943</v>
      </c>
      <c r="B22" s="138">
        <f>COVER!Z19</f>
        <v>61326</v>
      </c>
    </row>
    <row r="23" spans="1:2" x14ac:dyDescent="0.2">
      <c r="A23" t="s">
        <v>1214</v>
      </c>
      <c r="B23" s="138" t="str">
        <f>COVER!T21</f>
        <v>815-339-6630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650203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609207</v>
      </c>
      <c r="D92" s="2" t="str">
        <f t="shared" si="0"/>
        <v>Error?</v>
      </c>
    </row>
    <row r="93" spans="1:4" x14ac:dyDescent="0.2">
      <c r="A93" s="5">
        <v>32</v>
      </c>
      <c r="B93" s="138">
        <f>'Assets-Liab 5-6'!C41</f>
        <v>650203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110072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110072</v>
      </c>
      <c r="D123" s="2" t="str">
        <f t="shared" si="0"/>
        <v>Error?</v>
      </c>
    </row>
    <row r="124" spans="1:4" x14ac:dyDescent="0.2">
      <c r="A124" s="5">
        <v>63</v>
      </c>
      <c r="B124" s="138">
        <f>'Assets-Liab 5-6'!D41</f>
        <v>110072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62696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62696</v>
      </c>
      <c r="D140" s="2" t="str">
        <f t="shared" si="1"/>
        <v>Error?</v>
      </c>
    </row>
    <row r="141" spans="1:4" x14ac:dyDescent="0.2">
      <c r="A141" s="5">
        <v>80</v>
      </c>
      <c r="B141" s="138">
        <f>'Assets-Liab 5-6'!E41</f>
        <v>62696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350966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350966</v>
      </c>
      <c r="D170" s="2" t="str">
        <f t="shared" si="1"/>
        <v>Error?</v>
      </c>
    </row>
    <row r="171" spans="1:4" x14ac:dyDescent="0.2">
      <c r="A171" s="5">
        <v>110</v>
      </c>
      <c r="B171" s="138">
        <f>'Assets-Liab 5-6'!F41</f>
        <v>350966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186548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186548</v>
      </c>
      <c r="D189" s="2" t="str">
        <f t="shared" si="1"/>
        <v>Error?</v>
      </c>
    </row>
    <row r="190" spans="1:4" x14ac:dyDescent="0.2">
      <c r="A190" s="5">
        <v>129</v>
      </c>
      <c r="B190" s="138">
        <f>'Assets-Liab 5-6'!G41</f>
        <v>186548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144067</v>
      </c>
      <c r="D273" s="2" t="str">
        <f t="shared" si="3"/>
        <v>Error?</v>
      </c>
    </row>
    <row r="274" spans="1:4" x14ac:dyDescent="0.2">
      <c r="A274" s="5">
        <v>213</v>
      </c>
      <c r="B274" s="138">
        <f>'Assets-Liab 5-6'!M17</f>
        <v>8825207</v>
      </c>
      <c r="D274" s="2" t="str">
        <f t="shared" si="3"/>
        <v>Error?</v>
      </c>
    </row>
    <row r="275" spans="1:4" x14ac:dyDescent="0.2">
      <c r="A275" s="5">
        <v>214</v>
      </c>
      <c r="B275" s="138">
        <f>'Assets-Liab 5-6'!M18</f>
        <v>174406</v>
      </c>
      <c r="D275" s="2" t="str">
        <f t="shared" si="3"/>
        <v>Error?</v>
      </c>
    </row>
    <row r="276" spans="1:4" x14ac:dyDescent="0.2">
      <c r="A276" s="5">
        <v>215</v>
      </c>
      <c r="B276" s="138">
        <f>'Assets-Liab 5-6'!M19</f>
        <v>5653460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14797140</v>
      </c>
      <c r="C279" s="2" t="s">
        <v>594</v>
      </c>
      <c r="D279" s="2" t="str">
        <f t="shared" si="3"/>
        <v>Error?</v>
      </c>
    </row>
    <row r="280" spans="1:4" x14ac:dyDescent="0.2">
      <c r="A280" s="5">
        <v>219</v>
      </c>
      <c r="B280" s="138">
        <f>'Assets-Liab 5-6'!M40</f>
        <v>14797140</v>
      </c>
      <c r="D280" s="2" t="str">
        <f t="shared" si="3"/>
        <v>Error?</v>
      </c>
    </row>
    <row r="281" spans="1:4" x14ac:dyDescent="0.2">
      <c r="A281" s="5">
        <v>220</v>
      </c>
      <c r="B281" s="138">
        <f>'Assets-Liab 5-6'!M41</f>
        <v>14797140</v>
      </c>
      <c r="C281" s="2" t="s">
        <v>594</v>
      </c>
      <c r="D281" s="2" t="str">
        <f t="shared" si="3"/>
        <v>Error?</v>
      </c>
    </row>
    <row r="282" spans="1:4" x14ac:dyDescent="0.2">
      <c r="A282" s="5">
        <v>221</v>
      </c>
      <c r="B282" s="138">
        <f>'Assets-Liab 5-6'!N21</f>
        <v>62696</v>
      </c>
      <c r="D282" s="2" t="str">
        <f t="shared" si="3"/>
        <v>Error?</v>
      </c>
    </row>
    <row r="283" spans="1:4" x14ac:dyDescent="0.2">
      <c r="A283" s="5">
        <v>222</v>
      </c>
      <c r="B283" s="138">
        <f>'Assets-Liab 5-6'!N22</f>
        <v>72304</v>
      </c>
      <c r="D283" s="2" t="str">
        <f t="shared" si="3"/>
        <v>Error?</v>
      </c>
    </row>
    <row r="284" spans="1:4" x14ac:dyDescent="0.2">
      <c r="A284" s="5">
        <v>223</v>
      </c>
      <c r="B284" s="138">
        <f>'Assets-Liab 5-6'!N23</f>
        <v>135000</v>
      </c>
      <c r="C284" s="2" t="s">
        <v>594</v>
      </c>
      <c r="D284" s="2" t="str">
        <f t="shared" si="3"/>
        <v>Error?</v>
      </c>
    </row>
    <row r="285" spans="1:4" x14ac:dyDescent="0.2">
      <c r="A285" s="5">
        <v>224</v>
      </c>
      <c r="B285" s="138">
        <f>'Assets-Liab 5-6'!N36</f>
        <v>135000</v>
      </c>
      <c r="D285" s="2" t="str">
        <f t="shared" si="3"/>
        <v>Error?</v>
      </c>
    </row>
    <row r="286" spans="1:4" x14ac:dyDescent="0.2">
      <c r="A286" s="10">
        <v>225</v>
      </c>
      <c r="D286" s="2" t="str">
        <f t="shared" si="3"/>
        <v>OK</v>
      </c>
    </row>
    <row r="287" spans="1:4" x14ac:dyDescent="0.2">
      <c r="A287" s="5">
        <v>226</v>
      </c>
      <c r="B287" s="138">
        <f>'Assets-Liab 5-6'!N37</f>
        <v>135000</v>
      </c>
      <c r="C287" s="2" t="s">
        <v>594</v>
      </c>
      <c r="D287" s="2" t="str">
        <f t="shared" si="3"/>
        <v>Error?</v>
      </c>
    </row>
    <row r="288" spans="1:4" x14ac:dyDescent="0.2">
      <c r="A288" s="5">
        <v>227</v>
      </c>
      <c r="B288" s="138">
        <f>'Assets-Liab 5-6'!N41</f>
        <v>135000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1100000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2408623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263432</v>
      </c>
      <c r="D718" s="2" t="str">
        <f t="shared" si="10"/>
        <v>Error?</v>
      </c>
    </row>
    <row r="719" spans="1:4" x14ac:dyDescent="0.2">
      <c r="A719" s="5">
        <v>658</v>
      </c>
      <c r="B719" s="138">
        <f>'Expenditures 15-22'!C15</f>
        <v>6958</v>
      </c>
      <c r="D719" s="2" t="str">
        <f t="shared" si="10"/>
        <v>Error?</v>
      </c>
    </row>
    <row r="720" spans="1:4" x14ac:dyDescent="0.2">
      <c r="A720" s="5">
        <v>659</v>
      </c>
      <c r="B720" s="138">
        <f>'Expenditures 15-22'!C33</f>
        <v>4356437</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109101</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119737</v>
      </c>
      <c r="D725" s="2" t="str">
        <f t="shared" si="10"/>
        <v>Error?</v>
      </c>
    </row>
    <row r="726" spans="1:4" x14ac:dyDescent="0.2">
      <c r="A726" s="5">
        <v>665</v>
      </c>
      <c r="B726" s="138">
        <f>'Expenditures 15-22'!C41</f>
        <v>16369</v>
      </c>
      <c r="D726" s="2" t="str">
        <f t="shared" si="10"/>
        <v>Error?</v>
      </c>
    </row>
    <row r="727" spans="1:4" x14ac:dyDescent="0.2">
      <c r="A727" s="5">
        <v>666</v>
      </c>
      <c r="B727" s="138">
        <f>'Expenditures 15-22'!C42</f>
        <v>245207</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162377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162377</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154310</v>
      </c>
      <c r="D733" s="2" t="str">
        <f t="shared" si="10"/>
        <v>Error?</v>
      </c>
    </row>
    <row r="734" spans="1:4" x14ac:dyDescent="0.2">
      <c r="A734" s="5">
        <v>673</v>
      </c>
      <c r="B734" s="138">
        <f>'Expenditures 15-22'!C53</f>
        <v>154310</v>
      </c>
      <c r="C734" s="2" t="s">
        <v>594</v>
      </c>
      <c r="D734" s="2" t="str">
        <f t="shared" si="10"/>
        <v>Error?</v>
      </c>
    </row>
    <row r="735" spans="1:4" x14ac:dyDescent="0.2">
      <c r="A735" s="5">
        <v>674</v>
      </c>
      <c r="B735" s="138">
        <f>'Expenditures 15-22'!C55</f>
        <v>405328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405328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70059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137381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207440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1174662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5531099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819091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63057</v>
      </c>
      <c r="D776" s="2" t="str">
        <f t="shared" si="11"/>
        <v>Error?</v>
      </c>
    </row>
    <row r="777" spans="1:4" x14ac:dyDescent="0.2">
      <c r="A777" s="5">
        <v>716</v>
      </c>
      <c r="B777" s="138">
        <f>'Expenditures 15-22'!D15</f>
        <v>856</v>
      </c>
      <c r="D777" s="2" t="str">
        <f t="shared" si="11"/>
        <v>Error?</v>
      </c>
    </row>
    <row r="778" spans="1:4" x14ac:dyDescent="0.2">
      <c r="A778" s="5">
        <v>717</v>
      </c>
      <c r="B778" s="138">
        <f>'Expenditures 15-22'!D33</f>
        <v>1273884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23408</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37334</v>
      </c>
      <c r="D783" s="2" t="str">
        <f t="shared" si="11"/>
        <v>Error?</v>
      </c>
    </row>
    <row r="784" spans="1:4" x14ac:dyDescent="0.2">
      <c r="A784" s="5">
        <v>723</v>
      </c>
      <c r="B784" s="138">
        <f>'Expenditures 15-22'!D41</f>
        <v>875</v>
      </c>
      <c r="D784" s="2" t="str">
        <f t="shared" si="11"/>
        <v>Error?</v>
      </c>
    </row>
    <row r="785" spans="1:4" x14ac:dyDescent="0.2">
      <c r="A785" s="5">
        <v>724</v>
      </c>
      <c r="B785" s="138">
        <f>'Expenditures 15-22'!D42</f>
        <v>61617</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23400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23400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50648</v>
      </c>
      <c r="D791" s="2" t="str">
        <f t="shared" si="11"/>
        <v>Error?</v>
      </c>
    </row>
    <row r="792" spans="1:4" x14ac:dyDescent="0.2">
      <c r="A792" s="5">
        <v>731</v>
      </c>
      <c r="B792" s="138">
        <f>'Expenditures 15-22'!D53</f>
        <v>50648</v>
      </c>
      <c r="C792" s="2" t="s">
        <v>594</v>
      </c>
      <c r="D792" s="2" t="str">
        <f t="shared" si="11"/>
        <v>Error?</v>
      </c>
    </row>
    <row r="793" spans="1:4" x14ac:dyDescent="0.2">
      <c r="A793" s="5">
        <v>732</v>
      </c>
      <c r="B793" s="138">
        <f>'Expenditures 15-22'!D55</f>
        <v>76945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76945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17833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17873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230483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1504367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29939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7237</v>
      </c>
      <c r="D834" s="2" t="str">
        <f t="shared" si="12"/>
        <v>Error?</v>
      </c>
    </row>
    <row r="835" spans="1:4" x14ac:dyDescent="0.2">
      <c r="A835" s="5">
        <v>774</v>
      </c>
      <c r="B835" s="138">
        <f>'Expenditures 15-22'!E15</f>
        <v>334</v>
      </c>
      <c r="D835" s="2" t="str">
        <f t="shared" si="12"/>
        <v>Error?</v>
      </c>
    </row>
    <row r="836" spans="1:4" x14ac:dyDescent="0.2">
      <c r="A836" s="5">
        <v>775</v>
      </c>
      <c r="B836" s="138">
        <f>'Expenditures 15-22'!E33</f>
        <v>116336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43470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38021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81491</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24975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24975</v>
      </c>
      <c r="C847" s="2" t="s">
        <v>594</v>
      </c>
      <c r="D847" s="2" t="str">
        <f t="shared" si="12"/>
        <v>Error?</v>
      </c>
    </row>
    <row r="848" spans="1:4" x14ac:dyDescent="0.2">
      <c r="A848" s="5">
        <v>787</v>
      </c>
      <c r="B848" s="138">
        <f>'Expenditures 15-22'!E49</f>
        <v>82982</v>
      </c>
      <c r="D848" s="2" t="str">
        <f t="shared" si="12"/>
        <v>Error?</v>
      </c>
    </row>
    <row r="849" spans="1:4" x14ac:dyDescent="0.2">
      <c r="A849" s="5">
        <v>788</v>
      </c>
      <c r="B849" s="138">
        <f>'Expenditures 15-22'!E50</f>
        <v>1910</v>
      </c>
      <c r="D849" s="2" t="str">
        <f t="shared" si="12"/>
        <v>Error?</v>
      </c>
    </row>
    <row r="850" spans="1:4" x14ac:dyDescent="0.2">
      <c r="A850" s="5">
        <v>789</v>
      </c>
      <c r="B850" s="138">
        <f>'Expenditures 15-22'!E53</f>
        <v>84892</v>
      </c>
      <c r="C850" s="2" t="s">
        <v>594</v>
      </c>
      <c r="D850" s="2" t="str">
        <f t="shared" si="12"/>
        <v>Error?</v>
      </c>
    </row>
    <row r="851" spans="1:4" x14ac:dyDescent="0.2">
      <c r="A851" s="5">
        <v>790</v>
      </c>
      <c r="B851" s="138">
        <f>'Expenditures 15-22'!E55</f>
        <v>5484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5484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4973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3730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8703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205545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366720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126061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6055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189287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73</v>
      </c>
      <c r="D896" s="2" t="str">
        <f t="shared" si="13"/>
        <v>Error?</v>
      </c>
    </row>
    <row r="897" spans="1:4" x14ac:dyDescent="0.2">
      <c r="A897" s="5">
        <v>836</v>
      </c>
      <c r="B897" s="138">
        <f>'Expenditures 15-22'!F38</f>
        <v>627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840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1540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28619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28619</v>
      </c>
      <c r="C905" s="2" t="s">
        <v>594</v>
      </c>
      <c r="D905" s="2" t="str">
        <f t="shared" si="13"/>
        <v>Error?</v>
      </c>
    </row>
    <row r="906" spans="1:4" x14ac:dyDescent="0.2">
      <c r="A906" s="5">
        <v>845</v>
      </c>
      <c r="B906" s="138">
        <f>'Expenditures 15-22'!F49</f>
        <v>1235</v>
      </c>
      <c r="D906" s="2" t="str">
        <f t="shared" si="13"/>
        <v>Error?</v>
      </c>
    </row>
    <row r="907" spans="1:4" x14ac:dyDescent="0.2">
      <c r="A907" s="5">
        <v>846</v>
      </c>
      <c r="B907" s="138">
        <f>'Expenditures 15-22'!F50</f>
        <v>2211</v>
      </c>
      <c r="D907" s="2" t="str">
        <f t="shared" si="13"/>
        <v>Error?</v>
      </c>
    </row>
    <row r="908" spans="1:4" x14ac:dyDescent="0.2">
      <c r="A908" s="5">
        <v>847</v>
      </c>
      <c r="B908" s="138">
        <f>'Expenditures 15-22'!F53</f>
        <v>3446</v>
      </c>
      <c r="C908" s="2" t="s">
        <v>594</v>
      </c>
      <c r="D908" s="2" t="str">
        <f t="shared" si="13"/>
        <v>Error?</v>
      </c>
    </row>
    <row r="909" spans="1:4" x14ac:dyDescent="0.2">
      <c r="A909" s="5">
        <v>848</v>
      </c>
      <c r="B909" s="138">
        <f>'Expenditures 15-22'!F55</f>
        <v>6411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6411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582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221396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221978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261994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451281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7041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11280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84455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84455</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84455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95735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2128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105657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4234</v>
      </c>
      <c r="D1022" s="2" t="str">
        <f t="shared" si="14"/>
        <v>Error?</v>
      </c>
    </row>
    <row r="1023" spans="1:4" x14ac:dyDescent="0.2">
      <c r="A1023" s="5">
        <v>962</v>
      </c>
      <c r="B1023" s="138">
        <f>'Expenditures 15-22'!H50</f>
        <v>1927</v>
      </c>
      <c r="D1023" s="2" t="str">
        <f t="shared" ref="D1023:D1086" si="15">IF(ISBLANK(B1023),"OK",IF(A1023-B1023=0,"OK","Error?"))</f>
        <v>Error?</v>
      </c>
    </row>
    <row r="1024" spans="1:4" x14ac:dyDescent="0.2">
      <c r="A1024" s="5">
        <v>963</v>
      </c>
      <c r="B1024" s="138">
        <f>'Expenditures 15-22'!H53</f>
        <v>6161</v>
      </c>
      <c r="C1024" s="2" t="s">
        <v>594</v>
      </c>
      <c r="D1024" s="2" t="str">
        <f t="shared" si="15"/>
        <v>Error?</v>
      </c>
    </row>
    <row r="1025" spans="1:4" x14ac:dyDescent="0.2">
      <c r="A1025" s="5">
        <v>964</v>
      </c>
      <c r="B1025" s="138">
        <f>'Expenditures 15-22'!H55</f>
        <v>1540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1540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1151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1151</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8852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393102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507611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3383714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348950</v>
      </c>
      <c r="C1106" s="2" t="s">
        <v>594</v>
      </c>
      <c r="D1106" s="2" t="str">
        <f t="shared" si="16"/>
        <v>Error?</v>
      </c>
    </row>
    <row r="1107" spans="1:4" x14ac:dyDescent="0.2">
      <c r="A1107" s="5">
        <v>1046</v>
      </c>
      <c r="B1107" s="138">
        <f>'Expenditures 15-22'!K15</f>
        <v>8148</v>
      </c>
      <c r="C1107" s="2" t="s">
        <v>594</v>
      </c>
      <c r="D1107" s="2" t="str">
        <f t="shared" si="16"/>
        <v>Error?</v>
      </c>
    </row>
    <row r="1108" spans="1:4" x14ac:dyDescent="0.2">
      <c r="A1108" s="5">
        <v>1047</v>
      </c>
      <c r="B1108" s="138">
        <f>'Expenditures 15-22'!K33</f>
        <v>6052881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132582</v>
      </c>
      <c r="C1110" s="2" t="s">
        <v>594</v>
      </c>
      <c r="D1110" s="2" t="str">
        <f t="shared" si="16"/>
        <v>Error?</v>
      </c>
    </row>
    <row r="1111" spans="1:4" x14ac:dyDescent="0.2">
      <c r="A1111" s="5">
        <v>1050</v>
      </c>
      <c r="B1111" s="138">
        <f>'Expenditures 15-22'!K38</f>
        <v>44097</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195932</v>
      </c>
      <c r="C1113" s="2" t="s">
        <v>594</v>
      </c>
      <c r="D1113" s="2" t="str">
        <f t="shared" si="16"/>
        <v>Error?</v>
      </c>
    </row>
    <row r="1114" spans="1:4" x14ac:dyDescent="0.2">
      <c r="A1114" s="5">
        <v>1053</v>
      </c>
      <c r="B1114" s="138">
        <f>'Expenditures 15-22'!K41</f>
        <v>17244</v>
      </c>
      <c r="C1114" s="2" t="s">
        <v>594</v>
      </c>
      <c r="D1114" s="2" t="str">
        <f t="shared" si="16"/>
        <v>Error?</v>
      </c>
    </row>
    <row r="1115" spans="1:4" x14ac:dyDescent="0.2">
      <c r="A1115" s="5">
        <v>1054</v>
      </c>
      <c r="B1115" s="138">
        <f>'Expenditures 15-22'!K42</f>
        <v>389855</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323826</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323826</v>
      </c>
      <c r="C1119" s="2" t="s">
        <v>594</v>
      </c>
      <c r="D1119" s="2" t="str">
        <f t="shared" si="16"/>
        <v>Error?</v>
      </c>
    </row>
    <row r="1120" spans="1:4" x14ac:dyDescent="0.2">
      <c r="A1120" s="5">
        <v>1059</v>
      </c>
      <c r="B1120" s="138">
        <f>'Expenditures 15-22'!K49</f>
        <v>88451</v>
      </c>
      <c r="C1120" s="2" t="s">
        <v>594</v>
      </c>
      <c r="D1120" s="2" t="str">
        <f t="shared" si="16"/>
        <v>Error?</v>
      </c>
    </row>
    <row r="1121" spans="1:4" x14ac:dyDescent="0.2">
      <c r="A1121" s="5">
        <v>1060</v>
      </c>
      <c r="B1121" s="138">
        <f>'Expenditures 15-22'!K50</f>
        <v>211006</v>
      </c>
      <c r="C1121" s="2" t="s">
        <v>594</v>
      </c>
      <c r="D1121" s="2" t="str">
        <f t="shared" si="16"/>
        <v>Error?</v>
      </c>
    </row>
    <row r="1122" spans="1:4" x14ac:dyDescent="0.2">
      <c r="A1122" s="5">
        <v>1061</v>
      </c>
      <c r="B1122" s="138">
        <f>'Expenditures 15-22'!K53</f>
        <v>299457</v>
      </c>
      <c r="C1122" s="2" t="s">
        <v>594</v>
      </c>
      <c r="D1122" s="2" t="str">
        <f t="shared" si="16"/>
        <v>Error?</v>
      </c>
    </row>
    <row r="1123" spans="1:4" x14ac:dyDescent="0.2">
      <c r="A1123" s="5">
        <v>1062</v>
      </c>
      <c r="B1123" s="138">
        <f>'Expenditures 15-22'!K55</f>
        <v>495708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495708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93447</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363698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457145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1965991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437941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8456813</v>
      </c>
      <c r="C1152" s="2" t="s">
        <v>594</v>
      </c>
      <c r="D1152" s="2" t="str">
        <f t="shared" si="17"/>
        <v>Error?</v>
      </c>
    </row>
    <row r="1153" spans="1:4" x14ac:dyDescent="0.2">
      <c r="A1153" s="5">
        <v>1092</v>
      </c>
      <c r="B1153" s="138">
        <f>'Expenditures 15-22'!K115</f>
        <v>-649078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261733</v>
      </c>
      <c r="D1221" s="2" t="str">
        <f t="shared" si="18"/>
        <v>Error?</v>
      </c>
    </row>
    <row r="1222" spans="1:4" x14ac:dyDescent="0.2">
      <c r="A1222" s="10">
        <v>1161</v>
      </c>
      <c r="D1222" s="2" t="str">
        <f t="shared" si="18"/>
        <v>OK</v>
      </c>
    </row>
    <row r="1223" spans="1:4" x14ac:dyDescent="0.2">
      <c r="A1223" s="5">
        <v>1162</v>
      </c>
      <c r="B1223" s="138">
        <f>'Expenditures 15-22'!C127</f>
        <v>261733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261733</v>
      </c>
      <c r="C1225" s="2" t="s">
        <v>594</v>
      </c>
      <c r="D1225" s="2" t="str">
        <f t="shared" si="18"/>
        <v>Error?</v>
      </c>
    </row>
    <row r="1226" spans="1:4" x14ac:dyDescent="0.2">
      <c r="A1226" s="5">
        <v>1165</v>
      </c>
      <c r="B1226" s="138">
        <f>'Expenditures 15-22'!C151</f>
        <v>261733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57205</v>
      </c>
      <c r="D1229" s="2" t="str">
        <f t="shared" si="18"/>
        <v>Error?</v>
      </c>
    </row>
    <row r="1230" spans="1:4" x14ac:dyDescent="0.2">
      <c r="A1230" s="10">
        <v>1169</v>
      </c>
      <c r="D1230" s="2" t="str">
        <f t="shared" si="18"/>
        <v>OK</v>
      </c>
    </row>
    <row r="1231" spans="1:4" x14ac:dyDescent="0.2">
      <c r="A1231" s="5">
        <v>1170</v>
      </c>
      <c r="B1231" s="138">
        <f>'Expenditures 15-22'!D127</f>
        <v>57205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57205</v>
      </c>
      <c r="C1233" s="2" t="s">
        <v>594</v>
      </c>
      <c r="D1233" s="2" t="str">
        <f t="shared" si="18"/>
        <v>Error?</v>
      </c>
    </row>
    <row r="1234" spans="1:4" x14ac:dyDescent="0.2">
      <c r="A1234" s="5">
        <v>1173</v>
      </c>
      <c r="B1234" s="138">
        <f>'Expenditures 15-22'!D151</f>
        <v>57205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144072</v>
      </c>
      <c r="D1237" s="2" t="str">
        <f t="shared" si="18"/>
        <v>Error?</v>
      </c>
    </row>
    <row r="1238" spans="1:4" x14ac:dyDescent="0.2">
      <c r="A1238" s="10">
        <v>1177</v>
      </c>
      <c r="D1238" s="2" t="str">
        <f t="shared" si="18"/>
        <v>OK</v>
      </c>
    </row>
    <row r="1239" spans="1:4" x14ac:dyDescent="0.2">
      <c r="A1239" s="5">
        <v>1178</v>
      </c>
      <c r="B1239" s="138">
        <f>'Expenditures 15-22'!E127</f>
        <v>144072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144072</v>
      </c>
      <c r="C1241" s="2" t="s">
        <v>594</v>
      </c>
      <c r="D1241" s="2" t="str">
        <f t="shared" si="18"/>
        <v>Error?</v>
      </c>
    </row>
    <row r="1242" spans="1:4" x14ac:dyDescent="0.2">
      <c r="A1242" s="5">
        <v>1181</v>
      </c>
      <c r="B1242" s="138">
        <f>'Expenditures 15-22'!E151</f>
        <v>144072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198844</v>
      </c>
      <c r="D1245" s="2" t="str">
        <f t="shared" si="18"/>
        <v>Error?</v>
      </c>
    </row>
    <row r="1246" spans="1:4" x14ac:dyDescent="0.2">
      <c r="A1246" s="10">
        <v>1185</v>
      </c>
      <c r="D1246" s="2" t="str">
        <f t="shared" si="18"/>
        <v>OK</v>
      </c>
    </row>
    <row r="1247" spans="1:4" x14ac:dyDescent="0.2">
      <c r="A1247" s="5">
        <v>1186</v>
      </c>
      <c r="B1247" s="138">
        <f>'Expenditures 15-22'!F127</f>
        <v>198844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198844</v>
      </c>
      <c r="C1249" s="2" t="s">
        <v>594</v>
      </c>
      <c r="D1249" s="2" t="str">
        <f t="shared" si="18"/>
        <v>Error?</v>
      </c>
    </row>
    <row r="1250" spans="1:4" x14ac:dyDescent="0.2">
      <c r="A1250" s="5">
        <v>1189</v>
      </c>
      <c r="B1250" s="138">
        <f>'Expenditures 15-22'!F151</f>
        <v>198844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6500</v>
      </c>
      <c r="D1254" s="2" t="str">
        <f t="shared" si="18"/>
        <v>Error?</v>
      </c>
    </row>
    <row r="1255" spans="1:4" x14ac:dyDescent="0.2">
      <c r="A1255" s="10">
        <v>1194</v>
      </c>
      <c r="D1255" s="2" t="str">
        <f t="shared" si="18"/>
        <v>OK</v>
      </c>
    </row>
    <row r="1256" spans="1:4" x14ac:dyDescent="0.2">
      <c r="A1256" s="5">
        <v>1195</v>
      </c>
      <c r="B1256" s="138">
        <f>'Expenditures 15-22'!G127</f>
        <v>6500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6500</v>
      </c>
      <c r="C1258" s="2" t="s">
        <v>594</v>
      </c>
      <c r="D1258" s="2" t="str">
        <f t="shared" si="18"/>
        <v>Error?</v>
      </c>
    </row>
    <row r="1259" spans="1:4" x14ac:dyDescent="0.2">
      <c r="A1259" s="5">
        <v>1198</v>
      </c>
      <c r="B1259" s="138">
        <f>'Expenditures 15-22'!G151</f>
        <v>6500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661854</v>
      </c>
      <c r="C1276" s="2" t="s">
        <v>594</v>
      </c>
      <c r="D1276" s="2" t="str">
        <f t="shared" si="18"/>
        <v>Error?</v>
      </c>
    </row>
    <row r="1277" spans="1:4" x14ac:dyDescent="0.2">
      <c r="A1277" s="5">
        <v>1216</v>
      </c>
      <c r="B1277" s="138">
        <f>'Expenditures 15-22'!K126</f>
        <v>6500</v>
      </c>
      <c r="C1277" s="2" t="s">
        <v>594</v>
      </c>
      <c r="D1277" s="2" t="str">
        <f t="shared" si="18"/>
        <v>Error?</v>
      </c>
    </row>
    <row r="1278" spans="1:4" x14ac:dyDescent="0.2">
      <c r="A1278" s="10">
        <v>1217</v>
      </c>
      <c r="D1278" s="2" t="str">
        <f t="shared" si="18"/>
        <v>OK</v>
      </c>
    </row>
    <row r="1279" spans="1:4" x14ac:dyDescent="0.2">
      <c r="A1279" s="5">
        <v>1218</v>
      </c>
      <c r="B1279" s="138">
        <f>'Expenditures 15-22'!K127</f>
        <v>668354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668354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668354</v>
      </c>
      <c r="C1288" s="2" t="s">
        <v>594</v>
      </c>
      <c r="D1288" s="2" t="str">
        <f t="shared" si="19"/>
        <v>Error?</v>
      </c>
    </row>
    <row r="1289" spans="1:4" x14ac:dyDescent="0.2">
      <c r="A1289" s="5">
        <v>1228</v>
      </c>
      <c r="B1289" s="138">
        <f>'Expenditures 15-22'!K152</f>
        <v>-10819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37681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1675000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1712681</v>
      </c>
      <c r="C1317" s="2" t="s">
        <v>594</v>
      </c>
      <c r="D1317" s="2" t="str">
        <f t="shared" si="19"/>
        <v>Error?</v>
      </c>
    </row>
    <row r="1318" spans="1:4" x14ac:dyDescent="0.2">
      <c r="A1318" s="5">
        <v>1257</v>
      </c>
      <c r="B1318" s="138">
        <f>'Expenditures 15-22'!H174</f>
        <v>1712681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37681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1675000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1712681</v>
      </c>
      <c r="C1331" s="2" t="s">
        <v>594</v>
      </c>
      <c r="D1331" s="2" t="str">
        <f t="shared" si="19"/>
        <v>Error?</v>
      </c>
    </row>
    <row r="1332" spans="1:4" x14ac:dyDescent="0.2">
      <c r="A1332" s="5">
        <v>1271</v>
      </c>
      <c r="B1332" s="138">
        <f>'Expenditures 15-22'!K174</f>
        <v>1712681</v>
      </c>
      <c r="C1332" s="2" t="s">
        <v>594</v>
      </c>
      <c r="D1332" s="2" t="str">
        <f t="shared" si="19"/>
        <v>Error?</v>
      </c>
    </row>
    <row r="1333" spans="1:4" x14ac:dyDescent="0.2">
      <c r="A1333" s="5">
        <v>1272</v>
      </c>
      <c r="B1333" s="138">
        <f>'Expenditures 15-22'!K175</f>
        <v>-4371</v>
      </c>
      <c r="C1333" s="2" t="s">
        <v>594</v>
      </c>
      <c r="D1333" s="2" t="str">
        <f t="shared" si="19"/>
        <v>Error?</v>
      </c>
    </row>
    <row r="1334" spans="1:4" x14ac:dyDescent="0.2">
      <c r="A1334" s="10">
        <v>1273</v>
      </c>
      <c r="D1334" s="2" t="str">
        <f t="shared" si="19"/>
        <v>OK</v>
      </c>
    </row>
    <row r="1335" spans="1:4" x14ac:dyDescent="0.2">
      <c r="A1335" s="5">
        <v>1274</v>
      </c>
      <c r="B1335" s="138">
        <f>'Expenditures 15-22'!C182</f>
        <v>422416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422416</v>
      </c>
      <c r="C1339" s="2" t="s">
        <v>594</v>
      </c>
      <c r="D1339" s="2" t="str">
        <f t="shared" si="19"/>
        <v>Error?</v>
      </c>
    </row>
    <row r="1340" spans="1:4" x14ac:dyDescent="0.2">
      <c r="A1340" s="5">
        <v>1279</v>
      </c>
      <c r="B1340" s="138">
        <f>'Expenditures 15-22'!C210</f>
        <v>422416</v>
      </c>
      <c r="C1340" s="2" t="s">
        <v>594</v>
      </c>
      <c r="D1340" s="2" t="str">
        <f t="shared" si="19"/>
        <v>Error?</v>
      </c>
    </row>
    <row r="1341" spans="1:4" x14ac:dyDescent="0.2">
      <c r="A1341" s="5">
        <v>1280</v>
      </c>
      <c r="B1341" s="138">
        <f>'Expenditures 15-22'!D182</f>
        <v>22272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22272</v>
      </c>
      <c r="C1345" s="2" t="s">
        <v>594</v>
      </c>
      <c r="D1345" s="2" t="str">
        <f t="shared" si="20"/>
        <v>Error?</v>
      </c>
    </row>
    <row r="1346" spans="1:4" x14ac:dyDescent="0.2">
      <c r="A1346" s="5">
        <v>1285</v>
      </c>
      <c r="B1346" s="138">
        <f>'Expenditures 15-22'!D210</f>
        <v>22272</v>
      </c>
      <c r="C1346" s="2" t="s">
        <v>594</v>
      </c>
      <c r="D1346" s="2" t="str">
        <f t="shared" si="20"/>
        <v>Error?</v>
      </c>
    </row>
    <row r="1347" spans="1:4" x14ac:dyDescent="0.2">
      <c r="A1347" s="5">
        <v>1286</v>
      </c>
      <c r="B1347" s="138">
        <f>'Expenditures 15-22'!E182</f>
        <v>74426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74426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74426</v>
      </c>
      <c r="C1353" s="2" t="s">
        <v>594</v>
      </c>
      <c r="D1353" s="2" t="str">
        <f t="shared" si="20"/>
        <v>Error?</v>
      </c>
    </row>
    <row r="1354" spans="1:4" x14ac:dyDescent="0.2">
      <c r="A1354" s="5">
        <v>1293</v>
      </c>
      <c r="B1354" s="138">
        <f>'Expenditures 15-22'!F182</f>
        <v>83911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83911</v>
      </c>
      <c r="C1358" s="2" t="s">
        <v>594</v>
      </c>
      <c r="D1358" s="2" t="str">
        <f t="shared" si="20"/>
        <v>Error?</v>
      </c>
    </row>
    <row r="1359" spans="1:4" x14ac:dyDescent="0.2">
      <c r="A1359" s="5">
        <v>1298</v>
      </c>
      <c r="B1359" s="138">
        <f>'Expenditures 15-22'!F210</f>
        <v>83911</v>
      </c>
      <c r="C1359" s="2" t="s">
        <v>594</v>
      </c>
      <c r="D1359" s="2" t="str">
        <f t="shared" si="20"/>
        <v>Error?</v>
      </c>
    </row>
    <row r="1360" spans="1:4" x14ac:dyDescent="0.2">
      <c r="A1360" s="5">
        <v>1299</v>
      </c>
      <c r="B1360" s="138">
        <f>'Expenditures 15-22'!G182</f>
        <v>22187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22187</v>
      </c>
      <c r="C1364" s="2" t="s">
        <v>594</v>
      </c>
      <c r="D1364" s="2" t="str">
        <f t="shared" si="20"/>
        <v>Error?</v>
      </c>
    </row>
    <row r="1365" spans="1:4" x14ac:dyDescent="0.2">
      <c r="A1365" s="5">
        <v>1304</v>
      </c>
      <c r="B1365" s="138">
        <f>'Expenditures 15-22'!G210</f>
        <v>22187</v>
      </c>
      <c r="C1365" s="2" t="s">
        <v>594</v>
      </c>
      <c r="D1365" s="2" t="str">
        <f t="shared" si="20"/>
        <v>Error?</v>
      </c>
    </row>
    <row r="1366" spans="1:4" x14ac:dyDescent="0.2">
      <c r="A1366" s="5">
        <v>1305</v>
      </c>
      <c r="B1366" s="138">
        <f>'Expenditures 15-22'!H182</f>
        <v>987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987</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987</v>
      </c>
      <c r="C1376" s="2" t="s">
        <v>594</v>
      </c>
      <c r="D1376" s="2" t="str">
        <f t="shared" si="20"/>
        <v>Error?</v>
      </c>
    </row>
    <row r="1377" spans="1:4" x14ac:dyDescent="0.2">
      <c r="A1377" s="5">
        <v>1316</v>
      </c>
      <c r="B1377" s="138">
        <f>'Expenditures 15-22'!K182</f>
        <v>626199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626199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626199</v>
      </c>
      <c r="C1388" s="2" t="s">
        <v>594</v>
      </c>
      <c r="D1388" s="2" t="str">
        <f t="shared" si="20"/>
        <v>Error?</v>
      </c>
    </row>
    <row r="1389" spans="1:4" x14ac:dyDescent="0.2">
      <c r="A1389" s="5">
        <v>1328</v>
      </c>
      <c r="B1389" s="138">
        <f>'Expenditures 15-22'!K211</f>
        <v>183980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5791</v>
      </c>
      <c r="D1408" s="2" t="str">
        <f t="shared" si="21"/>
        <v>Error?</v>
      </c>
    </row>
    <row r="1409" spans="1:4" x14ac:dyDescent="0.2">
      <c r="A1409" s="5">
        <v>1348</v>
      </c>
      <c r="B1409" s="138">
        <f>'Expenditures 15-22'!D224</f>
        <v>147</v>
      </c>
      <c r="D1409" s="2" t="str">
        <f t="shared" si="21"/>
        <v>Error?</v>
      </c>
    </row>
    <row r="1410" spans="1:4" x14ac:dyDescent="0.2">
      <c r="A1410" s="5">
        <v>1349</v>
      </c>
      <c r="B1410" s="138">
        <f>'Expenditures 15-22'!D229</f>
        <v>187708</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3282</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1706</v>
      </c>
      <c r="D1416" s="2" t="str">
        <f t="shared" si="21"/>
        <v>Error?</v>
      </c>
    </row>
    <row r="1417" spans="1:4" x14ac:dyDescent="0.2">
      <c r="A1417" s="5">
        <v>1356</v>
      </c>
      <c r="B1417" s="138">
        <f>'Expenditures 15-22'!D238</f>
        <v>4988</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22102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22102</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8865</v>
      </c>
      <c r="D1423" s="2" t="str">
        <f t="shared" si="21"/>
        <v>Error?</v>
      </c>
    </row>
    <row r="1424" spans="1:4" x14ac:dyDescent="0.2">
      <c r="A1424" s="5">
        <v>1363</v>
      </c>
      <c r="B1424" s="138">
        <f>'Expenditures 15-22'!D257</f>
        <v>47413</v>
      </c>
      <c r="C1424" s="2" t="s">
        <v>594</v>
      </c>
      <c r="D1424" s="2" t="str">
        <f t="shared" si="21"/>
        <v>Error?</v>
      </c>
    </row>
    <row r="1425" spans="1:4" x14ac:dyDescent="0.2">
      <c r="A1425" s="5">
        <v>1364</v>
      </c>
      <c r="B1425" s="138">
        <f>'Expenditures 15-22'!D259</f>
        <v>25204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25204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13721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46073</v>
      </c>
      <c r="D1431" s="2" t="str">
        <f t="shared" si="21"/>
        <v>Error?</v>
      </c>
    </row>
    <row r="1432" spans="1:4" x14ac:dyDescent="0.2">
      <c r="A1432" s="5">
        <v>1371</v>
      </c>
      <c r="B1432" s="138">
        <f>'Expenditures 15-22'!D267</f>
        <v>61225</v>
      </c>
      <c r="D1432" s="2" t="str">
        <f t="shared" si="21"/>
        <v>Error?</v>
      </c>
    </row>
    <row r="1433" spans="1:4" x14ac:dyDescent="0.2">
      <c r="A1433" s="5">
        <v>1372</v>
      </c>
      <c r="B1433" s="138">
        <f>'Expenditures 15-22'!D268</f>
        <v>20893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141912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241619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429327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5791</v>
      </c>
      <c r="C1472" s="2" t="s">
        <v>594</v>
      </c>
      <c r="D1472" s="2" t="str">
        <f t="shared" si="22"/>
        <v>Error?</v>
      </c>
    </row>
    <row r="1473" spans="1:4" x14ac:dyDescent="0.2">
      <c r="A1473" s="5">
        <v>1412</v>
      </c>
      <c r="B1473" s="138">
        <f>'Expenditures 15-22'!K224</f>
        <v>147</v>
      </c>
      <c r="C1473" s="2" t="s">
        <v>594</v>
      </c>
      <c r="D1473" s="2" t="str">
        <f t="shared" si="22"/>
        <v>Error?</v>
      </c>
    </row>
    <row r="1474" spans="1:4" x14ac:dyDescent="0.2">
      <c r="A1474" s="5">
        <v>1413</v>
      </c>
      <c r="B1474" s="138">
        <f>'Expenditures 15-22'!K229</f>
        <v>187708</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3282</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1706</v>
      </c>
      <c r="C1480" s="2" t="s">
        <v>594</v>
      </c>
      <c r="D1480" s="2" t="str">
        <f t="shared" si="22"/>
        <v>Error?</v>
      </c>
    </row>
    <row r="1481" spans="1:4" x14ac:dyDescent="0.2">
      <c r="A1481" s="5">
        <v>1420</v>
      </c>
      <c r="B1481" s="138">
        <f>'Expenditures 15-22'!K238</f>
        <v>4988</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22102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22102</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8865</v>
      </c>
      <c r="C1487" s="2" t="s">
        <v>594</v>
      </c>
      <c r="D1487" s="2" t="str">
        <f t="shared" si="22"/>
        <v>Error?</v>
      </c>
    </row>
    <row r="1488" spans="1:4" x14ac:dyDescent="0.2">
      <c r="A1488" s="5">
        <v>1427</v>
      </c>
      <c r="B1488" s="138">
        <f>'Expenditures 15-22'!K257</f>
        <v>47413</v>
      </c>
      <c r="C1488" s="2" t="s">
        <v>594</v>
      </c>
      <c r="D1488" s="2" t="str">
        <f t="shared" si="22"/>
        <v>Error?</v>
      </c>
    </row>
    <row r="1489" spans="1:4" x14ac:dyDescent="0.2">
      <c r="A1489" s="5">
        <v>1428</v>
      </c>
      <c r="B1489" s="138">
        <f>'Expenditures 15-22'!K259</f>
        <v>25204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25204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13721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46073</v>
      </c>
      <c r="C1495" s="2" t="s">
        <v>594</v>
      </c>
      <c r="D1495" s="2" t="str">
        <f t="shared" si="22"/>
        <v>Error?</v>
      </c>
    </row>
    <row r="1496" spans="1:4" x14ac:dyDescent="0.2">
      <c r="A1496" s="5">
        <v>1435</v>
      </c>
      <c r="B1496" s="138">
        <f>'Expenditures 15-22'!K267</f>
        <v>61225</v>
      </c>
      <c r="C1496" s="2" t="s">
        <v>594</v>
      </c>
      <c r="D1496" s="2" t="str">
        <f t="shared" si="22"/>
        <v>Error?</v>
      </c>
    </row>
    <row r="1497" spans="1:4" x14ac:dyDescent="0.2">
      <c r="A1497" s="5">
        <v>1436</v>
      </c>
      <c r="B1497" s="138">
        <f>'Expenditures 15-22'!K268</f>
        <v>20893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141912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241619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429327</v>
      </c>
      <c r="C1517" s="2" t="s">
        <v>594</v>
      </c>
      <c r="D1517" s="2" t="str">
        <f t="shared" si="22"/>
        <v>Error?</v>
      </c>
    </row>
    <row r="1518" spans="1:4" x14ac:dyDescent="0.2">
      <c r="A1518" s="5">
        <v>1457</v>
      </c>
      <c r="B1518" s="138">
        <f>'Expenditures 15-22'!K296</f>
        <v>38276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199281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650203</v>
      </c>
      <c r="C1630" s="2" t="s">
        <v>594</v>
      </c>
      <c r="D1630" s="2" t="str">
        <f t="shared" si="24"/>
        <v>Error?</v>
      </c>
    </row>
    <row r="1631" spans="1:4" x14ac:dyDescent="0.2">
      <c r="A1631" s="5">
        <v>1570</v>
      </c>
      <c r="B1631" s="138">
        <f>'Acct Summary 7-8'!D79</f>
        <v>20891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110072</v>
      </c>
      <c r="C1644" s="2" t="s">
        <v>594</v>
      </c>
      <c r="D1644" s="2" t="str">
        <f t="shared" si="24"/>
        <v>Error?</v>
      </c>
    </row>
    <row r="1645" spans="1:4" x14ac:dyDescent="0.2">
      <c r="A1645" s="5">
        <v>1584</v>
      </c>
      <c r="B1645" s="138">
        <f>'Acct Summary 7-8'!E79</f>
        <v>67067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62696</v>
      </c>
      <c r="C1658" s="2" t="s">
        <v>594</v>
      </c>
      <c r="D1658" s="2" t="str">
        <f t="shared" si="24"/>
        <v>Error?</v>
      </c>
    </row>
    <row r="1659" spans="1:4" x14ac:dyDescent="0.2">
      <c r="A1659" s="5">
        <v>1598</v>
      </c>
      <c r="B1659" s="138">
        <f>'Acct Summary 7-8'!F79</f>
        <v>166986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350966</v>
      </c>
      <c r="C1672" s="2" t="s">
        <v>594</v>
      </c>
      <c r="D1672" s="2" t="str">
        <f t="shared" si="25"/>
        <v>Error?</v>
      </c>
    </row>
    <row r="1673" spans="1:4" x14ac:dyDescent="0.2">
      <c r="A1673" s="5">
        <v>1612</v>
      </c>
      <c r="B1673" s="138">
        <f>'Acct Summary 7-8'!G79</f>
        <v>148272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186548</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3314699</v>
      </c>
      <c r="C1744" s="2" t="s">
        <v>594</v>
      </c>
      <c r="D1744" s="2" t="str">
        <f t="shared" si="26"/>
        <v>Error?</v>
      </c>
    </row>
    <row r="1745" spans="1:5" x14ac:dyDescent="0.2">
      <c r="A1745" s="5">
        <v>1684</v>
      </c>
      <c r="B1745" s="138">
        <f>'Tax Sched 23'!B5</f>
        <v>591911</v>
      </c>
      <c r="C1745" s="2" t="s">
        <v>594</v>
      </c>
      <c r="D1745" s="2" t="str">
        <f t="shared" si="26"/>
        <v>Error?</v>
      </c>
    </row>
    <row r="1746" spans="1:5" x14ac:dyDescent="0.2">
      <c r="A1746" s="5">
        <v>1685</v>
      </c>
      <c r="B1746" s="138">
        <f>'Tax Sched 23'!B6</f>
        <v>1705008</v>
      </c>
      <c r="C1746" s="2" t="s">
        <v>594</v>
      </c>
      <c r="D1746" s="2" t="str">
        <f t="shared" si="26"/>
        <v>Error?</v>
      </c>
    </row>
    <row r="1747" spans="1:5" x14ac:dyDescent="0.2">
      <c r="A1747" s="5">
        <v>1686</v>
      </c>
      <c r="B1747" s="138">
        <f>'Tax Sched 23'!B7</f>
        <v>284117</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118382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770242</v>
      </c>
      <c r="C1752" s="2" t="s">
        <v>594</v>
      </c>
      <c r="D1752" s="2" t="str">
        <f t="shared" si="26"/>
        <v>Error?</v>
      </c>
    </row>
    <row r="1753" spans="1:5" x14ac:dyDescent="0.2">
      <c r="A1753" s="5">
        <v>1692</v>
      </c>
      <c r="B1753" s="138">
        <f>'Tax Sched 23'!B12</f>
        <v>118382</v>
      </c>
      <c r="C1753" s="2" t="s">
        <v>594</v>
      </c>
      <c r="D1753" s="2" t="str">
        <f t="shared" si="26"/>
        <v>Error?</v>
      </c>
    </row>
    <row r="1754" spans="1:5" x14ac:dyDescent="0.2">
      <c r="A1754" s="5">
        <v>1693</v>
      </c>
      <c r="B1754" s="138">
        <f>'Tax Sched 23'!B14</f>
        <v>47353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7517169</v>
      </c>
      <c r="C1759" s="2" t="s">
        <v>594</v>
      </c>
      <c r="D1759" s="2" t="str">
        <f t="shared" si="26"/>
        <v>Error?</v>
      </c>
    </row>
    <row r="1760" spans="1:5" x14ac:dyDescent="0.2">
      <c r="A1760" s="5">
        <v>1699</v>
      </c>
      <c r="B1760" s="138">
        <f>'Tax Sched 23'!D4</f>
        <v>3314699</v>
      </c>
      <c r="C1760" s="2" t="s">
        <v>594</v>
      </c>
      <c r="D1760" s="2" t="str">
        <f t="shared" si="26"/>
        <v>Error?</v>
      </c>
    </row>
    <row r="1761" spans="1:5" x14ac:dyDescent="0.2">
      <c r="A1761" s="5">
        <v>1700</v>
      </c>
      <c r="B1761" s="138">
        <f>'Tax Sched 23'!D5</f>
        <v>591911</v>
      </c>
      <c r="C1761" s="2" t="s">
        <v>594</v>
      </c>
      <c r="D1761" s="2" t="str">
        <f t="shared" si="26"/>
        <v>Error?</v>
      </c>
    </row>
    <row r="1762" spans="1:5" s="8" customFormat="1" x14ac:dyDescent="0.2">
      <c r="A1762" s="5">
        <v>1701</v>
      </c>
      <c r="B1762" s="138">
        <f>'Tax Sched 23'!D6</f>
        <v>1705008</v>
      </c>
      <c r="C1762" s="2" t="s">
        <v>594</v>
      </c>
      <c r="D1762" s="2" t="str">
        <f t="shared" si="26"/>
        <v>Error?</v>
      </c>
      <c r="E1762" s="9"/>
    </row>
    <row r="1763" spans="1:5" x14ac:dyDescent="0.2">
      <c r="A1763" s="5">
        <v>1702</v>
      </c>
      <c r="B1763" s="138">
        <f>'Tax Sched 23'!D7</f>
        <v>284117</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118382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770242</v>
      </c>
      <c r="C1768" s="2" t="s">
        <v>594</v>
      </c>
      <c r="D1768" s="2" t="str">
        <f t="shared" si="26"/>
        <v>Error?</v>
      </c>
    </row>
    <row r="1769" spans="1:5" x14ac:dyDescent="0.2">
      <c r="A1769" s="5">
        <v>1708</v>
      </c>
      <c r="B1769" s="138">
        <f>'Tax Sched 23'!D12</f>
        <v>118382</v>
      </c>
      <c r="C1769" s="2" t="s">
        <v>594</v>
      </c>
      <c r="D1769" s="2" t="str">
        <f t="shared" si="26"/>
        <v>Error?</v>
      </c>
    </row>
    <row r="1770" spans="1:5" x14ac:dyDescent="0.2">
      <c r="A1770" s="5">
        <v>1709</v>
      </c>
      <c r="B1770" s="138">
        <f>'Tax Sched 23'!D14</f>
        <v>47353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7517169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5055726.4834808996</v>
      </c>
      <c r="C1792" s="2" t="s">
        <v>594</v>
      </c>
      <c r="D1792" s="2" t="str">
        <f t="shared" si="27"/>
        <v>Error?</v>
      </c>
    </row>
    <row r="1793" spans="1:4" x14ac:dyDescent="0.2">
      <c r="A1793" s="5">
        <v>1732</v>
      </c>
      <c r="B1793" s="138">
        <f>'Tax Sched 23'!F5</f>
        <v>609385.04749999999</v>
      </c>
      <c r="C1793" s="2" t="s">
        <v>594</v>
      </c>
      <c r="D1793" s="2" t="str">
        <f t="shared" si="27"/>
        <v>Error?</v>
      </c>
    </row>
    <row r="1794" spans="1:4" x14ac:dyDescent="0.2">
      <c r="A1794" s="5">
        <v>1733</v>
      </c>
      <c r="B1794" s="138">
        <f>'Tax Sched 23'!F6</f>
        <v>137550.3929217</v>
      </c>
      <c r="C1794" s="2" t="s">
        <v>594</v>
      </c>
      <c r="D1794" s="2" t="str">
        <f t="shared" si="27"/>
        <v>Error?</v>
      </c>
    </row>
    <row r="1795" spans="1:4" x14ac:dyDescent="0.2">
      <c r="A1795" s="5">
        <v>1734</v>
      </c>
      <c r="B1795" s="138">
        <f>'Tax Sched 23'!F7</f>
        <v>292504.82279999997</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121877.0095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766021.38010940002</v>
      </c>
      <c r="C1800" s="2" t="s">
        <v>594</v>
      </c>
      <c r="D1800" s="2" t="str">
        <f t="shared" si="27"/>
        <v>Error?</v>
      </c>
    </row>
    <row r="1801" spans="1:4" x14ac:dyDescent="0.2">
      <c r="A1801" s="5">
        <v>1740</v>
      </c>
      <c r="B1801" s="138">
        <f>'Tax Sched 23'!F12</f>
        <v>121877.0095</v>
      </c>
      <c r="C1801" s="2" t="s">
        <v>594</v>
      </c>
      <c r="D1801" s="2" t="str">
        <f t="shared" si="27"/>
        <v>Error?</v>
      </c>
    </row>
    <row r="1802" spans="1:4" x14ac:dyDescent="0.2">
      <c r="A1802" s="5">
        <v>1741</v>
      </c>
      <c r="B1802" s="138">
        <f>'Tax Sched 23'!F14</f>
        <v>48750.803800000002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7739092.6016424</v>
      </c>
      <c r="C1807" s="2" t="s">
        <v>594</v>
      </c>
      <c r="D1807" s="2" t="str">
        <f t="shared" si="27"/>
        <v>Error?</v>
      </c>
    </row>
    <row r="1808" spans="1:4" x14ac:dyDescent="0.2">
      <c r="A1808" s="5">
        <v>1747</v>
      </c>
      <c r="B1808" s="138">
        <f>'Tax Sched 23'!E4</f>
        <v>5055726.4834808996</v>
      </c>
      <c r="D1808" s="2" t="str">
        <f t="shared" si="27"/>
        <v>Error?</v>
      </c>
    </row>
    <row r="1809" spans="1:4" x14ac:dyDescent="0.2">
      <c r="A1809" s="5">
        <v>1748</v>
      </c>
      <c r="B1809" s="138">
        <f>'Tax Sched 23'!E5</f>
        <v>609385.04749999999</v>
      </c>
      <c r="D1809" s="2" t="str">
        <f t="shared" si="27"/>
        <v>Error?</v>
      </c>
    </row>
    <row r="1810" spans="1:4" x14ac:dyDescent="0.2">
      <c r="A1810" s="5">
        <v>1749</v>
      </c>
      <c r="B1810" s="138">
        <f>'Tax Sched 23'!E6</f>
        <v>137550.3929217</v>
      </c>
      <c r="D1810" s="2" t="str">
        <f t="shared" si="27"/>
        <v>Error?</v>
      </c>
    </row>
    <row r="1811" spans="1:4" x14ac:dyDescent="0.2">
      <c r="A1811" s="5">
        <v>1750</v>
      </c>
      <c r="B1811" s="138">
        <f>'Tax Sched 23'!E7</f>
        <v>292504.82279999997</v>
      </c>
      <c r="D1811" s="2" t="str">
        <f t="shared" si="27"/>
        <v>Error?</v>
      </c>
    </row>
    <row r="1812" spans="1:4" x14ac:dyDescent="0.2">
      <c r="A1812" s="5">
        <v>1751</v>
      </c>
      <c r="B1812" s="138">
        <f>'Tax Sched 23'!E8</f>
        <v>0</v>
      </c>
      <c r="D1812" s="2" t="str">
        <f t="shared" si="27"/>
        <v>Error?</v>
      </c>
    </row>
    <row r="1813" spans="1:4" x14ac:dyDescent="0.2">
      <c r="A1813" s="5">
        <v>1752</v>
      </c>
      <c r="B1813" s="138">
        <f>'Tax Sched 23'!E10</f>
        <v>121877.0095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766021.38010940002</v>
      </c>
      <c r="D1816" s="2" t="str">
        <f t="shared" si="27"/>
        <v>Error?</v>
      </c>
    </row>
    <row r="1817" spans="1:4" x14ac:dyDescent="0.2">
      <c r="A1817" s="5">
        <v>1756</v>
      </c>
      <c r="B1817" s="138">
        <f>'Tax Sched 23'!E12</f>
        <v>121877.0095</v>
      </c>
      <c r="D1817" s="2" t="str">
        <f t="shared" si="27"/>
        <v>Error?</v>
      </c>
    </row>
    <row r="1818" spans="1:4" x14ac:dyDescent="0.2">
      <c r="A1818" s="5">
        <v>1757</v>
      </c>
      <c r="B1818" s="138">
        <f>'Tax Sched 23'!E14</f>
        <v>48750.803800000002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7739092.6016424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1810000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47353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47353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47353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144067</v>
      </c>
      <c r="D2008" s="2" t="str">
        <f t="shared" si="30"/>
        <v>Error?</v>
      </c>
    </row>
    <row r="2009" spans="1:4" x14ac:dyDescent="0.2">
      <c r="A2009" s="5">
        <v>1948</v>
      </c>
      <c r="B2009" s="138">
        <f>'Cap Outlay Deprec 26'!C8</f>
        <v>8733366</v>
      </c>
      <c r="D2009" s="2" t="str">
        <f t="shared" si="30"/>
        <v>Error?</v>
      </c>
    </row>
    <row r="2010" spans="1:4" x14ac:dyDescent="0.2">
      <c r="A2010" s="5">
        <v>1949</v>
      </c>
      <c r="B2010" s="138">
        <f>'Cap Outlay Deprec 26'!C10</f>
        <v>174406</v>
      </c>
      <c r="D2010" s="2" t="str">
        <f t="shared" si="30"/>
        <v>Error?</v>
      </c>
    </row>
    <row r="2011" spans="1:4" x14ac:dyDescent="0.2">
      <c r="A2011" s="5">
        <v>1950</v>
      </c>
      <c r="B2011" s="138">
        <f>'Cap Outlay Deprec 26'!C12</f>
        <v>2370516</v>
      </c>
      <c r="D2011" s="2" t="str">
        <f t="shared" si="30"/>
        <v>Error?</v>
      </c>
    </row>
    <row r="2012" spans="1:4" x14ac:dyDescent="0.2">
      <c r="A2012" s="5">
        <v>1951</v>
      </c>
      <c r="B2012" s="138">
        <f>'Cap Outlay Deprec 26'!C13</f>
        <v>2998503</v>
      </c>
      <c r="D2012" s="2" t="str">
        <f t="shared" si="30"/>
        <v>Error?</v>
      </c>
    </row>
    <row r="2013" spans="1:4" x14ac:dyDescent="0.2">
      <c r="A2013" s="5">
        <v>1952</v>
      </c>
      <c r="B2013" s="138">
        <f>'Cap Outlay Deprec 26'!C16</f>
        <v>14580877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91841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124422</v>
      </c>
      <c r="D2018" s="2" t="str">
        <f t="shared" si="30"/>
        <v>Error?</v>
      </c>
    </row>
    <row r="2019" spans="1:4" x14ac:dyDescent="0.2">
      <c r="A2019" s="5">
        <v>1958</v>
      </c>
      <c r="B2019" s="138">
        <f>'Cap Outlay Deprec 26'!D16</f>
        <v>216263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144067</v>
      </c>
      <c r="C2026" s="2" t="s">
        <v>594</v>
      </c>
      <c r="D2026" s="2" t="str">
        <f t="shared" si="30"/>
        <v>Error?</v>
      </c>
    </row>
    <row r="2027" spans="1:4" x14ac:dyDescent="0.2">
      <c r="A2027" s="5">
        <v>1966</v>
      </c>
      <c r="B2027" s="138">
        <f>'Cap Outlay Deprec 26'!F8</f>
        <v>8825207</v>
      </c>
      <c r="C2027" s="2" t="s">
        <v>594</v>
      </c>
      <c r="D2027" s="2" t="str">
        <f t="shared" si="30"/>
        <v>Error?</v>
      </c>
    </row>
    <row r="2028" spans="1:4" x14ac:dyDescent="0.2">
      <c r="A2028" s="5">
        <v>1967</v>
      </c>
      <c r="B2028" s="138">
        <f>'Cap Outlay Deprec 26'!F10</f>
        <v>174406</v>
      </c>
      <c r="C2028" s="2" t="s">
        <v>594</v>
      </c>
      <c r="D2028" s="2" t="str">
        <f t="shared" si="30"/>
        <v>Error?</v>
      </c>
    </row>
    <row r="2029" spans="1:4" x14ac:dyDescent="0.2">
      <c r="A2029" s="5">
        <v>1968</v>
      </c>
      <c r="B2029" s="138">
        <f>'Cap Outlay Deprec 26'!F12</f>
        <v>2370516</v>
      </c>
      <c r="C2029" s="2" t="s">
        <v>594</v>
      </c>
      <c r="D2029" s="2" t="str">
        <f t="shared" si="30"/>
        <v>Error?</v>
      </c>
    </row>
    <row r="2030" spans="1:4" x14ac:dyDescent="0.2">
      <c r="A2030" s="5">
        <v>1969</v>
      </c>
      <c r="B2030" s="138">
        <f>'Cap Outlay Deprec 26'!F13</f>
        <v>3122925</v>
      </c>
      <c r="C2030" s="2" t="s">
        <v>594</v>
      </c>
      <c r="D2030" s="2" t="str">
        <f t="shared" si="30"/>
        <v>Error?</v>
      </c>
    </row>
    <row r="2031" spans="1:4" x14ac:dyDescent="0.2">
      <c r="A2031" s="5">
        <v>1970</v>
      </c>
      <c r="B2031" s="138">
        <f>'Cap Outlay Deprec 26'!F16</f>
        <v>14797140</v>
      </c>
      <c r="C2031" s="2" t="s">
        <v>594</v>
      </c>
      <c r="D2031" s="2" t="str">
        <f t="shared" si="30"/>
        <v>Error?</v>
      </c>
    </row>
    <row r="2032" spans="1:4" x14ac:dyDescent="0.2">
      <c r="A2032" s="10">
        <v>1971</v>
      </c>
      <c r="D2032" s="2" t="str">
        <f t="shared" si="30"/>
        <v>OK</v>
      </c>
    </row>
    <row r="2033" spans="1:4" x14ac:dyDescent="0.2">
      <c r="A2033" s="5">
        <v>1972</v>
      </c>
      <c r="B2033" s="138">
        <f>'Cap Outlay Deprec 26'!H8</f>
        <v>4369087</v>
      </c>
      <c r="D2033" s="2" t="str">
        <f t="shared" si="30"/>
        <v>Error?</v>
      </c>
    </row>
    <row r="2034" spans="1:4" x14ac:dyDescent="0.2">
      <c r="A2034" s="5">
        <v>1973</v>
      </c>
      <c r="B2034" s="138">
        <f>'Cap Outlay Deprec 26'!H10</f>
        <v>158880</v>
      </c>
      <c r="D2034" s="2" t="str">
        <f t="shared" si="30"/>
        <v>Error?</v>
      </c>
    </row>
    <row r="2035" spans="1:4" x14ac:dyDescent="0.2">
      <c r="A2035" s="5">
        <v>1974</v>
      </c>
      <c r="B2035" s="138">
        <f>'Cap Outlay Deprec 26'!H12</f>
        <v>2164216</v>
      </c>
      <c r="D2035" s="2" t="str">
        <f t="shared" si="30"/>
        <v>Error?</v>
      </c>
    </row>
    <row r="2036" spans="1:4" x14ac:dyDescent="0.2">
      <c r="A2036" s="5">
        <v>1975</v>
      </c>
      <c r="B2036" s="138">
        <f>'Cap Outlay Deprec 26'!H13</f>
        <v>2332934</v>
      </c>
      <c r="D2036" s="2" t="str">
        <f t="shared" si="30"/>
        <v>Error?</v>
      </c>
    </row>
    <row r="2037" spans="1:4" x14ac:dyDescent="0.2">
      <c r="A2037" s="5">
        <v>1976</v>
      </c>
      <c r="B2037" s="138">
        <f>'Cap Outlay Deprec 26'!H16</f>
        <v>9174344</v>
      </c>
      <c r="C2037" s="2" t="s">
        <v>594</v>
      </c>
      <c r="D2037" s="2" t="str">
        <f t="shared" si="30"/>
        <v>Error?</v>
      </c>
    </row>
    <row r="2038" spans="1:4" x14ac:dyDescent="0.2">
      <c r="A2038" s="10">
        <v>1977</v>
      </c>
      <c r="D2038" s="2" t="str">
        <f t="shared" si="30"/>
        <v>OK</v>
      </c>
    </row>
    <row r="2039" spans="1:4" x14ac:dyDescent="0.2">
      <c r="A2039" s="5">
        <v>1978</v>
      </c>
      <c r="B2039" s="138">
        <f>'Cap Outlay Deprec 26'!I8</f>
        <v>175586</v>
      </c>
      <c r="D2039" s="2" t="str">
        <f t="shared" si="30"/>
        <v>Error?</v>
      </c>
    </row>
    <row r="2040" spans="1:4" x14ac:dyDescent="0.2">
      <c r="A2040" s="5">
        <v>1979</v>
      </c>
      <c r="B2040" s="138">
        <f>'Cap Outlay Deprec 26'!I10</f>
        <v>3560</v>
      </c>
      <c r="D2040" s="2" t="str">
        <f t="shared" si="30"/>
        <v>Error?</v>
      </c>
    </row>
    <row r="2041" spans="1:4" x14ac:dyDescent="0.2">
      <c r="A2041" s="5">
        <v>1980</v>
      </c>
      <c r="B2041" s="138">
        <f>'Cap Outlay Deprec 26'!I12</f>
        <v>27241</v>
      </c>
      <c r="D2041" s="2" t="str">
        <f t="shared" si="30"/>
        <v>Error?</v>
      </c>
    </row>
    <row r="2042" spans="1:4" x14ac:dyDescent="0.2">
      <c r="A2042" s="5">
        <v>1981</v>
      </c>
      <c r="B2042" s="138">
        <f>'Cap Outlay Deprec 26'!I13</f>
        <v>273070</v>
      </c>
      <c r="D2042" s="2" t="str">
        <f t="shared" si="30"/>
        <v>Error?</v>
      </c>
    </row>
    <row r="2043" spans="1:4" x14ac:dyDescent="0.2">
      <c r="A2043" s="5">
        <v>1982</v>
      </c>
      <c r="B2043" s="138">
        <f>'Cap Outlay Deprec 26'!I16</f>
        <v>487074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4544673</v>
      </c>
      <c r="C2051" s="2" t="s">
        <v>594</v>
      </c>
      <c r="D2051" s="2" t="str">
        <f t="shared" si="31"/>
        <v>Error?</v>
      </c>
    </row>
    <row r="2052" spans="1:4" x14ac:dyDescent="0.2">
      <c r="A2052" s="5">
        <v>1991</v>
      </c>
      <c r="B2052" s="138">
        <f>'Cap Outlay Deprec 26'!K10</f>
        <v>162440</v>
      </c>
      <c r="C2052" s="2" t="s">
        <v>594</v>
      </c>
      <c r="D2052" s="2" t="str">
        <f t="shared" si="31"/>
        <v>Error?</v>
      </c>
    </row>
    <row r="2053" spans="1:4" x14ac:dyDescent="0.2">
      <c r="A2053" s="5">
        <v>1992</v>
      </c>
      <c r="B2053" s="138">
        <f>'Cap Outlay Deprec 26'!K12</f>
        <v>2191457</v>
      </c>
      <c r="C2053" s="2" t="s">
        <v>594</v>
      </c>
      <c r="D2053" s="2" t="str">
        <f t="shared" si="31"/>
        <v>Error?</v>
      </c>
    </row>
    <row r="2054" spans="1:4" x14ac:dyDescent="0.2">
      <c r="A2054" s="5">
        <v>1993</v>
      </c>
      <c r="B2054" s="138">
        <f>'Cap Outlay Deprec 26'!K13</f>
        <v>2606004</v>
      </c>
      <c r="C2054" s="2" t="s">
        <v>594</v>
      </c>
      <c r="D2054" s="2" t="str">
        <f t="shared" si="31"/>
        <v>Error?</v>
      </c>
    </row>
    <row r="2055" spans="1:4" x14ac:dyDescent="0.2">
      <c r="A2055" s="5">
        <v>1994</v>
      </c>
      <c r="B2055" s="138">
        <f>'Cap Outlay Deprec 26'!K16</f>
        <v>9661418</v>
      </c>
      <c r="C2055" s="2" t="s">
        <v>594</v>
      </c>
      <c r="D2055" s="2" t="str">
        <f t="shared" si="31"/>
        <v>Error?</v>
      </c>
    </row>
    <row r="2056" spans="1:4" x14ac:dyDescent="0.2">
      <c r="A2056" s="5">
        <v>1995</v>
      </c>
      <c r="B2056" s="138">
        <f>'Cap Outlay Deprec 26'!L5</f>
        <v>144067</v>
      </c>
      <c r="C2056" s="2" t="s">
        <v>594</v>
      </c>
      <c r="D2056" s="2" t="str">
        <f t="shared" si="31"/>
        <v>Error?</v>
      </c>
    </row>
    <row r="2057" spans="1:4" x14ac:dyDescent="0.2">
      <c r="A2057" s="5">
        <v>1996</v>
      </c>
      <c r="B2057" s="138">
        <f>'Cap Outlay Deprec 26'!L8</f>
        <v>4280534</v>
      </c>
      <c r="C2057" s="2" t="s">
        <v>594</v>
      </c>
      <c r="D2057" s="2" t="str">
        <f t="shared" si="31"/>
        <v>Error?</v>
      </c>
    </row>
    <row r="2058" spans="1:4" x14ac:dyDescent="0.2">
      <c r="A2058" s="5">
        <v>1997</v>
      </c>
      <c r="B2058" s="138">
        <f>'Cap Outlay Deprec 26'!L10</f>
        <v>11966</v>
      </c>
      <c r="C2058" s="2" t="s">
        <v>594</v>
      </c>
      <c r="D2058" s="2" t="str">
        <f t="shared" si="31"/>
        <v>Error?</v>
      </c>
    </row>
    <row r="2059" spans="1:4" x14ac:dyDescent="0.2">
      <c r="A2059" s="5">
        <v>1998</v>
      </c>
      <c r="B2059" s="138">
        <f>'Cap Outlay Deprec 26'!L12</f>
        <v>179059</v>
      </c>
      <c r="C2059" s="2" t="s">
        <v>594</v>
      </c>
      <c r="D2059" s="2" t="str">
        <f t="shared" si="31"/>
        <v>Error?</v>
      </c>
    </row>
    <row r="2060" spans="1:4" x14ac:dyDescent="0.2">
      <c r="A2060" s="5">
        <v>1999</v>
      </c>
      <c r="B2060" s="138">
        <f>'Cap Outlay Deprec 26'!L13</f>
        <v>516921</v>
      </c>
      <c r="C2060" s="2" t="s">
        <v>594</v>
      </c>
      <c r="D2060" s="2" t="str">
        <f t="shared" si="31"/>
        <v>Error?</v>
      </c>
    </row>
    <row r="2061" spans="1:4" x14ac:dyDescent="0.2">
      <c r="A2061" s="5">
        <v>2000</v>
      </c>
      <c r="B2061" s="138">
        <f>'Cap Outlay Deprec 26'!L16</f>
        <v>5135722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149774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194613</v>
      </c>
      <c r="C2088" s="2" t="s">
        <v>594</v>
      </c>
      <c r="D2088" s="2" t="str">
        <f t="shared" si="31"/>
        <v>Error?</v>
      </c>
    </row>
    <row r="2089" spans="1:4" x14ac:dyDescent="0.2">
      <c r="A2089" s="5">
        <v>2028</v>
      </c>
      <c r="B2089" s="138">
        <f>'Expenditures 15-22'!K92</f>
        <v>109156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1200000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40996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4106218</v>
      </c>
      <c r="C2551" s="2" t="s">
        <v>594</v>
      </c>
      <c r="D2551" s="2" t="str">
        <f t="shared" si="38"/>
        <v>Error?</v>
      </c>
    </row>
    <row r="2552" spans="1:4" x14ac:dyDescent="0.2">
      <c r="A2552" s="10">
        <v>2491</v>
      </c>
      <c r="D2552" s="2" t="str">
        <f t="shared" si="38"/>
        <v>OK</v>
      </c>
    </row>
    <row r="2553" spans="1:4" x14ac:dyDescent="0.2">
      <c r="A2553" s="5">
        <v>2492</v>
      </c>
      <c r="B2553" s="138">
        <f>'Acct Summary 7-8'!C6</f>
        <v>2790757</v>
      </c>
      <c r="C2553" s="2" t="s">
        <v>594</v>
      </c>
      <c r="D2553" s="2" t="str">
        <f t="shared" si="38"/>
        <v>Error?</v>
      </c>
    </row>
    <row r="2554" spans="1:4" x14ac:dyDescent="0.2">
      <c r="A2554" s="5">
        <v>2493</v>
      </c>
      <c r="B2554" s="138">
        <f>'Acct Summary 7-8'!C7</f>
        <v>776588</v>
      </c>
      <c r="C2554" s="2" t="s">
        <v>594</v>
      </c>
      <c r="D2554" s="2" t="str">
        <f t="shared" si="38"/>
        <v>Error?</v>
      </c>
    </row>
    <row r="2555" spans="1:4" x14ac:dyDescent="0.2">
      <c r="A2555" s="5">
        <v>2494</v>
      </c>
      <c r="B2555" s="138">
        <f>'Acct Summary 7-8'!C8</f>
        <v>7807735</v>
      </c>
      <c r="C2555" s="2" t="s">
        <v>594</v>
      </c>
      <c r="D2555" s="2" t="str">
        <f t="shared" si="38"/>
        <v>Error?</v>
      </c>
    </row>
    <row r="2556" spans="1:4" x14ac:dyDescent="0.2">
      <c r="A2556" s="5">
        <v>2495</v>
      </c>
      <c r="B2556" s="138">
        <f>'Acct Summary 7-8'!C12</f>
        <v>6052881</v>
      </c>
      <c r="C2556" s="2" t="s">
        <v>594</v>
      </c>
      <c r="D2556" s="2" t="str">
        <f t="shared" si="38"/>
        <v>Error?</v>
      </c>
    </row>
    <row r="2557" spans="1:4" x14ac:dyDescent="0.2">
      <c r="A2557" s="5">
        <v>2496</v>
      </c>
      <c r="B2557" s="138">
        <f>'Acct Summary 7-8'!C13</f>
        <v>1965991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437941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8456813</v>
      </c>
      <c r="C2561" s="2" t="s">
        <v>594</v>
      </c>
      <c r="D2561" s="2" t="str">
        <f t="shared" si="39"/>
        <v>Error?</v>
      </c>
    </row>
    <row r="2562" spans="1:4" x14ac:dyDescent="0.2">
      <c r="A2562" s="5">
        <v>2501</v>
      </c>
      <c r="B2562" s="138">
        <f>'Acct Summary 7-8'!C20</f>
        <v>-649078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657535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657535</v>
      </c>
      <c r="C2568" s="2" t="s">
        <v>594</v>
      </c>
      <c r="D2568" s="2" t="str">
        <f t="shared" si="39"/>
        <v>Error?</v>
      </c>
    </row>
    <row r="2569" spans="1:4" x14ac:dyDescent="0.2">
      <c r="A2569" s="5">
        <v>2508</v>
      </c>
      <c r="B2569" s="138">
        <f>'Acct Summary 7-8'!D13</f>
        <v>668354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668354</v>
      </c>
      <c r="C2573" s="2" t="s">
        <v>594</v>
      </c>
      <c r="D2573" s="2" t="str">
        <f t="shared" si="39"/>
        <v>Error?</v>
      </c>
    </row>
    <row r="2574" spans="1:4" x14ac:dyDescent="0.2">
      <c r="A2574" s="5">
        <v>2513</v>
      </c>
      <c r="B2574" s="138">
        <f>'Acct Summary 7-8'!D20</f>
        <v>-10819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409590</v>
      </c>
      <c r="C2591" s="2" t="s">
        <v>594</v>
      </c>
      <c r="D2591" s="2" t="str">
        <f t="shared" si="39"/>
        <v>Error?</v>
      </c>
    </row>
    <row r="2592" spans="1:4" x14ac:dyDescent="0.2">
      <c r="A2592" s="10">
        <v>2531</v>
      </c>
      <c r="D2592" s="2" t="str">
        <f t="shared" si="39"/>
        <v>OK</v>
      </c>
    </row>
    <row r="2593" spans="1:4" x14ac:dyDescent="0.2">
      <c r="A2593" s="5">
        <v>2532</v>
      </c>
      <c r="B2593" s="138">
        <f>'Acct Summary 7-8'!F6</f>
        <v>400589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810179</v>
      </c>
      <c r="C2595" s="2" t="s">
        <v>594</v>
      </c>
      <c r="D2595" s="2" t="str">
        <f t="shared" si="39"/>
        <v>Error?</v>
      </c>
    </row>
    <row r="2596" spans="1:4" x14ac:dyDescent="0.2">
      <c r="A2596" s="5">
        <v>2535</v>
      </c>
      <c r="B2596" s="138">
        <f>'Acct Summary 7-8'!F13</f>
        <v>626199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626199</v>
      </c>
      <c r="C2600" s="2" t="s">
        <v>594</v>
      </c>
      <c r="D2600" s="2" t="str">
        <f t="shared" si="39"/>
        <v>Error?</v>
      </c>
    </row>
    <row r="2601" spans="1:4" x14ac:dyDescent="0.2">
      <c r="A2601" s="5">
        <v>2540</v>
      </c>
      <c r="B2601" s="138">
        <f>'Acct Summary 7-8'!F20</f>
        <v>183980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467603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467603</v>
      </c>
      <c r="C2606" s="2" t="s">
        <v>594</v>
      </c>
      <c r="D2606" s="2" t="str">
        <f t="shared" si="39"/>
        <v>Error?</v>
      </c>
    </row>
    <row r="2607" spans="1:4" x14ac:dyDescent="0.2">
      <c r="A2607" s="5">
        <v>2546</v>
      </c>
      <c r="B2607" s="138">
        <f>'Acct Summary 7-8'!G12</f>
        <v>187708</v>
      </c>
      <c r="C2607" s="2" t="s">
        <v>594</v>
      </c>
      <c r="D2607" s="2" t="str">
        <f t="shared" si="39"/>
        <v>Error?</v>
      </c>
    </row>
    <row r="2608" spans="1:4" x14ac:dyDescent="0.2">
      <c r="A2608" s="5">
        <v>2547</v>
      </c>
      <c r="B2608" s="138">
        <f>'Acct Summary 7-8'!G13</f>
        <v>241619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429327</v>
      </c>
      <c r="C2612" s="2" t="s">
        <v>594</v>
      </c>
      <c r="D2612" s="2" t="str">
        <f t="shared" si="39"/>
        <v>Error?</v>
      </c>
    </row>
    <row r="2613" spans="1:4" x14ac:dyDescent="0.2">
      <c r="A2613" s="5">
        <v>2552</v>
      </c>
      <c r="B2613" s="138">
        <f>'Acct Summary 7-8'!G20</f>
        <v>38276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1708310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1708310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1712681</v>
      </c>
      <c r="C2634" s="2" t="s">
        <v>594</v>
      </c>
      <c r="D2634" s="2" t="str">
        <f t="shared" si="40"/>
        <v>Error?</v>
      </c>
    </row>
    <row r="2635" spans="1:4" x14ac:dyDescent="0.2">
      <c r="A2635" s="5">
        <v>2574</v>
      </c>
      <c r="B2635" s="138">
        <f>'Acct Summary 7-8'!E17</f>
        <v>1712681</v>
      </c>
      <c r="C2635" s="2" t="s">
        <v>594</v>
      </c>
      <c r="D2635" s="2" t="str">
        <f t="shared" si="40"/>
        <v>Error?</v>
      </c>
    </row>
    <row r="2636" spans="1:4" x14ac:dyDescent="0.2">
      <c r="A2636" s="5">
        <v>2575</v>
      </c>
      <c r="B2636" s="138">
        <f>'Acct Summary 7-8'!E20</f>
        <v>-4371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44839</v>
      </c>
      <c r="C2789" s="2" t="s">
        <v>594</v>
      </c>
      <c r="D2789" s="2" t="str">
        <f t="shared" si="42"/>
        <v>Error?</v>
      </c>
    </row>
    <row r="2790" spans="1:4" x14ac:dyDescent="0.2">
      <c r="A2790" s="5">
        <v>2729</v>
      </c>
      <c r="B2790" s="138">
        <f>'Expenditures 15-22'!E102</f>
        <v>44839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156456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162612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156456</v>
      </c>
      <c r="D2912" s="2" t="str">
        <f t="shared" si="44"/>
        <v>Error?</v>
      </c>
    </row>
    <row r="2913" spans="1:4" x14ac:dyDescent="0.2">
      <c r="A2913" s="5">
        <v>2852</v>
      </c>
      <c r="B2913" s="138">
        <f>'Assets-Liab 5-6'!I41</f>
        <v>156456</v>
      </c>
      <c r="C2913" s="2" t="s">
        <v>594</v>
      </c>
      <c r="D2913" s="2" t="str">
        <f t="shared" si="44"/>
        <v>Error?</v>
      </c>
    </row>
    <row r="2914" spans="1:4" x14ac:dyDescent="0.2">
      <c r="A2914" s="5">
        <v>2853</v>
      </c>
      <c r="B2914" s="138">
        <f>'Assets-Liab 5-6'!L33</f>
        <v>83422</v>
      </c>
      <c r="D2914" s="2" t="str">
        <f t="shared" si="44"/>
        <v>Error?</v>
      </c>
    </row>
    <row r="2915" spans="1:4" x14ac:dyDescent="0.2">
      <c r="A2915" s="10">
        <v>2854</v>
      </c>
      <c r="D2915" s="2" t="str">
        <f t="shared" si="44"/>
        <v>OK</v>
      </c>
    </row>
    <row r="2916" spans="1:4" x14ac:dyDescent="0.2">
      <c r="A2916" s="5">
        <v>2855</v>
      </c>
      <c r="B2916" s="138">
        <f>'Assets-Liab 5-6'!L34</f>
        <v>83422</v>
      </c>
      <c r="C2916" s="2" t="s">
        <v>594</v>
      </c>
      <c r="D2916" s="2" t="str">
        <f t="shared" si="44"/>
        <v>Error?</v>
      </c>
    </row>
    <row r="2917" spans="1:4" x14ac:dyDescent="0.2">
      <c r="A2917" s="5">
        <v>2856</v>
      </c>
      <c r="B2917" s="138">
        <f>'Assets-Liab 5-6'!L41</f>
        <v>162612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44839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149774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194613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247898</v>
      </c>
      <c r="D3055" s="2" t="str">
        <f t="shared" si="46"/>
        <v>Error?</v>
      </c>
    </row>
    <row r="3056" spans="1:4" x14ac:dyDescent="0.2">
      <c r="A3056" s="5">
        <v>2995</v>
      </c>
      <c r="B3056" s="138">
        <f>'Expenditures 15-22'!D10</f>
        <v>94335</v>
      </c>
      <c r="D3056" s="2" t="str">
        <f t="shared" si="46"/>
        <v>Error?</v>
      </c>
    </row>
    <row r="3057" spans="1:4" x14ac:dyDescent="0.2">
      <c r="A3057" s="5">
        <v>2996</v>
      </c>
      <c r="B3057" s="138">
        <f>'Expenditures 15-22'!E10</f>
        <v>33956</v>
      </c>
      <c r="D3057" s="2" t="str">
        <f t="shared" si="46"/>
        <v>Error?</v>
      </c>
    </row>
    <row r="3058" spans="1:4" x14ac:dyDescent="0.2">
      <c r="A3058" s="5">
        <v>2997</v>
      </c>
      <c r="B3058" s="138">
        <f>'Expenditures 15-22'!F10</f>
        <v>3960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380149</v>
      </c>
      <c r="C3062" s="2" t="s">
        <v>594</v>
      </c>
      <c r="D3062" s="2" t="str">
        <f t="shared" si="46"/>
        <v>Error?</v>
      </c>
    </row>
    <row r="3063" spans="1:4" x14ac:dyDescent="0.2">
      <c r="A3063" s="10">
        <v>3002</v>
      </c>
      <c r="D3063" s="2" t="str">
        <f t="shared" si="46"/>
        <v>OK</v>
      </c>
    </row>
    <row r="3064" spans="1:4" x14ac:dyDescent="0.2">
      <c r="A3064" s="5">
        <v>3003</v>
      </c>
      <c r="B3064" s="138">
        <f>'Expenditures 15-22'!D219</f>
        <v>3517</v>
      </c>
      <c r="D3064" s="2" t="str">
        <f t="shared" si="46"/>
        <v>Error?</v>
      </c>
    </row>
    <row r="3065" spans="1:4" x14ac:dyDescent="0.2">
      <c r="A3065" s="5">
        <v>3004</v>
      </c>
      <c r="B3065" s="138">
        <f>'Expenditures 15-22'!K219</f>
        <v>3517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78658</v>
      </c>
      <c r="D3071" s="2" t="str">
        <f t="shared" ref="D3071:D3134" si="47">IF(ISBLANK(B3071),"OK",IF(A3071-B3071=0,"OK","Error?"))</f>
        <v>Error?</v>
      </c>
    </row>
    <row r="3072" spans="1:4" x14ac:dyDescent="0.2">
      <c r="A3072" s="5">
        <v>3011</v>
      </c>
      <c r="B3072" s="138">
        <f>'Assets-Liab 5-6'!L39</f>
        <v>532</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128025</v>
      </c>
      <c r="C3225" s="2" t="s">
        <v>594</v>
      </c>
      <c r="D3225" s="2" t="str">
        <f t="shared" si="49"/>
        <v>Error?</v>
      </c>
    </row>
    <row r="3226" spans="1:4" x14ac:dyDescent="0.2">
      <c r="A3226" s="5">
        <v>3165</v>
      </c>
      <c r="B3226" s="138">
        <f>'Acct Summary 7-8'!I8</f>
        <v>128025</v>
      </c>
      <c r="C3226" s="2" t="s">
        <v>594</v>
      </c>
      <c r="D3226" s="2" t="str">
        <f t="shared" si="49"/>
        <v>Error?</v>
      </c>
    </row>
    <row r="3227" spans="1:4" x14ac:dyDescent="0.2">
      <c r="A3227" s="5">
        <v>3166</v>
      </c>
      <c r="B3227" s="138">
        <f>'Acct Summary 7-8'!I20</f>
        <v>128025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1100000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1100000</v>
      </c>
      <c r="C3232" s="2" t="s">
        <v>594</v>
      </c>
      <c r="D3232" s="2" t="str">
        <f t="shared" si="49"/>
        <v>Error?</v>
      </c>
    </row>
    <row r="3233" spans="1:4" x14ac:dyDescent="0.2">
      <c r="A3233" s="5">
        <v>3172</v>
      </c>
      <c r="B3233" s="138">
        <f>'Acct Summary 7-8'!C78</f>
        <v>450922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100000</v>
      </c>
      <c r="C3238" s="2" t="s">
        <v>594</v>
      </c>
      <c r="D3238" s="2" t="str">
        <f t="shared" si="49"/>
        <v>Error?</v>
      </c>
    </row>
    <row r="3239" spans="1:4" x14ac:dyDescent="0.2">
      <c r="A3239" s="5">
        <v>3178</v>
      </c>
      <c r="B3239" s="138">
        <f>'Acct Summary 7-8'!D78</f>
        <v>89181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183980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38276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-4371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1200000</v>
      </c>
      <c r="C3318" s="2" t="s">
        <v>594</v>
      </c>
      <c r="D3318" s="2" t="str">
        <f t="shared" si="50"/>
        <v>Error?</v>
      </c>
    </row>
    <row r="3319" spans="1:4" x14ac:dyDescent="0.2">
      <c r="A3319" s="5">
        <v>3258</v>
      </c>
      <c r="B3319" s="138">
        <f>'Acct Summary 7-8'!I77</f>
        <v>-1200000</v>
      </c>
      <c r="C3319" s="2" t="s">
        <v>594</v>
      </c>
      <c r="D3319" s="2" t="str">
        <f t="shared" si="50"/>
        <v>Error?</v>
      </c>
    </row>
    <row r="3320" spans="1:4" x14ac:dyDescent="0.2">
      <c r="A3320" s="5">
        <v>3259</v>
      </c>
      <c r="B3320" s="138">
        <f>'Acct Summary 7-8'!I78</f>
        <v>-1071975</v>
      </c>
      <c r="C3320" s="2" t="s">
        <v>594</v>
      </c>
      <c r="D3320" s="2" t="str">
        <f t="shared" si="50"/>
        <v>Error?</v>
      </c>
    </row>
    <row r="3321" spans="1:4" x14ac:dyDescent="0.2">
      <c r="A3321" s="5">
        <v>3260</v>
      </c>
      <c r="B3321" s="138">
        <f>'Acct Summary 7-8'!I79</f>
        <v>1228431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156456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958712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188335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7857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1154904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36802</v>
      </c>
      <c r="D3387" s="2" t="str">
        <f t="shared" si="51"/>
        <v>Error?</v>
      </c>
    </row>
    <row r="3388" spans="1:4" x14ac:dyDescent="0.2">
      <c r="A3388" s="5">
        <v>3327</v>
      </c>
      <c r="B3388" s="138">
        <f>'Expenditures 15-22'!D217</f>
        <v>92241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36802</v>
      </c>
      <c r="C3390" s="2" t="s">
        <v>594</v>
      </c>
      <c r="D3390" s="2" t="str">
        <f t="shared" si="51"/>
        <v>Error?</v>
      </c>
    </row>
    <row r="3391" spans="1:4" x14ac:dyDescent="0.2">
      <c r="A3391" s="5">
        <v>3330</v>
      </c>
      <c r="B3391" s="138">
        <f>'Expenditures 15-22'!K217</f>
        <v>92241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134172</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650203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110072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62696</v>
      </c>
      <c r="D3417" s="2" t="str">
        <f t="shared" si="52"/>
        <v>Error?</v>
      </c>
    </row>
    <row r="3418" spans="1:4" x14ac:dyDescent="0.2">
      <c r="A3418" s="10">
        <v>3357</v>
      </c>
      <c r="D3418" s="2" t="str">
        <f t="shared" si="52"/>
        <v>OK</v>
      </c>
    </row>
    <row r="3419" spans="1:4" x14ac:dyDescent="0.2">
      <c r="A3419" s="5">
        <v>3358</v>
      </c>
      <c r="B3419" s="138">
        <f>'Assets-Liab 5-6'!F4</f>
        <v>350966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186548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156456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162612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448693</v>
      </c>
      <c r="C3446" s="2" t="s">
        <v>594</v>
      </c>
      <c r="D3446" s="2" t="str">
        <f t="shared" si="52"/>
        <v>Error?</v>
      </c>
    </row>
    <row r="3447" spans="1:4" x14ac:dyDescent="0.2">
      <c r="A3447" s="5">
        <v>3386</v>
      </c>
      <c r="B3447" s="138">
        <f>'Tax Sched 23'!D16</f>
        <v>448693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463522.64253040001</v>
      </c>
      <c r="C3449" s="2" t="s">
        <v>594</v>
      </c>
      <c r="D3449" s="2" t="str">
        <f t="shared" si="52"/>
        <v>Error?</v>
      </c>
    </row>
    <row r="3450" spans="1:4" x14ac:dyDescent="0.2">
      <c r="A3450" s="5">
        <v>3389</v>
      </c>
      <c r="B3450" s="138">
        <f>'Tax Sched 23'!E16</f>
        <v>463522.64253040001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536386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536386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536386</v>
      </c>
      <c r="D3567" s="2" t="str">
        <f t="shared" si="54"/>
        <v>Error?</v>
      </c>
    </row>
    <row r="3568" spans="1:4" x14ac:dyDescent="0.2">
      <c r="A3568" s="5">
        <v>3507</v>
      </c>
      <c r="B3568" s="138">
        <f>'Assets-Liab 5-6'!K41</f>
        <v>536386</v>
      </c>
      <c r="C3568" s="2" t="s">
        <v>594</v>
      </c>
      <c r="D3568" s="2" t="str">
        <f t="shared" si="54"/>
        <v>Error?</v>
      </c>
    </row>
    <row r="3569" spans="1:4" x14ac:dyDescent="0.2">
      <c r="A3569" s="5">
        <v>3508</v>
      </c>
      <c r="B3569" s="138">
        <f>'Acct Summary 7-8'!K4</f>
        <v>123469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123469</v>
      </c>
      <c r="C3571" s="2" t="s">
        <v>594</v>
      </c>
      <c r="D3571" s="2" t="str">
        <f t="shared" si="54"/>
        <v>Error?</v>
      </c>
    </row>
    <row r="3572" spans="1:4" x14ac:dyDescent="0.2">
      <c r="A3572" s="5">
        <v>3511</v>
      </c>
      <c r="B3572" s="138">
        <f>'Acct Summary 7-8'!K13</f>
        <v>91841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91841</v>
      </c>
      <c r="C3575" s="2" t="s">
        <v>594</v>
      </c>
      <c r="D3575" s="2" t="str">
        <f t="shared" si="54"/>
        <v>Error?</v>
      </c>
    </row>
    <row r="3576" spans="1:4" x14ac:dyDescent="0.2">
      <c r="A3576" s="5">
        <v>3515</v>
      </c>
      <c r="B3576" s="138">
        <f>'Acct Summary 7-8'!K20</f>
        <v>31628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31628</v>
      </c>
      <c r="C3588" s="2" t="s">
        <v>594</v>
      </c>
      <c r="D3588" s="2" t="str">
        <f t="shared" si="55"/>
        <v>Error?</v>
      </c>
    </row>
    <row r="3589" spans="1:4" x14ac:dyDescent="0.2">
      <c r="A3589" s="5">
        <v>3528</v>
      </c>
      <c r="B3589" s="138">
        <f>'Acct Summary 7-8'!K79</f>
        <v>504758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536386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91841</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91841</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91841</v>
      </c>
      <c r="C3649" s="2" t="s">
        <v>594</v>
      </c>
      <c r="D3649" s="2" t="str">
        <f t="shared" si="56"/>
        <v>Error?</v>
      </c>
    </row>
    <row r="3650" spans="1:4" x14ac:dyDescent="0.2">
      <c r="A3650" s="5">
        <v>3589</v>
      </c>
      <c r="B3650" s="138">
        <f>'Expenditures 15-22'!G367</f>
        <v>91841</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91841</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91841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91841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91841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31628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118382</v>
      </c>
      <c r="C3725" s="2" t="s">
        <v>594</v>
      </c>
      <c r="D3725" s="2" t="str">
        <f t="shared" si="57"/>
        <v>Error?</v>
      </c>
    </row>
    <row r="3726" spans="1:4" x14ac:dyDescent="0.2">
      <c r="A3726" s="5">
        <v>3665</v>
      </c>
      <c r="B3726" s="138">
        <f>'Tax Sched 23'!D13</f>
        <v>118382</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121877.0095</v>
      </c>
      <c r="C3728" s="2" t="s">
        <v>594</v>
      </c>
      <c r="D3728" s="2" t="str">
        <f t="shared" si="57"/>
        <v>Error?</v>
      </c>
    </row>
    <row r="3729" spans="1:4" x14ac:dyDescent="0.2">
      <c r="A3729" s="5">
        <v>3668</v>
      </c>
      <c r="B3729" s="138">
        <f>'Tax Sched 23'!E13</f>
        <v>121877.0095</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3929287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11737022</v>
      </c>
      <c r="C4122" s="2" t="s">
        <v>594</v>
      </c>
      <c r="D4122" s="2" t="str">
        <f t="shared" si="63"/>
        <v>Error?</v>
      </c>
    </row>
    <row r="4123" spans="1:4" x14ac:dyDescent="0.2">
      <c r="A4123" s="5">
        <v>4062</v>
      </c>
      <c r="B4123" s="138">
        <f>'Acct Summary 7-8'!D10</f>
        <v>657535</v>
      </c>
      <c r="C4123" s="2" t="s">
        <v>594</v>
      </c>
      <c r="D4123" s="2" t="str">
        <f t="shared" si="63"/>
        <v>Error?</v>
      </c>
    </row>
    <row r="4124" spans="1:4" x14ac:dyDescent="0.2">
      <c r="A4124" s="5">
        <v>4063</v>
      </c>
      <c r="B4124" s="138">
        <f>'Acct Summary 7-8'!E10</f>
        <v>1708310</v>
      </c>
      <c r="C4124" s="2" t="s">
        <v>594</v>
      </c>
      <c r="D4124" s="2" t="str">
        <f t="shared" si="63"/>
        <v>Error?</v>
      </c>
    </row>
    <row r="4125" spans="1:4" x14ac:dyDescent="0.2">
      <c r="A4125" s="5">
        <v>4064</v>
      </c>
      <c r="B4125" s="138">
        <f>'Acct Summary 7-8'!F10</f>
        <v>810179</v>
      </c>
      <c r="C4125" s="2" t="s">
        <v>594</v>
      </c>
      <c r="D4125" s="2" t="str">
        <f t="shared" si="63"/>
        <v>Error?</v>
      </c>
    </row>
    <row r="4126" spans="1:4" x14ac:dyDescent="0.2">
      <c r="A4126" s="5">
        <v>4065</v>
      </c>
      <c r="B4126" s="138">
        <f>'Acct Summary 7-8'!G10</f>
        <v>467603</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128025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123469</v>
      </c>
      <c r="C4130" s="2" t="s">
        <v>594</v>
      </c>
      <c r="D4130" s="2" t="str">
        <f t="shared" si="63"/>
        <v>Error?</v>
      </c>
    </row>
    <row r="4131" spans="1:4" x14ac:dyDescent="0.2">
      <c r="A4131" s="5">
        <v>4070</v>
      </c>
      <c r="B4131" s="138">
        <f>'Acct Summary 7-8'!C18</f>
        <v>3929287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12386100</v>
      </c>
      <c r="C4136" s="2" t="s">
        <v>594</v>
      </c>
      <c r="D4136" s="2" t="str">
        <f t="shared" si="63"/>
        <v>Error?</v>
      </c>
    </row>
    <row r="4137" spans="1:4" x14ac:dyDescent="0.2">
      <c r="A4137" s="5">
        <v>4076</v>
      </c>
      <c r="B4137" s="138">
        <f>'Acct Summary 7-8'!D19</f>
        <v>668354</v>
      </c>
      <c r="C4137" s="2" t="s">
        <v>594</v>
      </c>
      <c r="D4137" s="2" t="str">
        <f t="shared" si="63"/>
        <v>Error?</v>
      </c>
    </row>
    <row r="4138" spans="1:4" x14ac:dyDescent="0.2">
      <c r="A4138" s="5">
        <v>4077</v>
      </c>
      <c r="B4138" s="138">
        <f>'Acct Summary 7-8'!E19</f>
        <v>1712681</v>
      </c>
      <c r="C4138" s="2" t="s">
        <v>594</v>
      </c>
      <c r="D4138" s="2" t="str">
        <f t="shared" si="63"/>
        <v>Error?</v>
      </c>
    </row>
    <row r="4139" spans="1:4" x14ac:dyDescent="0.2">
      <c r="A4139" s="5">
        <v>4078</v>
      </c>
      <c r="B4139" s="138">
        <f>'Acct Summary 7-8'!F19</f>
        <v>626199</v>
      </c>
      <c r="C4139" s="2" t="s">
        <v>594</v>
      </c>
      <c r="D4139" s="2" t="str">
        <f t="shared" si="63"/>
        <v>Error?</v>
      </c>
    </row>
    <row r="4140" spans="1:4" x14ac:dyDescent="0.2">
      <c r="A4140" s="5">
        <v>4079</v>
      </c>
      <c r="B4140" s="138">
        <f>'Acct Summary 7-8'!G19</f>
        <v>429327</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91841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135000</v>
      </c>
      <c r="C4171" s="2" t="s">
        <v>594</v>
      </c>
      <c r="D4171" s="2" t="str">
        <f t="shared" si="64"/>
        <v>Error?</v>
      </c>
    </row>
    <row r="4172" spans="1:4" x14ac:dyDescent="0.2">
      <c r="A4172" s="5">
        <v>4111</v>
      </c>
      <c r="B4172" s="138">
        <f>'Short-Term Long-Term Debt 24'!J49</f>
        <v>72304</v>
      </c>
      <c r="C4172" s="2" t="s">
        <v>594</v>
      </c>
      <c r="D4172" s="2" t="str">
        <f t="shared" si="64"/>
        <v>Error?</v>
      </c>
    </row>
    <row r="4173" spans="1:4" x14ac:dyDescent="0.2">
      <c r="A4173" s="5">
        <v>4112</v>
      </c>
      <c r="B4173" s="138">
        <f>'Short-Term Long-Term Debt 24'!H49</f>
        <v>1675000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2074.1099999999997</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2444</v>
      </c>
      <c r="C4268" s="2" t="s">
        <v>594</v>
      </c>
      <c r="D4268" s="2" t="str">
        <f t="shared" si="65"/>
        <v>Error?</v>
      </c>
    </row>
    <row r="4269" spans="1:5" x14ac:dyDescent="0.2">
      <c r="A4269" s="12">
        <v>4208</v>
      </c>
      <c r="B4269" s="138">
        <f>'FP Info 3'!J16</f>
        <v>1267697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23570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167587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19625</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19625</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39829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1515</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243754019</v>
      </c>
      <c r="D4995" s="2" t="str">
        <f t="shared" si="77"/>
        <v>Error?</v>
      </c>
    </row>
    <row r="4996" spans="1:4" x14ac:dyDescent="0.2">
      <c r="A4996" s="12">
        <v>4935</v>
      </c>
      <c r="B4996" s="138">
        <f>'FP Info 3'!H31</f>
        <v>16819027.311000001</v>
      </c>
      <c r="D4996" s="2" t="str">
        <f t="shared" si="77"/>
        <v>Error?</v>
      </c>
    </row>
    <row r="4997" spans="1:4" x14ac:dyDescent="0.2">
      <c r="A4997" s="12">
        <v>4936</v>
      </c>
      <c r="B4997" s="138">
        <f>'FP Info 3'!H37</f>
        <v>135000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118382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3314699</v>
      </c>
      <c r="D5061" s="2" t="str">
        <f t="shared" si="78"/>
        <v>Error?</v>
      </c>
    </row>
    <row r="5062" spans="1:4" x14ac:dyDescent="0.2">
      <c r="A5062" s="10">
        <v>5001</v>
      </c>
      <c r="D5062" s="2" t="str">
        <f t="shared" si="78"/>
        <v>OK</v>
      </c>
    </row>
    <row r="5063" spans="1:4" x14ac:dyDescent="0.2">
      <c r="A5063" s="5">
        <v>5002</v>
      </c>
      <c r="B5063" s="138">
        <f>'Revenues 9-14'!C7</f>
        <v>47353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3480434</v>
      </c>
      <c r="C5066" s="2" t="s">
        <v>594</v>
      </c>
      <c r="D5066" s="2" t="str">
        <f t="shared" si="78"/>
        <v>Error?</v>
      </c>
    </row>
    <row r="5067" spans="1:4" x14ac:dyDescent="0.2">
      <c r="A5067" s="5">
        <v>5006</v>
      </c>
      <c r="B5067" s="138">
        <f>'Revenues 9-14'!C14</f>
        <v>6224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273511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279735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1150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1150</v>
      </c>
      <c r="C5087" s="2" t="s">
        <v>594</v>
      </c>
      <c r="D5087" s="2" t="str">
        <f t="shared" si="78"/>
        <v>Error?</v>
      </c>
    </row>
    <row r="5088" spans="1:4" x14ac:dyDescent="0.2">
      <c r="A5088" s="5">
        <v>5027</v>
      </c>
      <c r="B5088" s="138">
        <f>'Revenues 9-14'!C65</f>
        <v>8199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8199</v>
      </c>
      <c r="C5090" s="2" t="s">
        <v>594</v>
      </c>
      <c r="D5090" s="2" t="str">
        <f t="shared" si="78"/>
        <v>Error?</v>
      </c>
    </row>
    <row r="5091" spans="1:4" x14ac:dyDescent="0.2">
      <c r="A5091" s="5">
        <v>5030</v>
      </c>
      <c r="B5091" s="138">
        <f>'Revenues 9-14'!C70</f>
        <v>29540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32048</v>
      </c>
      <c r="D5095" s="2" t="str">
        <f t="shared" si="78"/>
        <v>Error?</v>
      </c>
    </row>
    <row r="5096" spans="1:4" x14ac:dyDescent="0.2">
      <c r="A5096" s="5">
        <v>5035</v>
      </c>
      <c r="B5096" s="138">
        <f>'Revenues 9-14'!C75</f>
        <v>215852</v>
      </c>
      <c r="C5096" s="2" t="s">
        <v>594</v>
      </c>
      <c r="D5096" s="2" t="str">
        <f t="shared" si="78"/>
        <v>Error?</v>
      </c>
    </row>
    <row r="5097" spans="1:4" x14ac:dyDescent="0.2">
      <c r="A5097" s="5">
        <v>5036</v>
      </c>
      <c r="B5097" s="138">
        <f>'Revenues 9-14'!C77</f>
        <v>5378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24870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30248</v>
      </c>
      <c r="C5102" s="2" t="s">
        <v>594</v>
      </c>
      <c r="D5102" s="2" t="str">
        <f t="shared" si="78"/>
        <v>Error?</v>
      </c>
    </row>
    <row r="5103" spans="1:4" x14ac:dyDescent="0.2">
      <c r="A5103" s="5">
        <v>5042</v>
      </c>
      <c r="B5103" s="138">
        <f>'Revenues 9-14'!C84</f>
        <v>24870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24870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34145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3317</v>
      </c>
      <c r="D5118" s="2" t="str">
        <f t="shared" si="78"/>
        <v>Error?</v>
      </c>
    </row>
    <row r="5119" spans="1:4" x14ac:dyDescent="0.2">
      <c r="A5119" s="5">
        <v>5058</v>
      </c>
      <c r="B5119" s="138">
        <f>'Revenues 9-14'!C107</f>
        <v>24983</v>
      </c>
      <c r="D5119" s="2" t="str">
        <f t="shared" ref="D5119:D5182" si="79">IF(ISBLANK(B5119),"OK",IF(A5119-B5119=0,"OK","Error?"))</f>
        <v>Error?</v>
      </c>
    </row>
    <row r="5120" spans="1:4" x14ac:dyDescent="0.2">
      <c r="A5120" s="5">
        <v>5059</v>
      </c>
      <c r="B5120" s="138">
        <f>'Revenues 9-14'!C108</f>
        <v>65730</v>
      </c>
      <c r="C5120" s="2" t="s">
        <v>594</v>
      </c>
      <c r="D5120" s="2" t="str">
        <f t="shared" si="79"/>
        <v>Error?</v>
      </c>
    </row>
    <row r="5121" spans="1:4" x14ac:dyDescent="0.2">
      <c r="A5121" s="5">
        <v>5060</v>
      </c>
      <c r="B5121" s="138">
        <f>'Revenues 9-14'!C109</f>
        <v>4106218</v>
      </c>
      <c r="C5121" s="2" t="s">
        <v>594</v>
      </c>
      <c r="D5121" s="2" t="str">
        <f t="shared" si="79"/>
        <v>Error?</v>
      </c>
    </row>
    <row r="5122" spans="1:4" x14ac:dyDescent="0.2">
      <c r="A5122" s="5">
        <v>5061</v>
      </c>
      <c r="B5122" s="138">
        <f>'Revenues 9-14'!C111</f>
        <v>124341</v>
      </c>
      <c r="D5122" s="2" t="str">
        <f t="shared" si="79"/>
        <v>Error?</v>
      </c>
    </row>
    <row r="5123" spans="1:4" x14ac:dyDescent="0.2">
      <c r="A5123" s="5">
        <v>5062</v>
      </c>
      <c r="B5123" s="138">
        <f>'Revenues 9-14'!C112</f>
        <v>9831</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134172</v>
      </c>
      <c r="C5125" s="2" t="s">
        <v>594</v>
      </c>
      <c r="D5125" s="2" t="str">
        <f t="shared" si="79"/>
        <v>Error?</v>
      </c>
    </row>
    <row r="5126" spans="1:4" x14ac:dyDescent="0.2">
      <c r="A5126" s="5">
        <v>5065</v>
      </c>
      <c r="B5126" s="138">
        <f>'Revenues 9-14'!C117</f>
        <v>1792498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1792498</v>
      </c>
      <c r="C5132" s="2" t="s">
        <v>594</v>
      </c>
      <c r="D5132" s="2" t="str">
        <f t="shared" si="79"/>
        <v>Error?</v>
      </c>
    </row>
    <row r="5133" spans="1:4" x14ac:dyDescent="0.2">
      <c r="A5133" s="5">
        <v>5072</v>
      </c>
      <c r="B5133" s="138">
        <f>'Revenues 9-14'!C124</f>
        <v>30218</v>
      </c>
      <c r="D5133" s="2" t="str">
        <f t="shared" si="79"/>
        <v>Error?</v>
      </c>
    </row>
    <row r="5134" spans="1:4" x14ac:dyDescent="0.2">
      <c r="A5134" s="5">
        <v>5073</v>
      </c>
      <c r="B5134" s="138">
        <f>'Revenues 9-14'!C125</f>
        <v>72788</v>
      </c>
      <c r="D5134" s="2" t="str">
        <f t="shared" si="79"/>
        <v>Error?</v>
      </c>
    </row>
    <row r="5135" spans="1:4" x14ac:dyDescent="0.2">
      <c r="A5135" s="5">
        <v>5074</v>
      </c>
      <c r="B5135" s="138">
        <f>'Revenues 9-14'!C126</f>
        <v>55550</v>
      </c>
      <c r="D5135" s="2" t="str">
        <f t="shared" si="79"/>
        <v>Error?</v>
      </c>
    </row>
    <row r="5136" spans="1:4" x14ac:dyDescent="0.2">
      <c r="A5136" s="10">
        <v>5075</v>
      </c>
      <c r="D5136" s="2" t="str">
        <f t="shared" si="79"/>
        <v>OK</v>
      </c>
    </row>
    <row r="5137" spans="1:4" x14ac:dyDescent="0.2">
      <c r="A5137" s="5">
        <v>5076</v>
      </c>
      <c r="B5137" s="138">
        <f>'Revenues 9-14'!C127</f>
        <v>25987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184543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3747</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808454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998259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2790757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197644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50503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248147</v>
      </c>
      <c r="C5246" s="2" t="s">
        <v>594</v>
      </c>
      <c r="D5246" s="2" t="str">
        <f t="shared" si="80"/>
        <v>Error?</v>
      </c>
    </row>
    <row r="5247" spans="1:4" x14ac:dyDescent="0.2">
      <c r="A5247" s="5">
        <v>5186</v>
      </c>
      <c r="B5247" s="138">
        <f>'Revenues 9-14'!C203</f>
        <v>273195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273195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4635</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4635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776588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776588</v>
      </c>
      <c r="C5326" s="2" t="s">
        <v>594</v>
      </c>
      <c r="D5326" s="2" t="str">
        <f t="shared" si="82"/>
        <v>Error?</v>
      </c>
    </row>
    <row r="5327" spans="1:4" x14ac:dyDescent="0.2">
      <c r="A5327" s="5">
        <v>5266</v>
      </c>
      <c r="B5327" s="138">
        <f>'Revenues 9-14'!C275</f>
        <v>7807735</v>
      </c>
      <c r="C5327" s="2" t="s">
        <v>594</v>
      </c>
      <c r="D5327" s="2" t="str">
        <f t="shared" si="82"/>
        <v>Error?</v>
      </c>
    </row>
    <row r="5328" spans="1:4" x14ac:dyDescent="0.2">
      <c r="A5328" s="5">
        <v>5267</v>
      </c>
      <c r="B5328" s="138">
        <f>'Revenues 9-14'!D5</f>
        <v>591911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591911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1936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1936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40357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23331</v>
      </c>
      <c r="D5354" s="2" t="str">
        <f t="shared" si="82"/>
        <v>Error?</v>
      </c>
    </row>
    <row r="5355" spans="1:4" x14ac:dyDescent="0.2">
      <c r="A5355" s="5">
        <v>5294</v>
      </c>
      <c r="B5355" s="138">
        <f>'Revenues 9-14'!D108</f>
        <v>63688</v>
      </c>
      <c r="C5355" s="2" t="s">
        <v>594</v>
      </c>
      <c r="D5355" s="2" t="str">
        <f t="shared" si="82"/>
        <v>Error?</v>
      </c>
    </row>
    <row r="5356" spans="1:4" x14ac:dyDescent="0.2">
      <c r="A5356" s="5">
        <v>5295</v>
      </c>
      <c r="B5356" s="138">
        <f>'Revenues 9-14'!D109</f>
        <v>657535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657535</v>
      </c>
      <c r="C5508" s="2" t="s">
        <v>594</v>
      </c>
      <c r="D5508" s="2" t="str">
        <f t="shared" si="85"/>
        <v>Error?</v>
      </c>
    </row>
    <row r="5509" spans="1:4" x14ac:dyDescent="0.2">
      <c r="A5509" s="5">
        <v>5448</v>
      </c>
      <c r="B5509" s="138">
        <f>'Revenues 9-14'!E5</f>
        <v>1705008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1705008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3302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3302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1708310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1708310</v>
      </c>
      <c r="C5552" s="2" t="s">
        <v>594</v>
      </c>
      <c r="D5552" s="2" t="str">
        <f t="shared" si="85"/>
        <v>Error?</v>
      </c>
    </row>
    <row r="5553" spans="1:4" x14ac:dyDescent="0.2">
      <c r="A5553" s="5">
        <v>5492</v>
      </c>
      <c r="B5553" s="138">
        <f>'Revenues 9-14'!F5</f>
        <v>284117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284117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5909</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2142</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109818</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117869</v>
      </c>
      <c r="C5579" s="2" t="s">
        <v>594</v>
      </c>
      <c r="D5579" s="2" t="str">
        <f t="shared" si="86"/>
        <v>Error?</v>
      </c>
    </row>
    <row r="5580" spans="1:4" x14ac:dyDescent="0.2">
      <c r="A5580" s="5">
        <v>5519</v>
      </c>
      <c r="B5580" s="138">
        <f>'Revenues 9-14'!F65</f>
        <v>2585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2585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486</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4533</v>
      </c>
      <c r="D5586" s="2" t="str">
        <f t="shared" si="86"/>
        <v>Error?</v>
      </c>
    </row>
    <row r="5587" spans="1:4" x14ac:dyDescent="0.2">
      <c r="A5587" s="5">
        <v>5526</v>
      </c>
      <c r="B5587" s="138">
        <f>'Revenues 9-14'!F108</f>
        <v>5019</v>
      </c>
      <c r="C5587" s="2" t="s">
        <v>594</v>
      </c>
      <c r="D5587" s="2" t="str">
        <f t="shared" si="86"/>
        <v>Error?</v>
      </c>
    </row>
    <row r="5588" spans="1:4" x14ac:dyDescent="0.2">
      <c r="A5588" s="5">
        <v>5527</v>
      </c>
      <c r="B5588" s="138">
        <f>'Revenues 9-14'!F109</f>
        <v>409590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115003</v>
      </c>
      <c r="D5615" s="2" t="str">
        <f t="shared" si="86"/>
        <v>Error?</v>
      </c>
    </row>
    <row r="5616" spans="1:4" x14ac:dyDescent="0.2">
      <c r="A5616" s="10">
        <v>5555</v>
      </c>
      <c r="D5616" s="2" t="str">
        <f t="shared" si="86"/>
        <v>OK</v>
      </c>
    </row>
    <row r="5617" spans="1:4" x14ac:dyDescent="0.2">
      <c r="A5617" s="5">
        <v>5556</v>
      </c>
      <c r="B5617" s="138">
        <f>'Revenues 9-14'!F152</f>
        <v>285586</v>
      </c>
      <c r="D5617" s="2" t="str">
        <f t="shared" si="86"/>
        <v>Error?</v>
      </c>
    </row>
    <row r="5618" spans="1:4" x14ac:dyDescent="0.2">
      <c r="A5618" s="5">
        <v>5557</v>
      </c>
      <c r="B5618" s="138">
        <f>'Revenues 9-14'!F154</f>
        <v>400589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400589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400589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810179</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448693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448693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16069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16069</v>
      </c>
      <c r="C5730" s="2" t="s">
        <v>594</v>
      </c>
      <c r="D5730" s="2" t="str">
        <f t="shared" si="88"/>
        <v>Error?</v>
      </c>
    </row>
    <row r="5731" spans="1:4" x14ac:dyDescent="0.2">
      <c r="A5731" s="5">
        <v>5670</v>
      </c>
      <c r="B5731" s="138">
        <f>'Revenues 9-14'!G65</f>
        <v>2841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2841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467603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118382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118382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9643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9643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128025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118382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118382</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5087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5087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123469</v>
      </c>
      <c r="C6023" s="2" t="s">
        <v>594</v>
      </c>
      <c r="D6023" s="2" t="str">
        <f t="shared" si="93"/>
        <v>Error?</v>
      </c>
    </row>
    <row r="6024" spans="1:5" x14ac:dyDescent="0.2">
      <c r="A6024" s="5">
        <v>5963</v>
      </c>
      <c r="B6024" s="138">
        <f>'Revenues 9-14'!G109</f>
        <v>467603</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128025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123469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154264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42752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1022.69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164991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164991</v>
      </c>
      <c r="D6215" s="2" t="str">
        <f t="shared" si="96"/>
        <v>Error?</v>
      </c>
      <c r="E6215" s="2" t="s">
        <v>199</v>
      </c>
    </row>
    <row r="6216" spans="1:5" x14ac:dyDescent="0.2">
      <c r="A6216">
        <v>6155</v>
      </c>
      <c r="B6216" s="138">
        <f>'Assets-Liab 5-6'!J41</f>
        <v>164991</v>
      </c>
      <c r="D6216" s="2" t="str">
        <f t="shared" si="96"/>
        <v>Error?</v>
      </c>
      <c r="E6216" s="2" t="s">
        <v>199</v>
      </c>
    </row>
    <row r="6217" spans="1:5" x14ac:dyDescent="0.2">
      <c r="A6217">
        <v>6156</v>
      </c>
      <c r="B6217" s="138">
        <f>'Assets-Liab 5-6'!J4</f>
        <v>164991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773777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773777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773777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756162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756162</v>
      </c>
      <c r="D6229" s="2" t="str">
        <f t="shared" si="96"/>
        <v>Error?</v>
      </c>
      <c r="E6229" s="2" t="s">
        <v>199</v>
      </c>
    </row>
    <row r="6230" spans="1:5" x14ac:dyDescent="0.2">
      <c r="A6230">
        <v>6169</v>
      </c>
      <c r="B6230" s="138">
        <f>'Acct Summary 7-8'!J20</f>
        <v>17615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17615</v>
      </c>
      <c r="D6263" s="2" t="str">
        <f t="shared" si="96"/>
        <v>Error?</v>
      </c>
      <c r="E6263" s="2" t="s">
        <v>199</v>
      </c>
    </row>
    <row r="6264" spans="1:5" x14ac:dyDescent="0.2">
      <c r="A6264">
        <v>6203</v>
      </c>
      <c r="B6264" s="138">
        <f>'Acct Summary 7-8'!J79</f>
        <v>147376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164991</v>
      </c>
      <c r="D6266" s="2" t="str">
        <f t="shared" si="96"/>
        <v>Error?</v>
      </c>
      <c r="E6266" s="2" t="s">
        <v>199</v>
      </c>
    </row>
    <row r="6267" spans="1:5" x14ac:dyDescent="0.2">
      <c r="A6267">
        <v>6206</v>
      </c>
      <c r="B6267" s="138">
        <f>'Acct Summary 7-8'!C82</f>
        <v>450922</v>
      </c>
      <c r="D6267" s="2" t="str">
        <f t="shared" si="96"/>
        <v>Error?</v>
      </c>
      <c r="E6267" s="2" t="s">
        <v>199</v>
      </c>
    </row>
    <row r="6268" spans="1:5" x14ac:dyDescent="0.2">
      <c r="A6268">
        <v>6207</v>
      </c>
      <c r="B6268" s="138">
        <f>'Acct Summary 7-8'!D82</f>
        <v>89181</v>
      </c>
      <c r="D6268" s="2" t="str">
        <f t="shared" si="96"/>
        <v>Error?</v>
      </c>
      <c r="E6268" s="2" t="s">
        <v>199</v>
      </c>
    </row>
    <row r="6269" spans="1:5" x14ac:dyDescent="0.2">
      <c r="A6269">
        <v>6208</v>
      </c>
      <c r="B6269" s="138">
        <f>'Acct Summary 7-8'!E82</f>
        <v>-4371</v>
      </c>
      <c r="D6269" s="2" t="str">
        <f t="shared" si="96"/>
        <v>Error?</v>
      </c>
      <c r="E6269" s="2" t="s">
        <v>199</v>
      </c>
    </row>
    <row r="6270" spans="1:5" x14ac:dyDescent="0.2">
      <c r="A6270">
        <v>6209</v>
      </c>
      <c r="B6270" s="138">
        <f>'Acct Summary 7-8'!F82</f>
        <v>183980</v>
      </c>
      <c r="D6270" s="2" t="str">
        <f t="shared" si="96"/>
        <v>Error?</v>
      </c>
      <c r="E6270" s="2" t="s">
        <v>199</v>
      </c>
    </row>
    <row r="6271" spans="1:5" x14ac:dyDescent="0.2">
      <c r="A6271">
        <v>6210</v>
      </c>
      <c r="B6271" s="138">
        <f>'Acct Summary 7-8'!G82</f>
        <v>38276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-1071975</v>
      </c>
      <c r="D6273" s="2" t="str">
        <f t="shared" si="97"/>
        <v>Error?</v>
      </c>
      <c r="E6273" s="2" t="s">
        <v>199</v>
      </c>
    </row>
    <row r="6274" spans="1:5" x14ac:dyDescent="0.2">
      <c r="A6274">
        <v>6213</v>
      </c>
      <c r="B6274" s="138">
        <f>'Acct Summary 7-8'!J82</f>
        <v>17615</v>
      </c>
      <c r="D6274" s="2" t="str">
        <f t="shared" si="97"/>
        <v>Error?</v>
      </c>
      <c r="E6274" s="2" t="s">
        <v>199</v>
      </c>
    </row>
    <row r="6275" spans="1:5" x14ac:dyDescent="0.2">
      <c r="A6275">
        <v>6214</v>
      </c>
      <c r="B6275" s="138">
        <f>'Acct Summary 7-8'!K82</f>
        <v>31628</v>
      </c>
      <c r="D6275" s="2" t="str">
        <f t="shared" si="97"/>
        <v>Error?</v>
      </c>
      <c r="E6275" s="2" t="s">
        <v>199</v>
      </c>
    </row>
    <row r="6276" spans="1:5" x14ac:dyDescent="0.2">
      <c r="A6276">
        <v>6215</v>
      </c>
      <c r="B6276" s="138">
        <f>'Acct Summary 7-8'!C83</f>
        <v>0.69350956547416731</v>
      </c>
      <c r="D6276" s="2" t="str">
        <f t="shared" si="97"/>
        <v>Error?</v>
      </c>
      <c r="E6276" s="2" t="s">
        <v>199</v>
      </c>
    </row>
    <row r="6277" spans="1:5" x14ac:dyDescent="0.2">
      <c r="A6277">
        <v>6216</v>
      </c>
      <c r="B6277" s="138">
        <f>'Acct Summary 7-8'!D83</f>
        <v>0.81020604695108656</v>
      </c>
      <c r="D6277" s="2" t="str">
        <f t="shared" si="97"/>
        <v>Error?</v>
      </c>
      <c r="E6277" s="2" t="s">
        <v>199</v>
      </c>
    </row>
    <row r="6278" spans="1:5" x14ac:dyDescent="0.2">
      <c r="A6278">
        <v>6217</v>
      </c>
      <c r="B6278" s="138">
        <f>'Acct Summary 7-8'!E83</f>
        <v>-6.9717366339160397E-2</v>
      </c>
      <c r="D6278" s="2" t="str">
        <f t="shared" si="97"/>
        <v>Error?</v>
      </c>
      <c r="E6278" s="2" t="s">
        <v>199</v>
      </c>
    </row>
    <row r="6279" spans="1:5" x14ac:dyDescent="0.2">
      <c r="A6279">
        <v>6218</v>
      </c>
      <c r="B6279" s="138">
        <f>'Acct Summary 7-8'!F83</f>
        <v>0.52421032236740883</v>
      </c>
      <c r="D6279" s="2" t="str">
        <f t="shared" si="97"/>
        <v>Error?</v>
      </c>
      <c r="E6279" s="2" t="s">
        <v>199</v>
      </c>
    </row>
    <row r="6280" spans="1:5" x14ac:dyDescent="0.2">
      <c r="A6280">
        <v>6219</v>
      </c>
      <c r="B6280" s="138">
        <f>'Acct Summary 7-8'!G83</f>
        <v>0.20518043613439974</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-6.8516068415401135</v>
      </c>
      <c r="D6282" s="2" t="str">
        <f t="shared" si="97"/>
        <v>Error?</v>
      </c>
      <c r="E6282" s="2" t="s">
        <v>199</v>
      </c>
    </row>
    <row r="6283" spans="1:5" x14ac:dyDescent="0.2">
      <c r="A6283">
        <v>6222</v>
      </c>
      <c r="B6283" s="138">
        <f>'Acct Summary 7-8'!J83</f>
        <v>0.1067633992157148</v>
      </c>
      <c r="D6283" s="2" t="str">
        <f t="shared" si="97"/>
        <v>Error?</v>
      </c>
      <c r="E6283" s="2" t="s">
        <v>199</v>
      </c>
    </row>
    <row r="6284" spans="1:5" x14ac:dyDescent="0.2">
      <c r="A6284">
        <v>6223</v>
      </c>
      <c r="B6284" s="138">
        <f>'Acct Summary 7-8'!K83</f>
        <v>5.8964999086478766E-2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770242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770242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3535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3535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3285</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773777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426283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617553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55934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103529</v>
      </c>
      <c r="D6880" s="2" t="str">
        <f t="shared" si="106"/>
        <v>Error?</v>
      </c>
    </row>
    <row r="6881" spans="1:4" x14ac:dyDescent="0.2">
      <c r="A6881">
        <v>6820</v>
      </c>
      <c r="B6881" s="138">
        <f>'Expenditures 15-22'!K22</f>
        <v>103529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109156</v>
      </c>
      <c r="D6983" s="2" t="str">
        <f t="shared" si="108"/>
        <v>Error?</v>
      </c>
    </row>
    <row r="6984" spans="1:4" x14ac:dyDescent="0.2">
      <c r="A6984">
        <v>6923</v>
      </c>
      <c r="B6984" s="138">
        <f>'Expenditures 15-22'!K86</f>
        <v>109156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109156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134172</v>
      </c>
      <c r="D6998" s="2" t="str">
        <f t="shared" si="108"/>
        <v>Error?</v>
      </c>
    </row>
    <row r="6999" spans="1:4" x14ac:dyDescent="0.2">
      <c r="A6999">
        <v>6938</v>
      </c>
      <c r="B6999" s="138">
        <f>'Expenditures 15-22'!K94</f>
        <v>134172</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134172</v>
      </c>
      <c r="D7012" s="2" t="str">
        <f t="shared" si="108"/>
        <v>Error?</v>
      </c>
    </row>
    <row r="7013" spans="1:4" x14ac:dyDescent="0.2">
      <c r="A7013">
        <v>6952</v>
      </c>
      <c r="B7013" s="138">
        <f>'Expenditures 15-22'!K100</f>
        <v>134172</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756162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773777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47181</v>
      </c>
      <c r="D7073" s="2" t="str">
        <f t="shared" si="109"/>
        <v>Error?</v>
      </c>
    </row>
    <row r="7074" spans="1:4" x14ac:dyDescent="0.2">
      <c r="A7074">
        <v>7013</v>
      </c>
      <c r="B7074" s="138">
        <f>'Expenditures 15-22'!K216</f>
        <v>47181</v>
      </c>
      <c r="D7074" s="2" t="str">
        <f t="shared" si="109"/>
        <v>Error?</v>
      </c>
    </row>
    <row r="7075" spans="1:4" x14ac:dyDescent="0.2">
      <c r="A7075">
        <v>7014</v>
      </c>
      <c r="B7075" s="138">
        <f>'Expenditures 15-22'!D218</f>
        <v>2029</v>
      </c>
      <c r="D7075" s="2" t="str">
        <f t="shared" si="109"/>
        <v>Error?</v>
      </c>
    </row>
    <row r="7076" spans="1:4" x14ac:dyDescent="0.2">
      <c r="A7076">
        <v>7015</v>
      </c>
      <c r="B7076" s="138">
        <f>'Expenditures 15-22'!K218</f>
        <v>2029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38548</v>
      </c>
      <c r="D7093" s="2" t="str">
        <f t="shared" si="109"/>
        <v>Error?</v>
      </c>
    </row>
    <row r="7094" spans="1:4" x14ac:dyDescent="0.2">
      <c r="A7094">
        <v>7033</v>
      </c>
      <c r="B7094" s="138">
        <f>'Expenditures 15-22'!K254</f>
        <v>38548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69904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69904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19603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19603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500708</v>
      </c>
      <c r="D7172" s="2" t="str">
        <f t="shared" si="111"/>
        <v>Error?</v>
      </c>
    </row>
    <row r="7173" spans="1:4" x14ac:dyDescent="0.2">
      <c r="A7173">
        <v>7112</v>
      </c>
      <c r="B7173" s="138">
        <f>'Expenditures 15-22'!D325</f>
        <v>105629</v>
      </c>
      <c r="D7173" s="2" t="str">
        <f t="shared" si="111"/>
        <v>Error?</v>
      </c>
    </row>
    <row r="7174" spans="1:4" x14ac:dyDescent="0.2">
      <c r="A7174">
        <v>7113</v>
      </c>
      <c r="B7174" s="138">
        <f>'Expenditures 15-22'!E325</f>
        <v>10000</v>
      </c>
      <c r="D7174" s="2" t="str">
        <f t="shared" si="111"/>
        <v>Error?</v>
      </c>
    </row>
    <row r="7175" spans="1:4" x14ac:dyDescent="0.2">
      <c r="A7175">
        <v>7114</v>
      </c>
      <c r="B7175" s="138">
        <f>'Expenditures 15-22'!F325</f>
        <v>1500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617837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500708</v>
      </c>
      <c r="D7199" s="2" t="str">
        <f t="shared" si="111"/>
        <v>Error?</v>
      </c>
    </row>
    <row r="7200" spans="1:4" x14ac:dyDescent="0.2">
      <c r="A7200">
        <v>7139</v>
      </c>
      <c r="B7200" s="138">
        <f>'Expenditures 15-22'!D330</f>
        <v>105629</v>
      </c>
      <c r="D7200" s="2" t="str">
        <f t="shared" si="111"/>
        <v>Error?</v>
      </c>
    </row>
    <row r="7201" spans="1:4" x14ac:dyDescent="0.2">
      <c r="A7201">
        <v>7140</v>
      </c>
      <c r="B7201" s="138">
        <f>'Expenditures 15-22'!E330</f>
        <v>148325</v>
      </c>
      <c r="D7201" s="2" t="str">
        <f t="shared" si="111"/>
        <v>Error?</v>
      </c>
    </row>
    <row r="7202" spans="1:4" x14ac:dyDescent="0.2">
      <c r="A7202">
        <v>7141</v>
      </c>
      <c r="B7202" s="138">
        <f>'Expenditures 15-22'!F330</f>
        <v>1500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756162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500708</v>
      </c>
      <c r="D7216" s="2" t="str">
        <f t="shared" si="111"/>
        <v>Error?</v>
      </c>
    </row>
    <row r="7217" spans="1:4" x14ac:dyDescent="0.2">
      <c r="A7217">
        <v>7156</v>
      </c>
      <c r="B7217" s="138">
        <f>'Expenditures 15-22'!D342</f>
        <v>105629</v>
      </c>
      <c r="D7217" s="2" t="str">
        <f t="shared" si="111"/>
        <v>Error?</v>
      </c>
    </row>
    <row r="7218" spans="1:4" x14ac:dyDescent="0.2">
      <c r="A7218">
        <v>7157</v>
      </c>
      <c r="B7218" s="138">
        <f>'Expenditures 15-22'!E342</f>
        <v>148325</v>
      </c>
      <c r="D7218" s="2" t="str">
        <f t="shared" si="111"/>
        <v>Error?</v>
      </c>
    </row>
    <row r="7219" spans="1:4" x14ac:dyDescent="0.2">
      <c r="A7219">
        <v>7158</v>
      </c>
      <c r="B7219" s="138">
        <f>'Expenditures 15-22'!F342</f>
        <v>1500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756162</v>
      </c>
      <c r="D7224" s="2" t="str">
        <f t="shared" si="111"/>
        <v>Error?</v>
      </c>
    </row>
    <row r="7225" spans="1:4" x14ac:dyDescent="0.2">
      <c r="A7225">
        <v>7164</v>
      </c>
      <c r="B7225" s="138">
        <f>'Expenditures 15-22'!K343</f>
        <v>17615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96807</v>
      </c>
      <c r="D7246" s="2" t="str">
        <f t="shared" si="112"/>
        <v>Error?</v>
      </c>
    </row>
    <row r="7247" spans="1:4" x14ac:dyDescent="0.2">
      <c r="A7247">
        <f t="shared" si="113"/>
        <v>7186</v>
      </c>
      <c r="B7247" s="138">
        <f>'Expenditures 15-22'!E7</f>
        <v>37013</v>
      </c>
      <c r="D7247" s="2" t="str">
        <f t="shared" si="112"/>
        <v>Error?</v>
      </c>
    </row>
    <row r="7248" spans="1:4" x14ac:dyDescent="0.2">
      <c r="A7248">
        <f t="shared" si="113"/>
        <v>7187</v>
      </c>
      <c r="B7248" s="138">
        <f>'Expenditures 15-22'!F7</f>
        <v>53211</v>
      </c>
      <c r="D7248" s="2" t="str">
        <f t="shared" si="112"/>
        <v>Error?</v>
      </c>
    </row>
    <row r="7249" spans="1:4" x14ac:dyDescent="0.2">
      <c r="A7249">
        <f t="shared" si="113"/>
        <v>7188</v>
      </c>
      <c r="B7249" s="138">
        <f>'Expenditures 15-22'!G7</f>
        <v>4239</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44531</v>
      </c>
      <c r="D7251" s="2" t="str">
        <f t="shared" si="112"/>
        <v>Error?</v>
      </c>
    </row>
    <row r="7252" spans="1:4" x14ac:dyDescent="0.2">
      <c r="A7252">
        <f t="shared" si="113"/>
        <v>7191</v>
      </c>
      <c r="B7252" s="138">
        <f>'Expenditures 15-22'!D9</f>
        <v>11403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160019</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160019</v>
      </c>
      <c r="D7618" s="2" t="str">
        <f t="shared" si="124"/>
        <v>Error?</v>
      </c>
      <c r="E7618" s="2" t="s">
        <v>19</v>
      </c>
    </row>
    <row r="7619" spans="1:5" x14ac:dyDescent="0.2">
      <c r="A7619">
        <f t="shared" si="123"/>
        <v>7558</v>
      </c>
      <c r="B7619" s="138">
        <f>'Cap Outlay Deprec 26'!H14</f>
        <v>149227</v>
      </c>
      <c r="D7619" s="2" t="str">
        <f t="shared" si="124"/>
        <v>Error?</v>
      </c>
      <c r="E7619" s="2" t="s">
        <v>19</v>
      </c>
    </row>
    <row r="7620" spans="1:5" x14ac:dyDescent="0.2">
      <c r="A7620">
        <f t="shared" si="123"/>
        <v>7559</v>
      </c>
      <c r="B7620" s="138">
        <f>'Cap Outlay Deprec 26'!I14</f>
        <v>7617</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156844</v>
      </c>
      <c r="D7622" s="2" t="str">
        <f t="shared" si="124"/>
        <v>Error?</v>
      </c>
      <c r="E7622" s="2" t="s">
        <v>19</v>
      </c>
    </row>
    <row r="7623" spans="1:5" x14ac:dyDescent="0.2">
      <c r="A7623">
        <f t="shared" si="123"/>
        <v>7562</v>
      </c>
      <c r="B7623" s="138">
        <f>'Cap Outlay Deprec 26'!L14</f>
        <v>3175</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487074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48818</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48818</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47353</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100000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83087</v>
      </c>
      <c r="D7797" s="2" t="str">
        <f t="shared" si="127"/>
        <v>Error?</v>
      </c>
      <c r="E7797" s="4" t="s">
        <v>2020</v>
      </c>
    </row>
    <row r="7798" spans="1:5" x14ac:dyDescent="0.2">
      <c r="A7798">
        <v>7737</v>
      </c>
      <c r="B7798" s="138">
        <f>'Contracts Paid in CY 29'!F141</f>
        <v>83087</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Princeton ESD 115</v>
      </c>
      <c r="B7" s="2421"/>
      <c r="C7" s="2421"/>
      <c r="D7" s="2422"/>
      <c r="E7" s="2423">
        <f>COVER!A13</f>
        <v>28006115002</v>
      </c>
      <c r="F7" s="2424"/>
      <c r="G7" s="2430">
        <f>COVER!T23</f>
        <v>66.004501000000005</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HOPKINS &amp; ASSOCIATES, CPAS</v>
      </c>
      <c r="H9" s="2436"/>
      <c r="I9" s="2436"/>
      <c r="J9" s="2436"/>
      <c r="K9" s="2436"/>
      <c r="L9" s="2437"/>
    </row>
    <row r="10" spans="1:29" ht="13.5" customHeight="1" x14ac:dyDescent="0.2">
      <c r="A10" s="2410" t="str">
        <f>COVER!A38</f>
        <v>TIMOTHY SMITH</v>
      </c>
      <c r="B10" s="2411"/>
      <c r="C10" s="2411"/>
      <c r="D10" s="2411"/>
      <c r="E10" s="2411"/>
      <c r="F10" s="2412"/>
      <c r="G10" s="2404" t="str">
        <f>COVER!T17</f>
        <v>314 S. MCCOY STREET</v>
      </c>
      <c r="H10" s="2405"/>
      <c r="I10" s="2405"/>
      <c r="J10" s="2405"/>
      <c r="K10" s="2405"/>
      <c r="L10" s="2406"/>
    </row>
    <row r="11" spans="1:29" ht="13.5" customHeight="1" x14ac:dyDescent="0.2">
      <c r="A11" s="1185" t="s">
        <v>1599</v>
      </c>
      <c r="B11" s="1186"/>
      <c r="C11" s="1187"/>
      <c r="D11" s="1192"/>
      <c r="E11" s="1187"/>
      <c r="F11" s="1191"/>
      <c r="G11" s="2404" t="str">
        <f>COVER!T19</f>
        <v>GRANVILLE</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JOEL@HOPKINSOFFICE.COM</v>
      </c>
      <c r="J13" s="2417"/>
      <c r="K13" s="2417"/>
      <c r="L13" s="2418"/>
    </row>
    <row r="14" spans="1:29" ht="13.5" customHeight="1" x14ac:dyDescent="0.2">
      <c r="A14" s="2404" t="str">
        <f>COVER!A19</f>
        <v>506 E DOVER</v>
      </c>
      <c r="B14" s="2405"/>
      <c r="C14" s="2405"/>
      <c r="D14" s="2405"/>
      <c r="E14" s="2405"/>
      <c r="F14" s="2406"/>
      <c r="G14" s="1196" t="s">
        <v>1247</v>
      </c>
      <c r="H14" s="1194"/>
      <c r="I14" s="1194"/>
      <c r="J14" s="1194"/>
      <c r="K14" s="1194"/>
      <c r="L14" s="1195"/>
    </row>
    <row r="15" spans="1:29" ht="13.5" customHeight="1" x14ac:dyDescent="0.2">
      <c r="A15" s="2404" t="str">
        <f>COVER!A21</f>
        <v xml:space="preserve">PRINCETON </v>
      </c>
      <c r="B15" s="2405"/>
      <c r="C15" s="2405"/>
      <c r="D15" s="2405"/>
      <c r="E15" s="2405"/>
      <c r="F15" s="2406"/>
      <c r="G15" s="2401" t="str">
        <f>COVER!T15</f>
        <v>JOEL HOPKINS</v>
      </c>
      <c r="H15" s="2402"/>
      <c r="I15" s="2402"/>
      <c r="J15" s="2402"/>
      <c r="K15" s="2402"/>
      <c r="L15" s="2403"/>
    </row>
    <row r="16" spans="1:29" ht="12.2" customHeight="1" x14ac:dyDescent="0.2">
      <c r="A16" s="2426">
        <f>COVER!A25</f>
        <v>61356</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815-339-6630</v>
      </c>
      <c r="H18" s="2421"/>
      <c r="I18" s="2421"/>
      <c r="J18" s="2421"/>
      <c r="K18" s="2420" t="str">
        <f>COVER!X21</f>
        <v>815-339-6643</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Princeton ESD 115</v>
      </c>
      <c r="B1" s="2419"/>
      <c r="C1" s="2419"/>
      <c r="D1" s="2419"/>
    </row>
    <row r="2" spans="1:11" s="1215" customFormat="1" ht="12.75" x14ac:dyDescent="0.2">
      <c r="A2" s="2443">
        <f>'Single Audit Cover'!E7</f>
        <v>28006115002</v>
      </c>
      <c r="B2" s="2444"/>
      <c r="C2" s="2444"/>
      <c r="D2" s="2444"/>
    </row>
    <row r="3" spans="1:11" s="1215" customFormat="1" ht="12.75" x14ac:dyDescent="0.2">
      <c r="A3" s="2442" t="s">
        <v>1593</v>
      </c>
      <c r="B3" s="2419"/>
      <c r="C3" s="2419"/>
      <c r="D3" s="241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25"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Princeton ESD 115</v>
      </c>
      <c r="B1" s="2446"/>
      <c r="C1" s="2446"/>
      <c r="D1" s="2446"/>
      <c r="E1" s="2446"/>
    </row>
    <row r="2" spans="1:5" x14ac:dyDescent="0.2">
      <c r="A2" s="2447">
        <f>'Single Audit Cover'!E7</f>
        <v>28006115002</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776588</v>
      </c>
    </row>
    <row r="11" spans="1:5" ht="18" customHeight="1" x14ac:dyDescent="0.2">
      <c r="A11" s="1261" t="s">
        <v>1302</v>
      </c>
      <c r="B11" s="1262"/>
      <c r="C11" s="1262"/>
    </row>
    <row r="12" spans="1:5" x14ac:dyDescent="0.2">
      <c r="A12" s="1261" t="s">
        <v>1301</v>
      </c>
      <c r="B12" s="1262" t="s">
        <v>1300</v>
      </c>
      <c r="C12" s="1262"/>
      <c r="D12" s="1264">
        <f>SUM('Revenues 9-14'!C112:D112,'Revenues 9-14'!F112:G112)</f>
        <v>9831</v>
      </c>
    </row>
    <row r="13" spans="1:5" x14ac:dyDescent="0.2">
      <c r="A13" s="1261" t="s">
        <v>1299</v>
      </c>
      <c r="B13" s="1262"/>
      <c r="C13" s="1262"/>
    </row>
    <row r="14" spans="1:5" x14ac:dyDescent="0.2">
      <c r="A14" s="1261" t="s">
        <v>1830</v>
      </c>
      <c r="B14" s="1262"/>
      <c r="C14" s="1262"/>
      <c r="D14" s="1264">
        <f>'ICR Computation 30'!E11</f>
        <v>42752</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-167587</v>
      </c>
    </row>
    <row r="19" spans="1:4" ht="13.5" thickBot="1" x14ac:dyDescent="0.25">
      <c r="A19" s="1265" t="s">
        <v>1297</v>
      </c>
      <c r="D19" s="1266">
        <f>SUM(D10:D17)</f>
        <v>661584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661584</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661584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Princeton ESD 115</v>
      </c>
      <c r="B1" s="2459"/>
      <c r="C1" s="2459"/>
      <c r="D1" s="2459"/>
      <c r="E1" s="2459"/>
      <c r="F1" s="2459"/>
    </row>
    <row r="2" spans="1:7" ht="13.5" customHeight="1" x14ac:dyDescent="0.2">
      <c r="A2" s="2460">
        <f>'Single Audit Cover'!E7</f>
        <v>28006115002</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1831</v>
      </c>
      <c r="C6" s="317"/>
      <c r="D6" s="317"/>
    </row>
    <row r="7" spans="1:7" ht="60.95" customHeight="1" x14ac:dyDescent="0.2">
      <c r="A7" s="2458" t="s">
        <v>1832</v>
      </c>
      <c r="B7" s="2458"/>
      <c r="C7" s="2458"/>
      <c r="D7" s="2458"/>
      <c r="E7" s="2458"/>
      <c r="F7" s="245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8" t="s">
        <v>1834</v>
      </c>
      <c r="B13" s="2458"/>
      <c r="C13" s="2458"/>
      <c r="D13" s="2458"/>
      <c r="E13" s="2458"/>
      <c r="F13" s="2458"/>
    </row>
    <row r="14" spans="1:7" ht="9.75" customHeight="1" x14ac:dyDescent="0.2">
      <c r="C14" s="1260"/>
      <c r="D14" s="1260"/>
    </row>
    <row r="15" spans="1:7" ht="13.5" customHeight="1" x14ac:dyDescent="0.2">
      <c r="C15" s="1870" t="s">
        <v>1332</v>
      </c>
      <c r="D15" s="2456" t="s">
        <v>1331</v>
      </c>
      <c r="E15" s="2456"/>
      <c r="F15" s="2456"/>
    </row>
    <row r="16" spans="1:7" ht="13.5" customHeight="1" x14ac:dyDescent="0.2">
      <c r="A16" s="1282"/>
      <c r="B16" s="1276" t="s">
        <v>1330</v>
      </c>
      <c r="C16" s="1870" t="s">
        <v>1329</v>
      </c>
      <c r="D16" s="2457" t="s">
        <v>1670</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2" t="s">
        <v>1835</v>
      </c>
      <c r="B32" s="2452"/>
      <c r="C32" s="2452"/>
      <c r="D32" s="2452"/>
      <c r="E32" s="2452"/>
      <c r="F32" s="2452"/>
    </row>
    <row r="33" spans="1:6" ht="13.5" customHeight="1" x14ac:dyDescent="0.2">
      <c r="A33" s="328" t="s">
        <v>1509</v>
      </c>
      <c r="B33" s="328"/>
      <c r="C33" s="1288">
        <v>0</v>
      </c>
      <c r="D33" s="1927"/>
      <c r="E33" s="1286"/>
    </row>
    <row r="34" spans="1:6" ht="13.5" customHeight="1" x14ac:dyDescent="0.2">
      <c r="A34" s="328" t="s">
        <v>1949</v>
      </c>
      <c r="B34" s="328"/>
      <c r="C34" s="1289">
        <v>0</v>
      </c>
      <c r="D34" s="1927" t="s">
        <v>1671</v>
      </c>
      <c r="E34" s="2453">
        <f>+C33+C34</f>
        <v>0</v>
      </c>
      <c r="F34" s="2454"/>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1672</v>
      </c>
      <c r="C49" s="2455"/>
      <c r="D49" s="2455"/>
      <c r="E49" s="1399"/>
    </row>
    <row r="50" spans="1:5" s="1300" customFormat="1" ht="3.75" customHeight="1" x14ac:dyDescent="0.2">
      <c r="A50" s="1299"/>
      <c r="B50" s="1869"/>
      <c r="C50" s="1869"/>
      <c r="D50" s="1869"/>
      <c r="E50" s="1399"/>
    </row>
    <row r="51" spans="1:5" s="1300" customFormat="1" ht="20.25" customHeight="1" x14ac:dyDescent="0.2">
      <c r="A51" s="1301">
        <v>6</v>
      </c>
      <c r="B51" s="2450" t="s">
        <v>1632</v>
      </c>
      <c r="C51" s="2450"/>
      <c r="D51" s="2450"/>
    </row>
    <row r="52" spans="1:5" ht="14.25" customHeight="1" x14ac:dyDescent="0.2">
      <c r="A52" s="1301"/>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Princeton ESD 115</v>
      </c>
      <c r="C1" s="2463"/>
      <c r="D1" s="2463"/>
      <c r="E1" s="2463"/>
      <c r="F1" s="2463"/>
      <c r="G1" s="2463"/>
      <c r="H1" s="2463"/>
      <c r="I1" s="2463"/>
      <c r="J1" s="2463"/>
      <c r="K1" s="2463"/>
      <c r="L1" s="2463"/>
      <c r="M1" s="2463"/>
    </row>
    <row r="2" spans="2:14" ht="15" x14ac:dyDescent="0.2">
      <c r="B2" s="2460">
        <f>'Single Audit Cover'!E7</f>
        <v>28006115002</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1230</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3" t="s">
        <v>1731</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3" t="s">
        <v>331</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t="s">
        <v>2092</v>
      </c>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1390</v>
      </c>
      <c r="B70" s="2086"/>
      <c r="C70" s="2086"/>
      <c r="D70" s="2086"/>
      <c r="E70" s="2087"/>
      <c r="F70" s="2087"/>
      <c r="G70" s="2087"/>
      <c r="H70" s="2087"/>
      <c r="I70" s="208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1387</v>
      </c>
      <c r="B83" s="2088"/>
      <c r="C83" s="2088"/>
      <c r="D83" s="208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0"/>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t="s">
        <v>2084</v>
      </c>
      <c r="D114" s="207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1397</v>
      </c>
      <c r="D117" s="2081"/>
      <c r="E117" s="2082"/>
      <c r="F117" s="2082"/>
      <c r="G117" s="2082"/>
      <c r="H117" s="2082"/>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Princeton ESD 115</v>
      </c>
      <c r="C1" s="2478"/>
      <c r="D1" s="2478"/>
      <c r="E1" s="2478"/>
      <c r="F1" s="2478"/>
      <c r="G1" s="2478"/>
      <c r="H1" s="2478"/>
      <c r="I1" s="2478"/>
      <c r="J1" s="1422"/>
    </row>
    <row r="2" spans="2:10" s="317" customFormat="1" ht="12.75" customHeight="1" x14ac:dyDescent="0.2">
      <c r="B2" s="2479">
        <f>'Single Audit Cover'!E7</f>
        <v>28006115002</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c r="E29" s="2484"/>
      <c r="F29" s="2484"/>
      <c r="G29" s="2484"/>
      <c r="H29" s="2484"/>
      <c r="I29" s="2484"/>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5" t="s">
        <v>1854</v>
      </c>
      <c r="D37" s="2486"/>
      <c r="E37" s="2486"/>
      <c r="F37" s="2487"/>
      <c r="G37" s="2485" t="s">
        <v>1674</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1675</v>
      </c>
      <c r="D43" s="2467"/>
      <c r="E43" s="2467"/>
      <c r="F43" s="2468"/>
      <c r="G43" s="2469">
        <f>SUM(G38:I42)</f>
        <v>0</v>
      </c>
      <c r="H43" s="2469"/>
      <c r="I43" s="2469"/>
    </row>
    <row r="44" spans="2:9" ht="12.75" customHeight="1" x14ac:dyDescent="0.2"/>
    <row r="45" spans="2:9" ht="12.75" customHeight="1" x14ac:dyDescent="0.2">
      <c r="B45" s="1435" t="s">
        <v>1952</v>
      </c>
      <c r="D45" s="2470">
        <v>0</v>
      </c>
      <c r="E45" s="247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2"/>
      <c r="F49" s="2472"/>
      <c r="G49" s="247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Princeton ESD 115</v>
      </c>
      <c r="C1" s="2477"/>
      <c r="D1" s="2477"/>
      <c r="E1" s="2477"/>
      <c r="F1" s="2477"/>
      <c r="G1" s="2477"/>
      <c r="H1" s="2477"/>
      <c r="I1" s="2477"/>
      <c r="J1" s="2477"/>
      <c r="K1" s="2477"/>
      <c r="L1" s="1374"/>
      <c r="M1" s="1374"/>
    </row>
    <row r="2" spans="1:13" ht="12" customHeight="1" x14ac:dyDescent="0.2">
      <c r="B2" s="2479">
        <f>'Single Audit Cover'!E7</f>
        <v>28006115002</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Princeton ESD 115</v>
      </c>
      <c r="C1" s="2500"/>
      <c r="D1" s="2500"/>
      <c r="E1" s="2500"/>
      <c r="F1" s="2500"/>
      <c r="G1" s="2500"/>
      <c r="H1" s="2500"/>
      <c r="I1" s="2500"/>
      <c r="J1" s="2500"/>
      <c r="K1" s="2500"/>
      <c r="L1" s="1465"/>
    </row>
    <row r="2" spans="1:12" ht="12.75" customHeight="1" x14ac:dyDescent="0.2">
      <c r="B2" s="2501">
        <f>'Single Audit Cover'!E7</f>
        <v>28006115002</v>
      </c>
      <c r="C2" s="2501"/>
      <c r="D2" s="2501"/>
      <c r="E2" s="2501"/>
      <c r="F2" s="2501"/>
      <c r="G2" s="2501"/>
      <c r="H2" s="2501"/>
      <c r="I2" s="2501"/>
      <c r="J2" s="2501"/>
      <c r="K2" s="2501"/>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Princeton ESD 115</v>
      </c>
      <c r="C1" s="2477"/>
      <c r="D1" s="2477"/>
      <c r="E1" s="1491"/>
    </row>
    <row r="2" spans="2:5" s="1282" customFormat="1" ht="12.75" customHeight="1" x14ac:dyDescent="0.2">
      <c r="B2" s="2479">
        <f>'Single Audit Cover'!E7</f>
        <v>28006115002</v>
      </c>
      <c r="C2" s="2479"/>
      <c r="D2" s="2479"/>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4" sqref="B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404</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243754019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2.0741099999999998E-2</v>
      </c>
      <c r="E10" s="356" t="s">
        <v>1062</v>
      </c>
      <c r="F10" s="355">
        <v>2.5000000000000001E-3</v>
      </c>
      <c r="G10" s="356" t="s">
        <v>1062</v>
      </c>
      <c r="H10" s="355">
        <v>1.1999999999999999E-3</v>
      </c>
      <c r="I10" s="356" t="s">
        <v>1063</v>
      </c>
      <c r="J10" s="1754">
        <f>ROUND(D10+F10+H10,5)</f>
        <v>2.444E-2</v>
      </c>
      <c r="K10" s="222"/>
      <c r="L10" s="355">
        <v>5.0000000000000001E-4</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9403474</v>
      </c>
      <c r="E16" s="356"/>
      <c r="F16" s="1755">
        <f>SUM('Acct Summary 7-8'!C17,'Acct Summary 7-8'!D17,'Acct Summary 7-8'!F17)</f>
        <v>9751366</v>
      </c>
      <c r="G16" s="356"/>
      <c r="H16" s="1755">
        <f>SUM(D16-F16)</f>
        <v>-347892</v>
      </c>
      <c r="I16" s="222"/>
      <c r="J16" s="1755">
        <f>SUM('Acct Summary 7-8'!C81,'Acct Summary 7-8'!D81,'Acct Summary 7-8'!F81,'Acct Summary 7-8'!I81)</f>
        <v>1267697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16819027.311000001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135000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577</v>
      </c>
      <c r="B2" s="2118"/>
      <c r="C2" s="2118"/>
      <c r="D2" s="2118"/>
      <c r="E2" s="2118"/>
      <c r="F2" s="2118"/>
      <c r="G2" s="2118"/>
      <c r="H2" s="2118"/>
      <c r="I2" s="2118"/>
      <c r="J2" s="2118"/>
      <c r="K2" s="2118"/>
      <c r="L2" s="2118"/>
      <c r="M2" s="2118"/>
      <c r="N2" s="2118"/>
      <c r="O2" s="2118"/>
      <c r="P2" s="2118"/>
      <c r="Q2" s="2118"/>
      <c r="R2" s="2118"/>
    </row>
    <row r="3" spans="1:18" ht="12.75" x14ac:dyDescent="0.2">
      <c r="A3" s="2119" t="s">
        <v>1480</v>
      </c>
      <c r="B3" s="2119"/>
      <c r="C3" s="2119"/>
      <c r="D3" s="2119"/>
      <c r="E3" s="2119"/>
      <c r="F3" s="2119"/>
      <c r="G3" s="2119"/>
      <c r="H3" s="2119"/>
      <c r="I3" s="2119"/>
      <c r="J3" s="2119"/>
      <c r="K3" s="2119"/>
      <c r="L3" s="2119"/>
      <c r="M3" s="2119"/>
      <c r="N3" s="2119"/>
      <c r="O3" s="2119"/>
      <c r="P3" s="2119"/>
      <c r="Q3" s="2119"/>
      <c r="R3" s="2119"/>
    </row>
    <row r="4" spans="1:18" x14ac:dyDescent="0.2">
      <c r="A4" s="2120" t="s">
        <v>1635</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Princeton ESD 115</v>
      </c>
      <c r="E7" s="391"/>
      <c r="G7" s="252"/>
      <c r="H7" s="387"/>
      <c r="I7" s="387"/>
      <c r="J7" s="387"/>
      <c r="K7" s="387"/>
      <c r="L7" s="329"/>
      <c r="M7" s="329"/>
      <c r="N7" s="329"/>
      <c r="O7" s="329"/>
      <c r="P7" s="329"/>
    </row>
    <row r="8" spans="1:18" ht="12.75" x14ac:dyDescent="0.2">
      <c r="A8" s="329"/>
      <c r="B8" s="329"/>
      <c r="C8" s="389" t="s">
        <v>1187</v>
      </c>
      <c r="D8" s="392">
        <f>COVER!A13</f>
        <v>28006115002</v>
      </c>
      <c r="E8" s="393"/>
      <c r="G8" s="329"/>
      <c r="H8" s="329"/>
      <c r="I8" s="329"/>
      <c r="J8" s="329"/>
      <c r="K8" s="329"/>
      <c r="L8" s="329"/>
      <c r="M8" s="329"/>
      <c r="N8" s="329"/>
      <c r="O8" s="329"/>
      <c r="P8" s="329"/>
    </row>
    <row r="9" spans="1:18" ht="12.75" x14ac:dyDescent="0.2">
      <c r="A9" s="329"/>
      <c r="B9" s="329"/>
      <c r="C9" s="389" t="s">
        <v>737</v>
      </c>
      <c r="D9" s="394" t="str">
        <f>COVER!A15</f>
        <v>BUREAU</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1267697</v>
      </c>
      <c r="I12" s="404"/>
      <c r="J12" s="404"/>
      <c r="K12" s="405">
        <f>TRUNC((H12/H13*100000),5)/100000</f>
        <v>0.13481156</v>
      </c>
      <c r="L12" s="406"/>
      <c r="M12" s="360" t="s">
        <v>1206</v>
      </c>
      <c r="N12" s="360"/>
      <c r="O12" s="407">
        <v>0.35</v>
      </c>
      <c r="P12" s="218"/>
      <c r="Q12" s="218"/>
    </row>
    <row r="13" spans="1:18" s="408" customFormat="1" ht="12.75" x14ac:dyDescent="0.2">
      <c r="A13" s="218"/>
      <c r="B13" s="401"/>
      <c r="C13" s="2116" t="s">
        <v>1391</v>
      </c>
      <c r="D13" s="2117"/>
      <c r="E13" s="218"/>
      <c r="F13" s="409" t="s">
        <v>826</v>
      </c>
      <c r="G13" s="402"/>
      <c r="H13" s="403">
        <f>SUM('Acct Summary 7-8'!C8+'Acct Summary 7-8'!D8+'Acct Summary 7-8'!F8+'Acct Summary 7-8'!I8)+H14</f>
        <v>9403474</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9751366</v>
      </c>
      <c r="I17" s="404"/>
      <c r="J17" s="416"/>
      <c r="K17" s="405">
        <f>TRUNC((H17/H18*100000),5)/100000</f>
        <v>1.0369961143999999</v>
      </c>
      <c r="L17" s="406"/>
      <c r="M17" s="417" t="s">
        <v>1233</v>
      </c>
      <c r="O17" s="418" t="str">
        <f>IF(AND(O16="2", J20 &gt; 2),"1",IF(AND(O16 = "1", J20 &gt; 2),"2",IF(AND(O16="1", J20 &gt;1),"1","0")))</f>
        <v>0</v>
      </c>
      <c r="P17" s="218"/>
    </row>
    <row r="18" spans="1:18" s="408" customFormat="1" ht="11.25" x14ac:dyDescent="0.2">
      <c r="A18" s="218"/>
      <c r="B18" s="401"/>
      <c r="C18" s="2116" t="s">
        <v>1384</v>
      </c>
      <c r="D18" s="2117"/>
      <c r="E18" s="218"/>
      <c r="F18" s="419" t="s">
        <v>827</v>
      </c>
      <c r="G18" s="402"/>
      <c r="H18" s="403">
        <f>SUM('Acct Summary 7-8'!C8+'Acct Summary 7-8'!D8+'Acct Summary 7-8'!F8+'Acct Summary 7-8'!I8)+H19</f>
        <v>9403474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0.94095169999999995</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3" t="s">
        <v>1479</v>
      </c>
      <c r="D24" s="2113"/>
      <c r="E24" s="218"/>
      <c r="F24" s="218" t="s">
        <v>465</v>
      </c>
      <c r="G24" s="402"/>
      <c r="H24" s="403">
        <f>SUM('Assets-Liab 5-6'!C4+'Assets-Liab 5-6'!D4+'Assets-Liab 5-6'!F4+'Assets-Liab 5-6'!I4+'Assets-Liab 5-6'!C5+'Assets-Liab 5-6'!D5+'Assets-Liab 5-6'!F5+'Assets-Liab 5-6'!I5)</f>
        <v>1267697</v>
      </c>
      <c r="I24" s="422"/>
      <c r="J24" s="422"/>
      <c r="K24" s="423">
        <f>TRUNC(((H24/H25*100000)/100000),2)</f>
        <v>46.8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27087.127779999999</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5063745.9907099996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135000</v>
      </c>
      <c r="I32" s="420"/>
      <c r="J32" s="420"/>
      <c r="K32" s="423">
        <f>TRUNC(100-((((H32/H33*100))*100)/100),2)</f>
        <v>99.19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16819027.311000001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3.0999999999999996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C1" colorId="8" zoomScaleNormal="100" workbookViewId="0">
      <pane ySplit="2" topLeftCell="A9"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3" t="s">
        <v>1030</v>
      </c>
      <c r="B3" s="2124"/>
      <c r="C3" s="1581"/>
      <c r="D3" s="1582"/>
      <c r="E3" s="1582"/>
      <c r="F3" s="1582"/>
      <c r="G3" s="1582"/>
      <c r="H3" s="1582"/>
      <c r="I3" s="1582"/>
      <c r="J3" s="1582"/>
      <c r="K3" s="1582"/>
      <c r="L3" s="1582"/>
      <c r="M3" s="1583"/>
      <c r="N3" s="1584"/>
    </row>
    <row r="4" spans="1:14" ht="13.5" customHeight="1" x14ac:dyDescent="0.2">
      <c r="A4" s="463" t="s">
        <v>1750</v>
      </c>
      <c r="B4" s="464"/>
      <c r="C4" s="465">
        <f>6583+210+1000+642410</f>
        <v>650203</v>
      </c>
      <c r="D4" s="466">
        <f>16303+93769</f>
        <v>110072</v>
      </c>
      <c r="E4" s="466">
        <f>12417+50279</f>
        <v>62696</v>
      </c>
      <c r="F4" s="466">
        <v>350966</v>
      </c>
      <c r="G4" s="466">
        <v>186548</v>
      </c>
      <c r="H4" s="466"/>
      <c r="I4" s="466">
        <v>156456</v>
      </c>
      <c r="J4" s="467">
        <v>164991</v>
      </c>
      <c r="K4" s="466">
        <v>536386</v>
      </c>
      <c r="L4" s="466">
        <f>83422+79190</f>
        <v>162612</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650203</v>
      </c>
      <c r="D13" s="1759">
        <f t="shared" ref="D13:L13" si="0">SUM(D4:D12)</f>
        <v>110072</v>
      </c>
      <c r="E13" s="1759">
        <f t="shared" si="0"/>
        <v>62696</v>
      </c>
      <c r="F13" s="1759">
        <f t="shared" si="0"/>
        <v>350966</v>
      </c>
      <c r="G13" s="1759">
        <f t="shared" si="0"/>
        <v>186548</v>
      </c>
      <c r="H13" s="1759">
        <f t="shared" si="0"/>
        <v>0</v>
      </c>
      <c r="I13" s="1759">
        <f t="shared" si="0"/>
        <v>156456</v>
      </c>
      <c r="J13" s="1759">
        <f t="shared" si="0"/>
        <v>164991</v>
      </c>
      <c r="K13" s="1759">
        <f t="shared" si="0"/>
        <v>536386</v>
      </c>
      <c r="L13" s="1759">
        <f t="shared" si="0"/>
        <v>162612</v>
      </c>
      <c r="M13" s="468"/>
      <c r="N13" s="469"/>
    </row>
    <row r="14" spans="1:14" ht="18" customHeight="1" thickTop="1" x14ac:dyDescent="0.2">
      <c r="A14" s="2125" t="s">
        <v>149</v>
      </c>
      <c r="B14" s="2126"/>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144067</v>
      </c>
      <c r="N16" s="484"/>
    </row>
    <row r="17" spans="1:14" s="485" customFormat="1" ht="12.75" customHeight="1" x14ac:dyDescent="0.2">
      <c r="A17" s="482" t="s">
        <v>1470</v>
      </c>
      <c r="B17" s="483">
        <v>230</v>
      </c>
      <c r="C17" s="477"/>
      <c r="D17" s="477"/>
      <c r="E17" s="477"/>
      <c r="F17" s="477"/>
      <c r="G17" s="477"/>
      <c r="H17" s="477"/>
      <c r="I17" s="477"/>
      <c r="J17" s="477"/>
      <c r="K17" s="477"/>
      <c r="L17" s="477"/>
      <c r="M17" s="467">
        <v>8825207</v>
      </c>
      <c r="N17" s="484"/>
    </row>
    <row r="18" spans="1:14" s="485" customFormat="1" ht="12.75" customHeight="1" x14ac:dyDescent="0.2">
      <c r="A18" s="482" t="s">
        <v>1471</v>
      </c>
      <c r="B18" s="483">
        <v>240</v>
      </c>
      <c r="C18" s="477"/>
      <c r="D18" s="477"/>
      <c r="E18" s="477"/>
      <c r="F18" s="477"/>
      <c r="G18" s="477"/>
      <c r="H18" s="477"/>
      <c r="I18" s="477"/>
      <c r="J18" s="477"/>
      <c r="K18" s="477"/>
      <c r="L18" s="477"/>
      <c r="M18" s="467">
        <v>174406</v>
      </c>
      <c r="N18" s="484"/>
    </row>
    <row r="19" spans="1:14" s="485" customFormat="1" ht="12.75" customHeight="1" x14ac:dyDescent="0.2">
      <c r="A19" s="482" t="s">
        <v>1472</v>
      </c>
      <c r="B19" s="483">
        <v>250</v>
      </c>
      <c r="C19" s="477"/>
      <c r="D19" s="477"/>
      <c r="E19" s="477"/>
      <c r="F19" s="477"/>
      <c r="G19" s="477"/>
      <c r="H19" s="477"/>
      <c r="I19" s="477"/>
      <c r="J19" s="477"/>
      <c r="K19" s="477"/>
      <c r="L19" s="477"/>
      <c r="M19" s="467">
        <v>5653460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62696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72304</v>
      </c>
    </row>
    <row r="23" spans="1:14" ht="13.5" customHeight="1" thickBot="1" x14ac:dyDescent="0.25">
      <c r="A23" s="1758" t="s">
        <v>664</v>
      </c>
      <c r="B23" s="1763"/>
      <c r="C23" s="468"/>
      <c r="D23" s="468"/>
      <c r="E23" s="468"/>
      <c r="F23" s="468"/>
      <c r="G23" s="468"/>
      <c r="H23" s="468"/>
      <c r="I23" s="468"/>
      <c r="J23" s="468"/>
      <c r="K23" s="468"/>
      <c r="L23" s="468"/>
      <c r="M23" s="1710">
        <f>SUM(M15:M22)</f>
        <v>14797140</v>
      </c>
      <c r="N23" s="1710">
        <f>SUM(N21:N22)</f>
        <v>135000</v>
      </c>
    </row>
    <row r="24" spans="1:14" ht="18" customHeight="1" thickTop="1" x14ac:dyDescent="0.2">
      <c r="A24" s="2127" t="s">
        <v>619</v>
      </c>
      <c r="B24" s="2128"/>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83422</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83422</v>
      </c>
      <c r="M34" s="468"/>
      <c r="N34" s="480"/>
    </row>
    <row r="35" spans="1:14" ht="18" customHeight="1" thickTop="1" x14ac:dyDescent="0.2">
      <c r="A35" s="2129" t="s">
        <v>550</v>
      </c>
      <c r="B35" s="2130"/>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135000</v>
      </c>
    </row>
    <row r="37" spans="1:14" ht="13.5" thickBot="1" x14ac:dyDescent="0.25">
      <c r="A37" s="1758" t="s">
        <v>674</v>
      </c>
      <c r="B37" s="1763"/>
      <c r="C37" s="477"/>
      <c r="D37" s="477"/>
      <c r="E37" s="477"/>
      <c r="F37" s="477"/>
      <c r="G37" s="477"/>
      <c r="H37" s="477"/>
      <c r="I37" s="477"/>
      <c r="J37" s="477"/>
      <c r="K37" s="477"/>
      <c r="L37" s="480"/>
      <c r="M37" s="468"/>
      <c r="N37" s="1710">
        <f>SUM(N36:N36)</f>
        <v>135000</v>
      </c>
    </row>
    <row r="38" spans="1:14" s="329" customFormat="1" ht="13.5" customHeight="1" thickTop="1" x14ac:dyDescent="0.2">
      <c r="A38" s="496" t="s">
        <v>440</v>
      </c>
      <c r="B38" s="483">
        <v>714</v>
      </c>
      <c r="C38" s="466">
        <v>40996</v>
      </c>
      <c r="D38" s="466"/>
      <c r="E38" s="466"/>
      <c r="F38" s="466"/>
      <c r="G38" s="466"/>
      <c r="H38" s="466"/>
      <c r="I38" s="466"/>
      <c r="J38" s="467"/>
      <c r="K38" s="466"/>
      <c r="L38" s="481">
        <v>78658</v>
      </c>
      <c r="M38" s="497"/>
      <c r="N38" s="497"/>
    </row>
    <row r="39" spans="1:14" s="329" customFormat="1" ht="13.5" customHeight="1" x14ac:dyDescent="0.2">
      <c r="A39" s="496" t="s">
        <v>360</v>
      </c>
      <c r="B39" s="483">
        <v>730</v>
      </c>
      <c r="C39" s="466">
        <f>650203-40996</f>
        <v>609207</v>
      </c>
      <c r="D39" s="466">
        <v>110072</v>
      </c>
      <c r="E39" s="466">
        <v>62696</v>
      </c>
      <c r="F39" s="466">
        <v>350966</v>
      </c>
      <c r="G39" s="466">
        <v>186548</v>
      </c>
      <c r="H39" s="466"/>
      <c r="I39" s="466">
        <v>156456</v>
      </c>
      <c r="J39" s="467">
        <v>164991</v>
      </c>
      <c r="K39" s="466">
        <v>536386</v>
      </c>
      <c r="L39" s="466">
        <v>532</v>
      </c>
      <c r="M39" s="497"/>
      <c r="N39" s="497"/>
    </row>
    <row r="40" spans="1:14" s="329" customFormat="1" ht="13.5" customHeight="1" x14ac:dyDescent="0.2">
      <c r="A40" s="498" t="s">
        <v>150</v>
      </c>
      <c r="B40" s="499"/>
      <c r="C40" s="500"/>
      <c r="D40" s="500"/>
      <c r="E40" s="500"/>
      <c r="F40" s="500"/>
      <c r="G40" s="500"/>
      <c r="H40" s="500"/>
      <c r="I40" s="500"/>
      <c r="J40" s="500"/>
      <c r="K40" s="500"/>
      <c r="L40" s="500"/>
      <c r="M40" s="467">
        <v>14797140</v>
      </c>
      <c r="N40" s="497"/>
    </row>
    <row r="41" spans="1:14" ht="13.5" customHeight="1" thickBot="1" x14ac:dyDescent="0.25">
      <c r="A41" s="1758" t="s">
        <v>676</v>
      </c>
      <c r="B41" s="1728"/>
      <c r="C41" s="1710">
        <f>(SUM(C34,C37,C38,C39))</f>
        <v>650203</v>
      </c>
      <c r="D41" s="1710">
        <f t="shared" ref="D41:L41" si="2">SUM(D34,D37,D38:D39)</f>
        <v>110072</v>
      </c>
      <c r="E41" s="1710">
        <f t="shared" si="2"/>
        <v>62696</v>
      </c>
      <c r="F41" s="1710">
        <f t="shared" si="2"/>
        <v>350966</v>
      </c>
      <c r="G41" s="1710">
        <f t="shared" si="2"/>
        <v>186548</v>
      </c>
      <c r="H41" s="1710">
        <f t="shared" si="2"/>
        <v>0</v>
      </c>
      <c r="I41" s="1710">
        <f t="shared" si="2"/>
        <v>156456</v>
      </c>
      <c r="J41" s="1710">
        <f t="shared" si="2"/>
        <v>164991</v>
      </c>
      <c r="K41" s="1710">
        <f t="shared" si="2"/>
        <v>536386</v>
      </c>
      <c r="L41" s="1710">
        <f t="shared" si="2"/>
        <v>162612</v>
      </c>
      <c r="M41" s="1710">
        <f>SUM(M40)</f>
        <v>14797140</v>
      </c>
      <c r="N41" s="1710">
        <f>SUM(N37)</f>
        <v>135000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attached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90" zoomScaleNormal="90" zoomScaleSheetLayoutView="100" workbookViewId="0">
      <pane ySplit="2" topLeftCell="A48" activePane="bottomLeft" state="frozenSplit"/>
      <selection activeCell="A47" sqref="A47"/>
      <selection pane="bottomLeft" activeCell="C86" sqref="C8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1" t="s">
        <v>1237</v>
      </c>
      <c r="B3" s="2152"/>
      <c r="C3" s="1595"/>
      <c r="D3" s="1596"/>
      <c r="E3" s="1596"/>
      <c r="F3" s="1596"/>
      <c r="G3" s="1596"/>
      <c r="H3" s="1596"/>
      <c r="I3" s="1596"/>
      <c r="J3" s="1596"/>
      <c r="K3" s="1597"/>
      <c r="L3" s="506"/>
    </row>
    <row r="4" spans="1:13" ht="15.75" customHeight="1" x14ac:dyDescent="0.2">
      <c r="A4" s="2153" t="s">
        <v>1579</v>
      </c>
      <c r="B4" s="2154"/>
      <c r="C4" s="1764">
        <f>'Revenues 9-14'!C109</f>
        <v>4106218</v>
      </c>
      <c r="D4" s="1764">
        <f>'Revenues 9-14'!D109</f>
        <v>657535</v>
      </c>
      <c r="E4" s="1764">
        <f>'Revenues 9-14'!E109</f>
        <v>1708310</v>
      </c>
      <c r="F4" s="1764">
        <f>'Revenues 9-14'!F109</f>
        <v>409590</v>
      </c>
      <c r="G4" s="1764">
        <f>'Revenues 9-14'!G109</f>
        <v>467603</v>
      </c>
      <c r="H4" s="1764">
        <f>'Revenues 9-14'!H109</f>
        <v>0</v>
      </c>
      <c r="I4" s="1764">
        <f>'Revenues 9-14'!I109</f>
        <v>128025</v>
      </c>
      <c r="J4" s="1764">
        <f>'Revenues 9-14'!J109</f>
        <v>773777</v>
      </c>
      <c r="K4" s="1764">
        <f>'Revenues 9-14'!K109</f>
        <v>123469</v>
      </c>
      <c r="L4" s="347"/>
    </row>
    <row r="5" spans="1:13" ht="15.75" customHeight="1" x14ac:dyDescent="0.2">
      <c r="A5" s="1598" t="s">
        <v>1580</v>
      </c>
      <c r="B5" s="1599">
        <v>2000</v>
      </c>
      <c r="C5" s="1765">
        <f>'Revenues 9-14'!C114</f>
        <v>134172</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2790757</v>
      </c>
      <c r="D6" s="1765">
        <f>'Revenues 9-14'!D173</f>
        <v>0</v>
      </c>
      <c r="E6" s="1765">
        <f>'Revenues 9-14'!E173</f>
        <v>0</v>
      </c>
      <c r="F6" s="1765">
        <f>'Revenues 9-14'!F173</f>
        <v>400589</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776588</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7807735</v>
      </c>
      <c r="D8" s="1710">
        <f t="shared" ref="D8:K8" si="0">SUM(D4:D7)</f>
        <v>657535</v>
      </c>
      <c r="E8" s="1710">
        <f t="shared" si="0"/>
        <v>1708310</v>
      </c>
      <c r="F8" s="1710">
        <f t="shared" si="0"/>
        <v>810179</v>
      </c>
      <c r="G8" s="1710">
        <f t="shared" si="0"/>
        <v>467603</v>
      </c>
      <c r="H8" s="1710">
        <f t="shared" si="0"/>
        <v>0</v>
      </c>
      <c r="I8" s="1710">
        <f t="shared" si="0"/>
        <v>128025</v>
      </c>
      <c r="J8" s="1710">
        <f t="shared" si="0"/>
        <v>773777</v>
      </c>
      <c r="K8" s="1710">
        <f t="shared" si="0"/>
        <v>123469</v>
      </c>
      <c r="L8" s="347"/>
    </row>
    <row r="9" spans="1:13" ht="15.75" thickTop="1" x14ac:dyDescent="0.2">
      <c r="A9" s="514" t="s">
        <v>1752</v>
      </c>
      <c r="B9" s="515">
        <v>3998</v>
      </c>
      <c r="C9" s="481">
        <v>3929287</v>
      </c>
      <c r="D9" s="516"/>
      <c r="E9" s="481"/>
      <c r="F9" s="481"/>
      <c r="G9" s="517"/>
      <c r="H9" s="481"/>
      <c r="I9" s="509" t="s">
        <v>1231</v>
      </c>
      <c r="J9" s="478"/>
      <c r="K9" s="481"/>
      <c r="L9" s="347"/>
    </row>
    <row r="10" spans="1:13" s="519" customFormat="1" ht="13.5" thickBot="1" x14ac:dyDescent="0.25">
      <c r="A10" s="1758" t="s">
        <v>1235</v>
      </c>
      <c r="B10" s="1731"/>
      <c r="C10" s="1710">
        <f>SUM(C8:C9)</f>
        <v>11737022</v>
      </c>
      <c r="D10" s="1710">
        <f t="shared" ref="D10:K10" si="1">SUM(D8:D9)</f>
        <v>657535</v>
      </c>
      <c r="E10" s="1710">
        <f t="shared" si="1"/>
        <v>1708310</v>
      </c>
      <c r="F10" s="1710">
        <f t="shared" si="1"/>
        <v>810179</v>
      </c>
      <c r="G10" s="1710">
        <f t="shared" si="1"/>
        <v>467603</v>
      </c>
      <c r="H10" s="1710">
        <f t="shared" si="1"/>
        <v>0</v>
      </c>
      <c r="I10" s="1710">
        <f t="shared" si="1"/>
        <v>128025</v>
      </c>
      <c r="J10" s="1710">
        <f t="shared" si="1"/>
        <v>773777</v>
      </c>
      <c r="K10" s="1710">
        <f t="shared" si="1"/>
        <v>123469</v>
      </c>
      <c r="L10" s="518"/>
    </row>
    <row r="11" spans="1:13" s="519" customFormat="1" ht="16.7" customHeight="1" thickTop="1" x14ac:dyDescent="0.2">
      <c r="A11" s="2125" t="s">
        <v>1238</v>
      </c>
      <c r="B11" s="2126"/>
      <c r="C11" s="1592"/>
      <c r="D11" s="1593"/>
      <c r="E11" s="1593"/>
      <c r="F11" s="1593"/>
      <c r="G11" s="1593"/>
      <c r="H11" s="1593"/>
      <c r="I11" s="1593"/>
      <c r="J11" s="1593"/>
      <c r="K11" s="1594"/>
      <c r="L11" s="518"/>
    </row>
    <row r="12" spans="1:13" ht="15.75" customHeight="1" x14ac:dyDescent="0.2">
      <c r="A12" s="1598" t="s">
        <v>476</v>
      </c>
      <c r="B12" s="1600">
        <v>1000</v>
      </c>
      <c r="C12" s="1764">
        <f>'Expenditures 15-22'!K33</f>
        <v>6052881</v>
      </c>
      <c r="D12" s="520" t="s">
        <v>1231</v>
      </c>
      <c r="E12" s="468" t="s">
        <v>1231</v>
      </c>
      <c r="F12" s="468" t="s">
        <v>1231</v>
      </c>
      <c r="G12" s="1764">
        <f>'Expenditures 15-22'!K229</f>
        <v>187708</v>
      </c>
      <c r="H12" s="521"/>
      <c r="I12" s="468" t="s">
        <v>1231</v>
      </c>
      <c r="J12" s="468" t="s">
        <v>1231</v>
      </c>
      <c r="K12" s="521" t="s">
        <v>1231</v>
      </c>
      <c r="L12" s="347"/>
    </row>
    <row r="13" spans="1:13" ht="15.75" customHeight="1" x14ac:dyDescent="0.2">
      <c r="A13" s="1598" t="s">
        <v>477</v>
      </c>
      <c r="B13" s="1600">
        <v>2000</v>
      </c>
      <c r="C13" s="1765">
        <f>'Expenditures 15-22'!K74</f>
        <v>1965991</v>
      </c>
      <c r="D13" s="1765">
        <f>'Expenditures 15-22'!K129</f>
        <v>668354</v>
      </c>
      <c r="E13" s="469" t="s">
        <v>1231</v>
      </c>
      <c r="F13" s="1765">
        <f>'Expenditures 15-22'!K184</f>
        <v>626199</v>
      </c>
      <c r="G13" s="1765">
        <f>'Expenditures 15-22'!K279</f>
        <v>241619</v>
      </c>
      <c r="H13" s="1765">
        <f>'Expenditures 15-22'!K303</f>
        <v>0</v>
      </c>
      <c r="I13" s="468" t="s">
        <v>1231</v>
      </c>
      <c r="J13" s="1765">
        <f>'Expenditures 15-22'!K330</f>
        <v>756162</v>
      </c>
      <c r="K13" s="1769">
        <f>'Expenditures 15-22'!K352</f>
        <v>91841</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437941</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1712681</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8456813</v>
      </c>
      <c r="D17" s="1710">
        <f t="shared" si="2"/>
        <v>668354</v>
      </c>
      <c r="E17" s="1710">
        <f t="shared" si="2"/>
        <v>1712681</v>
      </c>
      <c r="F17" s="1710">
        <f t="shared" si="2"/>
        <v>626199</v>
      </c>
      <c r="G17" s="1710">
        <f t="shared" si="2"/>
        <v>429327</v>
      </c>
      <c r="H17" s="1710">
        <f t="shared" si="2"/>
        <v>0</v>
      </c>
      <c r="I17" s="468"/>
      <c r="J17" s="1710">
        <f>SUM(J12:J16)</f>
        <v>756162</v>
      </c>
      <c r="K17" s="1710">
        <f>SUM(K12:K16)</f>
        <v>91841</v>
      </c>
      <c r="L17" s="347"/>
    </row>
    <row r="18" spans="1:12" ht="15" customHeight="1" thickTop="1" x14ac:dyDescent="0.2">
      <c r="A18" s="1766" t="s">
        <v>1753</v>
      </c>
      <c r="B18" s="1767">
        <v>4180</v>
      </c>
      <c r="C18" s="1764">
        <f t="shared" ref="C18:H18" si="3">C9</f>
        <v>3929287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12386100</v>
      </c>
      <c r="D19" s="1710">
        <f t="shared" si="4"/>
        <v>668354</v>
      </c>
      <c r="E19" s="1710">
        <f t="shared" si="4"/>
        <v>1712681</v>
      </c>
      <c r="F19" s="1710">
        <f t="shared" si="4"/>
        <v>626199</v>
      </c>
      <c r="G19" s="1710">
        <f t="shared" si="4"/>
        <v>429327</v>
      </c>
      <c r="H19" s="1710">
        <f t="shared" si="4"/>
        <v>0</v>
      </c>
      <c r="I19" s="468"/>
      <c r="J19" s="1710">
        <f>SUM(J17:J18)</f>
        <v>756162</v>
      </c>
      <c r="K19" s="1710">
        <f>SUM(K17:K18)</f>
        <v>91841</v>
      </c>
      <c r="L19" s="347"/>
    </row>
    <row r="20" spans="1:12" ht="16.5" thickTop="1" thickBot="1" x14ac:dyDescent="0.25">
      <c r="A20" s="2141" t="s">
        <v>1754</v>
      </c>
      <c r="B20" s="2142"/>
      <c r="C20" s="1768">
        <f>C8-C17</f>
        <v>-649078</v>
      </c>
      <c r="D20" s="1768">
        <f t="shared" ref="D20:K20" si="5">D8-D17</f>
        <v>-10819</v>
      </c>
      <c r="E20" s="1768">
        <f t="shared" si="5"/>
        <v>-4371</v>
      </c>
      <c r="F20" s="1768">
        <f t="shared" si="5"/>
        <v>183980</v>
      </c>
      <c r="G20" s="1768">
        <f t="shared" si="5"/>
        <v>38276</v>
      </c>
      <c r="H20" s="1768">
        <f t="shared" si="5"/>
        <v>0</v>
      </c>
      <c r="I20" s="1768">
        <f t="shared" si="5"/>
        <v>128025</v>
      </c>
      <c r="J20" s="1768">
        <f t="shared" si="5"/>
        <v>17615</v>
      </c>
      <c r="K20" s="1768">
        <f t="shared" si="5"/>
        <v>31628</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49" t="s">
        <v>617</v>
      </c>
      <c r="B22" s="2150"/>
      <c r="C22" s="477"/>
      <c r="D22" s="477"/>
      <c r="E22" s="477"/>
      <c r="F22" s="477"/>
      <c r="G22" s="477"/>
      <c r="H22" s="477"/>
      <c r="I22" s="477"/>
      <c r="J22" s="477"/>
      <c r="K22" s="477"/>
      <c r="L22" s="347"/>
    </row>
    <row r="23" spans="1:12" s="485" customFormat="1" ht="15.75" customHeight="1" x14ac:dyDescent="0.2">
      <c r="A23" s="2145" t="s">
        <v>311</v>
      </c>
      <c r="B23" s="2146"/>
      <c r="C23" s="480"/>
      <c r="D23" s="477"/>
      <c r="E23" s="477"/>
      <c r="F23" s="477"/>
      <c r="G23" s="477"/>
      <c r="H23" s="477"/>
      <c r="I23" s="477"/>
      <c r="J23" s="477"/>
      <c r="K23" s="477"/>
      <c r="L23" s="524"/>
    </row>
    <row r="24" spans="1:12" s="485" customFormat="1" ht="13.5" customHeight="1" x14ac:dyDescent="0.2">
      <c r="A24" s="1511" t="s">
        <v>1755</v>
      </c>
      <c r="B24" s="525">
        <v>7110</v>
      </c>
      <c r="C24" s="467">
        <v>1100000</v>
      </c>
      <c r="D24" s="477"/>
      <c r="E24" s="477"/>
      <c r="F24" s="477"/>
      <c r="G24" s="477"/>
      <c r="H24" s="477"/>
      <c r="I24" s="477"/>
      <c r="J24" s="477"/>
      <c r="K24" s="477"/>
      <c r="L24" s="524"/>
    </row>
    <row r="25" spans="1:12" s="485" customFormat="1" ht="13.5" customHeight="1" x14ac:dyDescent="0.2">
      <c r="A25" s="1511" t="s">
        <v>1756</v>
      </c>
      <c r="B25" s="525">
        <v>7110</v>
      </c>
      <c r="C25" s="467"/>
      <c r="D25" s="467">
        <v>100000</v>
      </c>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7" t="s">
        <v>1038</v>
      </c>
      <c r="B32" s="2148"/>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5">
        <f>SUM(C24:C43)</f>
        <v>1100000</v>
      </c>
      <c r="D44" s="1725">
        <f t="shared" ref="D44:K44" si="6">SUM(D24:D43)</f>
        <v>100000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49" t="s">
        <v>110</v>
      </c>
      <c r="B45" s="2150"/>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1200000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1" t="s">
        <v>460</v>
      </c>
      <c r="B76" s="2132"/>
      <c r="C76" s="1725">
        <f t="shared" ref="C76:K76" si="7">SUM(C47:C75)</f>
        <v>0</v>
      </c>
      <c r="D76" s="1725">
        <f t="shared" si="7"/>
        <v>0</v>
      </c>
      <c r="E76" s="1725">
        <f t="shared" si="7"/>
        <v>0</v>
      </c>
      <c r="F76" s="1725">
        <f t="shared" si="7"/>
        <v>0</v>
      </c>
      <c r="G76" s="1725">
        <f t="shared" si="7"/>
        <v>0</v>
      </c>
      <c r="H76" s="1725">
        <f t="shared" si="7"/>
        <v>0</v>
      </c>
      <c r="I76" s="1725">
        <f t="shared" si="7"/>
        <v>1200000</v>
      </c>
      <c r="J76" s="1725">
        <f t="shared" si="7"/>
        <v>0</v>
      </c>
      <c r="K76" s="1725">
        <f t="shared" si="7"/>
        <v>0</v>
      </c>
      <c r="L76" s="524"/>
    </row>
    <row r="77" spans="1:12" ht="14.25" thickTop="1" thickBot="1" x14ac:dyDescent="0.25">
      <c r="A77" s="2133" t="s">
        <v>1239</v>
      </c>
      <c r="B77" s="2134"/>
      <c r="C77" s="1725">
        <f t="shared" ref="C77:K77" si="8">C44-C76</f>
        <v>1100000</v>
      </c>
      <c r="D77" s="1725">
        <f t="shared" si="8"/>
        <v>100000</v>
      </c>
      <c r="E77" s="1725">
        <f t="shared" si="8"/>
        <v>0</v>
      </c>
      <c r="F77" s="1725">
        <f t="shared" si="8"/>
        <v>0</v>
      </c>
      <c r="G77" s="1725">
        <f t="shared" si="8"/>
        <v>0</v>
      </c>
      <c r="H77" s="1725">
        <f t="shared" si="8"/>
        <v>0</v>
      </c>
      <c r="I77" s="1725">
        <f t="shared" si="8"/>
        <v>-1200000</v>
      </c>
      <c r="J77" s="1725">
        <f t="shared" si="8"/>
        <v>0</v>
      </c>
      <c r="K77" s="1725">
        <f t="shared" si="8"/>
        <v>0</v>
      </c>
      <c r="L77" s="347"/>
    </row>
    <row r="78" spans="1:12" ht="21.75" customHeight="1" thickTop="1" thickBot="1" x14ac:dyDescent="0.25">
      <c r="A78" s="2137" t="s">
        <v>618</v>
      </c>
      <c r="B78" s="2138"/>
      <c r="C78" s="1724">
        <f t="shared" ref="C78:K78" si="9">C20+C77</f>
        <v>450922</v>
      </c>
      <c r="D78" s="1724">
        <f t="shared" si="9"/>
        <v>89181</v>
      </c>
      <c r="E78" s="1724">
        <f t="shared" si="9"/>
        <v>-4371</v>
      </c>
      <c r="F78" s="1724">
        <f t="shared" si="9"/>
        <v>183980</v>
      </c>
      <c r="G78" s="1724">
        <f t="shared" si="9"/>
        <v>38276</v>
      </c>
      <c r="H78" s="1724">
        <f t="shared" si="9"/>
        <v>0</v>
      </c>
      <c r="I78" s="1724">
        <f t="shared" si="9"/>
        <v>-1071975</v>
      </c>
      <c r="J78" s="1724">
        <f t="shared" si="9"/>
        <v>17615</v>
      </c>
      <c r="K78" s="1724">
        <f t="shared" si="9"/>
        <v>31628</v>
      </c>
      <c r="L78" s="533"/>
    </row>
    <row r="79" spans="1:12" ht="13.5" thickTop="1" x14ac:dyDescent="0.2">
      <c r="A79" s="1516" t="s">
        <v>2073</v>
      </c>
      <c r="B79" s="534"/>
      <c r="C79" s="478">
        <v>199281</v>
      </c>
      <c r="D79" s="535">
        <v>20891</v>
      </c>
      <c r="E79" s="535">
        <v>67067</v>
      </c>
      <c r="F79" s="535">
        <v>166986</v>
      </c>
      <c r="G79" s="535">
        <v>148272</v>
      </c>
      <c r="H79" s="535"/>
      <c r="I79" s="535">
        <v>1228431</v>
      </c>
      <c r="J79" s="535">
        <v>147376</v>
      </c>
      <c r="K79" s="535">
        <v>504758</v>
      </c>
      <c r="L79" s="347"/>
    </row>
    <row r="80" spans="1:12" x14ac:dyDescent="0.2">
      <c r="A80" s="2143" t="s">
        <v>1898</v>
      </c>
      <c r="B80" s="2144"/>
      <c r="C80" s="467"/>
      <c r="D80" s="467"/>
      <c r="E80" s="467"/>
      <c r="F80" s="467"/>
      <c r="G80" s="467"/>
      <c r="H80" s="467"/>
      <c r="I80" s="467"/>
      <c r="J80" s="467"/>
      <c r="K80" s="467"/>
      <c r="L80" s="347"/>
    </row>
    <row r="81" spans="1:12" ht="13.5" thickBot="1" x14ac:dyDescent="0.25">
      <c r="A81" s="2135" t="s">
        <v>2074</v>
      </c>
      <c r="B81" s="2136"/>
      <c r="C81" s="1710">
        <f>(SUM(C78:C80))</f>
        <v>650203</v>
      </c>
      <c r="D81" s="1710">
        <f>SUM(D78:D80)</f>
        <v>110072</v>
      </c>
      <c r="E81" s="1710">
        <f t="shared" ref="E81:K81" si="10">SUM(E78:E80)</f>
        <v>62696</v>
      </c>
      <c r="F81" s="1710">
        <f t="shared" si="10"/>
        <v>350966</v>
      </c>
      <c r="G81" s="1710">
        <f t="shared" si="10"/>
        <v>186548</v>
      </c>
      <c r="H81" s="1710">
        <f t="shared" si="10"/>
        <v>0</v>
      </c>
      <c r="I81" s="1710">
        <f t="shared" si="10"/>
        <v>156456</v>
      </c>
      <c r="J81" s="1710">
        <f t="shared" si="10"/>
        <v>164991</v>
      </c>
      <c r="K81" s="1710">
        <f t="shared" si="10"/>
        <v>536386</v>
      </c>
      <c r="L81" s="347"/>
    </row>
    <row r="82" spans="1:12" ht="0.75" customHeight="1" thickTop="1" thickBot="1" x14ac:dyDescent="0.25">
      <c r="A82" s="536" t="s">
        <v>361</v>
      </c>
      <c r="B82" s="537"/>
      <c r="C82" s="538">
        <f>(C81-C79)</f>
        <v>450922</v>
      </c>
      <c r="D82" s="538">
        <f t="shared" ref="D82:K82" si="11">(D81-D79)</f>
        <v>89181</v>
      </c>
      <c r="E82" s="538">
        <f t="shared" si="11"/>
        <v>-4371</v>
      </c>
      <c r="F82" s="538">
        <f t="shared" si="11"/>
        <v>183980</v>
      </c>
      <c r="G82" s="538">
        <f t="shared" si="11"/>
        <v>38276</v>
      </c>
      <c r="H82" s="538">
        <f t="shared" si="11"/>
        <v>0</v>
      </c>
      <c r="I82" s="538">
        <f t="shared" si="11"/>
        <v>-1071975</v>
      </c>
      <c r="J82" s="538">
        <f t="shared" si="11"/>
        <v>17615</v>
      </c>
      <c r="K82" s="538">
        <f t="shared" si="11"/>
        <v>31628</v>
      </c>
    </row>
    <row r="83" spans="1:12" ht="14.25" hidden="1" thickTop="1" thickBot="1" x14ac:dyDescent="0.25">
      <c r="A83" s="539" t="s">
        <v>362</v>
      </c>
      <c r="B83" s="464"/>
      <c r="C83" s="540">
        <f>C82/C81</f>
        <v>0.69350956547416731</v>
      </c>
      <c r="D83" s="540">
        <f t="shared" ref="D83:K83" si="12">D82/D81</f>
        <v>0.81020604695108656</v>
      </c>
      <c r="E83" s="540">
        <f t="shared" si="12"/>
        <v>-6.9717366339160397E-2</v>
      </c>
      <c r="F83" s="540">
        <f t="shared" si="12"/>
        <v>0.52421032236740883</v>
      </c>
      <c r="G83" s="540">
        <f t="shared" si="12"/>
        <v>0.20518043613439974</v>
      </c>
      <c r="H83" s="540" t="e">
        <f t="shared" si="12"/>
        <v>#DIV/0!</v>
      </c>
      <c r="I83" s="540">
        <f t="shared" si="12"/>
        <v>-6.8516068415401135</v>
      </c>
      <c r="J83" s="540">
        <f t="shared" si="12"/>
        <v>0.1067633992157148</v>
      </c>
      <c r="K83" s="540">
        <f t="shared" si="12"/>
        <v>5.8964999086478766E-2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46:B46"/>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attached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18" activePane="bottomLeft" state="frozen"/>
      <selection activeCell="A47" sqref="A47"/>
      <selection pane="bottomLeft" activeCell="F45" sqref="F4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9" t="s">
        <v>1905</v>
      </c>
      <c r="B1" s="452"/>
      <c r="C1" s="453" t="s">
        <v>445</v>
      </c>
      <c r="D1" s="453" t="s">
        <v>446</v>
      </c>
      <c r="E1" s="453" t="s">
        <v>447</v>
      </c>
      <c r="F1" s="453" t="s">
        <v>448</v>
      </c>
      <c r="G1" s="453" t="s">
        <v>449</v>
      </c>
      <c r="H1" s="453" t="s">
        <v>450</v>
      </c>
      <c r="I1" s="453" t="s">
        <v>451</v>
      </c>
      <c r="J1" s="453" t="s">
        <v>452</v>
      </c>
      <c r="K1" s="453" t="s">
        <v>780</v>
      </c>
    </row>
    <row r="2" spans="1:12" ht="36" x14ac:dyDescent="0.2">
      <c r="A2" s="214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3314699</v>
      </c>
      <c r="D5" s="481">
        <v>591911</v>
      </c>
      <c r="E5" s="466">
        <v>1705008</v>
      </c>
      <c r="F5" s="548">
        <v>284117</v>
      </c>
      <c r="G5" s="466"/>
      <c r="H5" s="466"/>
      <c r="I5" s="466">
        <v>118382</v>
      </c>
      <c r="J5" s="467">
        <v>770242</v>
      </c>
      <c r="K5" s="466">
        <v>118382</v>
      </c>
    </row>
    <row r="6" spans="1:12" ht="15" x14ac:dyDescent="0.2">
      <c r="A6" s="463" t="s">
        <v>1761</v>
      </c>
      <c r="B6" s="470">
        <v>1130</v>
      </c>
      <c r="C6" s="466">
        <v>118382</v>
      </c>
      <c r="D6" s="466"/>
      <c r="E6" s="475"/>
      <c r="F6" s="475"/>
      <c r="G6" s="468"/>
      <c r="H6" s="468"/>
      <c r="I6" s="468"/>
      <c r="J6" s="468"/>
      <c r="K6" s="468"/>
    </row>
    <row r="7" spans="1:12" x14ac:dyDescent="0.2">
      <c r="A7" s="463" t="s">
        <v>112</v>
      </c>
      <c r="B7" s="549">
        <v>1140</v>
      </c>
      <c r="C7" s="466">
        <v>47353</v>
      </c>
      <c r="D7" s="466"/>
      <c r="E7" s="468"/>
      <c r="F7" s="467"/>
      <c r="G7" s="467"/>
      <c r="H7" s="467"/>
      <c r="I7" s="468"/>
      <c r="J7" s="468"/>
      <c r="K7" s="468"/>
    </row>
    <row r="8" spans="1:12" x14ac:dyDescent="0.2">
      <c r="A8" s="463" t="s">
        <v>433</v>
      </c>
      <c r="B8" s="470">
        <v>1150</v>
      </c>
      <c r="C8" s="475"/>
      <c r="D8" s="475"/>
      <c r="E8" s="477"/>
      <c r="F8" s="477"/>
      <c r="G8" s="481">
        <v>448693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3480434</v>
      </c>
      <c r="D12" s="1729">
        <f t="shared" si="0"/>
        <v>591911</v>
      </c>
      <c r="E12" s="1729">
        <f t="shared" si="0"/>
        <v>1705008</v>
      </c>
      <c r="F12" s="1729">
        <f t="shared" si="0"/>
        <v>284117</v>
      </c>
      <c r="G12" s="1729">
        <f t="shared" si="0"/>
        <v>448693</v>
      </c>
      <c r="H12" s="1729">
        <f t="shared" si="0"/>
        <v>0</v>
      </c>
      <c r="I12" s="1729">
        <f t="shared" si="0"/>
        <v>118382</v>
      </c>
      <c r="J12" s="1729">
        <f t="shared" si="0"/>
        <v>770242</v>
      </c>
      <c r="K12" s="1710">
        <f t="shared" si="0"/>
        <v>118382</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6224</v>
      </c>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273511</v>
      </c>
      <c r="D16" s="466"/>
      <c r="E16" s="466"/>
      <c r="F16" s="466"/>
      <c r="G16" s="466">
        <v>16069</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279735</v>
      </c>
      <c r="D18" s="1732">
        <f t="shared" ref="D18:K18" si="1">SUM(D14:D17)</f>
        <v>0</v>
      </c>
      <c r="E18" s="1732">
        <f t="shared" si="1"/>
        <v>0</v>
      </c>
      <c r="F18" s="1732">
        <f t="shared" si="1"/>
        <v>0</v>
      </c>
      <c r="G18" s="1732">
        <f t="shared" si="1"/>
        <v>16069</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1150</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1150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5909</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2142</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v>109818</v>
      </c>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117869</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f>286+7913</f>
        <v>8199</v>
      </c>
      <c r="D65" s="466">
        <v>1936</v>
      </c>
      <c r="E65" s="466">
        <v>3302</v>
      </c>
      <c r="F65" s="467">
        <v>2585</v>
      </c>
      <c r="G65" s="466">
        <v>2841</v>
      </c>
      <c r="H65" s="466"/>
      <c r="I65" s="466">
        <v>9643</v>
      </c>
      <c r="J65" s="467">
        <v>3535</v>
      </c>
      <c r="K65" s="466">
        <v>5087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8199</v>
      </c>
      <c r="D67" s="1710">
        <f t="shared" ref="D67:K67" si="2">SUM(D65:D66)</f>
        <v>1936</v>
      </c>
      <c r="E67" s="1710">
        <f t="shared" si="2"/>
        <v>3302</v>
      </c>
      <c r="F67" s="1710">
        <f t="shared" si="2"/>
        <v>2585</v>
      </c>
      <c r="G67" s="1710">
        <f t="shared" si="2"/>
        <v>2841</v>
      </c>
      <c r="H67" s="1710">
        <f t="shared" si="2"/>
        <v>0</v>
      </c>
      <c r="I67" s="1710">
        <f t="shared" si="2"/>
        <v>9643</v>
      </c>
      <c r="J67" s="1710">
        <f t="shared" si="2"/>
        <v>3535</v>
      </c>
      <c r="K67" s="1710">
        <f t="shared" si="2"/>
        <v>5087</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154264</v>
      </c>
      <c r="D69" s="468"/>
      <c r="E69" s="468"/>
      <c r="F69" s="468"/>
      <c r="G69" s="468"/>
      <c r="H69" s="468"/>
      <c r="I69" s="468"/>
      <c r="J69" s="468"/>
      <c r="K69" s="468"/>
    </row>
    <row r="70" spans="1:11" ht="12.75" customHeight="1" x14ac:dyDescent="0.2">
      <c r="A70" s="463" t="s">
        <v>1054</v>
      </c>
      <c r="B70" s="470">
        <v>1612</v>
      </c>
      <c r="C70" s="551">
        <v>29540</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v>32048</v>
      </c>
      <c r="D74" s="468"/>
      <c r="E74" s="468"/>
      <c r="F74" s="468"/>
      <c r="G74" s="468"/>
      <c r="H74" s="468"/>
      <c r="I74" s="468"/>
      <c r="J74" s="468"/>
      <c r="K74" s="468"/>
    </row>
    <row r="75" spans="1:11" ht="12.75" customHeight="1" thickBot="1" x14ac:dyDescent="0.25">
      <c r="A75" s="1730" t="s">
        <v>569</v>
      </c>
      <c r="B75" s="1731"/>
      <c r="C75" s="1710">
        <f>SUM(C69:C74)</f>
        <v>215852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5378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24870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30248</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24870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24870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40357</v>
      </c>
      <c r="E95" s="521"/>
      <c r="F95" s="521"/>
      <c r="G95" s="521"/>
      <c r="H95" s="521"/>
      <c r="I95" s="521"/>
      <c r="J95" s="521"/>
      <c r="K95" s="521"/>
    </row>
    <row r="96" spans="1:11" ht="12.75" customHeight="1" x14ac:dyDescent="0.2">
      <c r="A96" s="463" t="s">
        <v>409</v>
      </c>
      <c r="B96" s="470">
        <v>1920</v>
      </c>
      <c r="C96" s="551">
        <v>34145</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v>486</v>
      </c>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v>3285</v>
      </c>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3317</v>
      </c>
      <c r="D106" s="489"/>
      <c r="E106" s="467"/>
      <c r="F106" s="467"/>
      <c r="G106" s="467"/>
      <c r="H106" s="467"/>
      <c r="I106" s="521"/>
      <c r="J106" s="467"/>
      <c r="K106" s="467"/>
    </row>
    <row r="107" spans="1:12" ht="12.75" customHeight="1" x14ac:dyDescent="0.2">
      <c r="A107" s="463" t="s">
        <v>80</v>
      </c>
      <c r="B107" s="470">
        <v>1999</v>
      </c>
      <c r="C107" s="551">
        <v>24983</v>
      </c>
      <c r="D107" s="466">
        <v>23331</v>
      </c>
      <c r="E107" s="466"/>
      <c r="F107" s="466">
        <v>4533</v>
      </c>
      <c r="G107" s="466"/>
      <c r="H107" s="466"/>
      <c r="I107" s="466"/>
      <c r="J107" s="467"/>
      <c r="K107" s="466"/>
    </row>
    <row r="108" spans="1:12" ht="12.75" customHeight="1" thickBot="1" x14ac:dyDescent="0.25">
      <c r="A108" s="1730" t="s">
        <v>508</v>
      </c>
      <c r="B108" s="1734"/>
      <c r="C108" s="1729">
        <f>SUM(C95:C107)</f>
        <v>65730</v>
      </c>
      <c r="D108" s="1729">
        <f t="shared" ref="D108:K108" si="3">SUM(D95:D107)</f>
        <v>63688</v>
      </c>
      <c r="E108" s="1729">
        <f t="shared" si="3"/>
        <v>0</v>
      </c>
      <c r="F108" s="1729">
        <f t="shared" si="3"/>
        <v>5019</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4106218</v>
      </c>
      <c r="D109" s="1737">
        <f t="shared" si="4"/>
        <v>657535</v>
      </c>
      <c r="E109" s="1737">
        <f t="shared" si="4"/>
        <v>1708310</v>
      </c>
      <c r="F109" s="1737">
        <f t="shared" si="4"/>
        <v>409590</v>
      </c>
      <c r="G109" s="1737">
        <f t="shared" si="4"/>
        <v>467603</v>
      </c>
      <c r="H109" s="1737">
        <f t="shared" si="4"/>
        <v>0</v>
      </c>
      <c r="I109" s="1737">
        <f t="shared" si="4"/>
        <v>128025</v>
      </c>
      <c r="J109" s="1737">
        <f t="shared" si="4"/>
        <v>773777</v>
      </c>
      <c r="K109" s="1724">
        <f t="shared" si="4"/>
        <v>123469</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124341</v>
      </c>
      <c r="D111" s="481"/>
      <c r="E111" s="561"/>
      <c r="F111" s="481"/>
      <c r="G111" s="481"/>
      <c r="H111" s="561"/>
      <c r="I111" s="468"/>
      <c r="J111" s="468"/>
      <c r="K111" s="468"/>
    </row>
    <row r="112" spans="1:12" ht="12.75" customHeight="1" x14ac:dyDescent="0.2">
      <c r="A112" s="463" t="s">
        <v>878</v>
      </c>
      <c r="B112" s="470">
        <v>2200</v>
      </c>
      <c r="C112" s="551">
        <v>9831</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134172</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1792498</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1792498</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30218</v>
      </c>
      <c r="D124" s="561"/>
      <c r="E124" s="468"/>
      <c r="F124" s="548"/>
      <c r="G124" s="468"/>
      <c r="H124" s="468"/>
      <c r="I124" s="468"/>
      <c r="J124" s="468"/>
      <c r="K124" s="468"/>
    </row>
    <row r="125" spans="1:11" ht="12.75" customHeight="1" x14ac:dyDescent="0.2">
      <c r="A125" s="463" t="s">
        <v>1521</v>
      </c>
      <c r="B125" s="562">
        <v>3105</v>
      </c>
      <c r="C125" s="466">
        <v>72788</v>
      </c>
      <c r="D125" s="561"/>
      <c r="E125" s="468"/>
      <c r="F125" s="466"/>
      <c r="G125" s="468"/>
      <c r="H125" s="468"/>
      <c r="I125" s="468"/>
      <c r="J125" s="468"/>
      <c r="K125" s="468"/>
    </row>
    <row r="126" spans="1:11" ht="12.75" customHeight="1" x14ac:dyDescent="0.2">
      <c r="A126" s="463" t="s">
        <v>922</v>
      </c>
      <c r="B126" s="562">
        <v>3110</v>
      </c>
      <c r="C126" s="551">
        <v>55550</v>
      </c>
      <c r="D126" s="466"/>
      <c r="E126" s="468"/>
      <c r="F126" s="466"/>
      <c r="G126" s="468"/>
      <c r="H126" s="468"/>
      <c r="I126" s="468"/>
      <c r="J126" s="468"/>
      <c r="K126" s="468"/>
    </row>
    <row r="127" spans="1:11" ht="12.75" customHeight="1" x14ac:dyDescent="0.2">
      <c r="A127" s="463" t="s">
        <v>107</v>
      </c>
      <c r="B127" s="562">
        <v>3120</v>
      </c>
      <c r="C127" s="466">
        <v>25987</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184543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3747</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115003</v>
      </c>
      <c r="G151" s="467"/>
      <c r="H151" s="468"/>
      <c r="I151" s="468"/>
      <c r="J151" s="468"/>
      <c r="K151" s="468"/>
    </row>
    <row r="152" spans="1:11" ht="12.75" customHeight="1" x14ac:dyDescent="0.2">
      <c r="A152" s="463" t="s">
        <v>1117</v>
      </c>
      <c r="B152" s="562">
        <v>3510</v>
      </c>
      <c r="C152" s="551"/>
      <c r="D152" s="466"/>
      <c r="E152" s="561"/>
      <c r="F152" s="466">
        <v>285586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400589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f>581183+136476+60942+29853</f>
        <v>808454</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1515</v>
      </c>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998259</v>
      </c>
      <c r="D172" s="1744">
        <f t="shared" si="6"/>
        <v>0</v>
      </c>
      <c r="E172" s="1744">
        <f t="shared" si="6"/>
        <v>0</v>
      </c>
      <c r="F172" s="1744">
        <f t="shared" si="6"/>
        <v>400589</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2790757</v>
      </c>
      <c r="D173" s="1737">
        <f>SUM(D121,D172)</f>
        <v>0</v>
      </c>
      <c r="E173" s="1737">
        <f>SUM(E121,E172)</f>
        <v>0</v>
      </c>
      <c r="F173" s="1737">
        <f t="shared" ref="F173:K173" si="7">SUM(F121,F172)</f>
        <v>400589</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19625</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19625</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197644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50503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248147</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273195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273195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v>4635</v>
      </c>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4635</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39829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23570</v>
      </c>
      <c r="D270" s="576"/>
      <c r="E270" s="468"/>
      <c r="F270" s="576"/>
      <c r="G270" s="576"/>
      <c r="H270" s="468"/>
      <c r="I270" s="468"/>
      <c r="J270" s="468"/>
      <c r="K270" s="468"/>
    </row>
    <row r="271" spans="1:11" ht="12.75" customHeight="1" thickTop="1" thickBot="1" x14ac:dyDescent="0.25">
      <c r="A271" s="463" t="s">
        <v>395</v>
      </c>
      <c r="B271" s="470">
        <v>4992</v>
      </c>
      <c r="C271" s="575">
        <v>167587</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776588</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776588</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7807735</v>
      </c>
      <c r="D275" s="1737">
        <f t="shared" si="12"/>
        <v>657535</v>
      </c>
      <c r="E275" s="1737">
        <f t="shared" si="12"/>
        <v>1708310</v>
      </c>
      <c r="F275" s="1737">
        <f t="shared" si="12"/>
        <v>810179</v>
      </c>
      <c r="G275" s="1737">
        <f t="shared" si="12"/>
        <v>467603</v>
      </c>
      <c r="H275" s="1737">
        <f t="shared" si="12"/>
        <v>0</v>
      </c>
      <c r="I275" s="1737">
        <f t="shared" si="12"/>
        <v>128025</v>
      </c>
      <c r="J275" s="1737">
        <f t="shared" si="12"/>
        <v>773777</v>
      </c>
      <c r="K275" s="1724">
        <f t="shared" si="12"/>
        <v>123469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attached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0" zoomScaleNormal="90" workbookViewId="0">
      <pane ySplit="2" topLeftCell="A261" activePane="bottomLeft" state="frozen"/>
      <selection activeCell="A47" sqref="A47"/>
      <selection pane="bottomLeft" activeCell="D225" sqref="D22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9"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245096+513131+471083+1028352+53192+97769</f>
        <v>2408623</v>
      </c>
      <c r="D5" s="466">
        <f>24362+50753+47925+99355+5286+284+6335+12386+11739+23492+1210+451+1534+3237+3055+6364+341+68786+53074+86266+93307+199231+8424+2306+49+9539</f>
        <v>819091</v>
      </c>
      <c r="E5" s="466">
        <v>29939</v>
      </c>
      <c r="F5" s="466">
        <f>6848+6327+6146+4525+20911+210+6838+1881+3705+68667+3</f>
        <v>126061</v>
      </c>
      <c r="G5" s="466"/>
      <c r="H5" s="466"/>
      <c r="I5" s="467"/>
      <c r="J5" s="467"/>
      <c r="K5" s="1693">
        <f>SUM(C5:J5)</f>
        <v>3383714</v>
      </c>
      <c r="L5" s="466">
        <v>3480185</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f>232891+5320+18614+71435+98023</f>
        <v>426283</v>
      </c>
      <c r="D7" s="467">
        <f>17868+4097+1158+68388+4945+351</f>
        <v>96807</v>
      </c>
      <c r="E7" s="467">
        <f>3695+3631+1538+15+1576+8989+5889+132+8641+2907</f>
        <v>37013</v>
      </c>
      <c r="F7" s="467">
        <f>29605+3091+500+2905+8695+8063+352</f>
        <v>53211</v>
      </c>
      <c r="G7" s="467">
        <v>4239</v>
      </c>
      <c r="H7" s="467"/>
      <c r="I7" s="467"/>
      <c r="J7" s="467"/>
      <c r="K7" s="1693">
        <f t="shared" ref="K7:K32" si="0">SUM(C7:J7)</f>
        <v>617553</v>
      </c>
      <c r="L7" s="466">
        <v>720529</v>
      </c>
    </row>
    <row r="8" spans="1:14" x14ac:dyDescent="0.2">
      <c r="A8" s="1526" t="s">
        <v>166</v>
      </c>
      <c r="B8" s="615">
        <v>1200</v>
      </c>
      <c r="C8" s="466">
        <f>510519+448193</f>
        <v>958712</v>
      </c>
      <c r="D8" s="466">
        <f>50464+11551+3252+122483+585</f>
        <v>188335</v>
      </c>
      <c r="E8" s="466">
        <v>7857</v>
      </c>
      <c r="F8" s="466"/>
      <c r="G8" s="466"/>
      <c r="H8" s="466"/>
      <c r="I8" s="467"/>
      <c r="J8" s="467"/>
      <c r="K8" s="1693">
        <f t="shared" si="0"/>
        <v>1154904</v>
      </c>
      <c r="L8" s="466">
        <v>1420083</v>
      </c>
    </row>
    <row r="9" spans="1:14" x14ac:dyDescent="0.2">
      <c r="A9" s="1526" t="s">
        <v>745</v>
      </c>
      <c r="B9" s="615" t="s">
        <v>1025</v>
      </c>
      <c r="C9" s="467">
        <f>34583+9948</f>
        <v>44531</v>
      </c>
      <c r="D9" s="467">
        <f>3583+820+231+6740+29</f>
        <v>11403</v>
      </c>
      <c r="E9" s="467"/>
      <c r="F9" s="467"/>
      <c r="G9" s="467"/>
      <c r="H9" s="467"/>
      <c r="I9" s="467"/>
      <c r="J9" s="467"/>
      <c r="K9" s="1693">
        <f t="shared" si="0"/>
        <v>55934</v>
      </c>
      <c r="L9" s="466">
        <v>78847</v>
      </c>
    </row>
    <row r="10" spans="1:14" x14ac:dyDescent="0.2">
      <c r="A10" s="1526" t="s">
        <v>746</v>
      </c>
      <c r="B10" s="615">
        <v>1250</v>
      </c>
      <c r="C10" s="466">
        <f>247259+639</f>
        <v>247898</v>
      </c>
      <c r="D10" s="466">
        <f>24653+5643+1589+28575+33696+179</f>
        <v>94335</v>
      </c>
      <c r="E10" s="466">
        <f>30323+1620+2013</f>
        <v>33956</v>
      </c>
      <c r="F10" s="466">
        <v>3960</v>
      </c>
      <c r="G10" s="466"/>
      <c r="H10" s="466"/>
      <c r="I10" s="467"/>
      <c r="J10" s="467"/>
      <c r="K10" s="1693">
        <f t="shared" si="0"/>
        <v>380149</v>
      </c>
      <c r="L10" s="466">
        <v>394909</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f>10728+5034</f>
        <v>15762</v>
      </c>
    </row>
    <row r="13" spans="1:14" x14ac:dyDescent="0.2">
      <c r="A13" s="1526" t="s">
        <v>747</v>
      </c>
      <c r="B13" s="615">
        <v>1400</v>
      </c>
      <c r="C13" s="466"/>
      <c r="D13" s="466"/>
      <c r="E13" s="466"/>
      <c r="F13" s="466"/>
      <c r="G13" s="466"/>
      <c r="H13" s="466"/>
      <c r="I13" s="467"/>
      <c r="J13" s="467"/>
      <c r="K13" s="1693">
        <f t="shared" si="0"/>
        <v>0</v>
      </c>
      <c r="L13" s="466">
        <v>0</v>
      </c>
    </row>
    <row r="14" spans="1:14" x14ac:dyDescent="0.2">
      <c r="A14" s="1526" t="s">
        <v>1020</v>
      </c>
      <c r="B14" s="615">
        <v>1500</v>
      </c>
      <c r="C14" s="466">
        <f>49787+44941+100855+67849</f>
        <v>263432</v>
      </c>
      <c r="D14" s="466">
        <f>3369+771+217+4486+1027+289+8424+49+10026+2295+646+16848+97+4571+1046+423+8424+49</f>
        <v>63057</v>
      </c>
      <c r="E14" s="466">
        <f>3425+3632+180</f>
        <v>7237</v>
      </c>
      <c r="F14" s="466">
        <f>4072+171+47+683+1082</f>
        <v>6055</v>
      </c>
      <c r="G14" s="466">
        <v>7041</v>
      </c>
      <c r="H14" s="466">
        <f>1611+460+88-31</f>
        <v>2128</v>
      </c>
      <c r="I14" s="467"/>
      <c r="J14" s="467"/>
      <c r="K14" s="1693">
        <f t="shared" si="0"/>
        <v>348950</v>
      </c>
      <c r="L14" s="466">
        <v>361019</v>
      </c>
    </row>
    <row r="15" spans="1:14" x14ac:dyDescent="0.2">
      <c r="A15" s="1526" t="s">
        <v>1021</v>
      </c>
      <c r="B15" s="615">
        <v>1600</v>
      </c>
      <c r="C15" s="466">
        <v>6958</v>
      </c>
      <c r="D15" s="466">
        <f>662+151+43</f>
        <v>856</v>
      </c>
      <c r="E15" s="466">
        <v>334</v>
      </c>
      <c r="F15" s="466"/>
      <c r="G15" s="466"/>
      <c r="H15" s="466"/>
      <c r="I15" s="467"/>
      <c r="J15" s="467"/>
      <c r="K15" s="1693">
        <f t="shared" si="0"/>
        <v>8148</v>
      </c>
      <c r="L15" s="466">
        <v>3935</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c r="D17" s="467"/>
      <c r="E17" s="467"/>
      <c r="F17" s="467"/>
      <c r="G17" s="467"/>
      <c r="H17" s="467"/>
      <c r="I17" s="467"/>
      <c r="J17" s="467"/>
      <c r="K17" s="1693">
        <f t="shared" si="0"/>
        <v>0</v>
      </c>
      <c r="L17" s="466">
        <v>0</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v>103529</v>
      </c>
      <c r="I22" s="617"/>
      <c r="J22" s="477"/>
      <c r="K22" s="1693">
        <f t="shared" si="0"/>
        <v>103529</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4356437</v>
      </c>
      <c r="D33" s="1692">
        <f t="shared" ref="D33:L33" si="1">SUM(D5:D32)</f>
        <v>1273884</v>
      </c>
      <c r="E33" s="1692">
        <f t="shared" si="1"/>
        <v>116336</v>
      </c>
      <c r="F33" s="1692">
        <f t="shared" si="1"/>
        <v>189287</v>
      </c>
      <c r="G33" s="1692">
        <f t="shared" si="1"/>
        <v>11280</v>
      </c>
      <c r="H33" s="1692">
        <f t="shared" si="1"/>
        <v>105657</v>
      </c>
      <c r="I33" s="1692">
        <f t="shared" si="1"/>
        <v>0</v>
      </c>
      <c r="J33" s="1692">
        <f t="shared" si="1"/>
        <v>0</v>
      </c>
      <c r="K33" s="1692">
        <f t="shared" si="1"/>
        <v>6052881</v>
      </c>
      <c r="L33" s="1692">
        <f t="shared" si="1"/>
        <v>6475269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v>0</v>
      </c>
    </row>
    <row r="37" spans="1:14" x14ac:dyDescent="0.2">
      <c r="A37" s="1526" t="s">
        <v>1151</v>
      </c>
      <c r="B37" s="615">
        <v>2120</v>
      </c>
      <c r="C37" s="466">
        <v>109101</v>
      </c>
      <c r="D37" s="466">
        <f>7634+1747+492+13438+97</f>
        <v>23408</v>
      </c>
      <c r="E37" s="466"/>
      <c r="F37" s="466">
        <v>73</v>
      </c>
      <c r="G37" s="466"/>
      <c r="H37" s="466"/>
      <c r="I37" s="467"/>
      <c r="J37" s="467"/>
      <c r="K37" s="1693">
        <f t="shared" si="2"/>
        <v>132582</v>
      </c>
      <c r="L37" s="466">
        <v>141443</v>
      </c>
    </row>
    <row r="38" spans="1:14" x14ac:dyDescent="0.2">
      <c r="A38" s="1526" t="s">
        <v>207</v>
      </c>
      <c r="B38" s="615">
        <v>2130</v>
      </c>
      <c r="C38" s="466"/>
      <c r="D38" s="466"/>
      <c r="E38" s="466">
        <v>43470</v>
      </c>
      <c r="F38" s="466">
        <v>627</v>
      </c>
      <c r="G38" s="466"/>
      <c r="H38" s="466"/>
      <c r="I38" s="467"/>
      <c r="J38" s="467"/>
      <c r="K38" s="1693">
        <f t="shared" si="2"/>
        <v>44097</v>
      </c>
      <c r="L38" s="466">
        <v>55800</v>
      </c>
    </row>
    <row r="39" spans="1:14" x14ac:dyDescent="0.2">
      <c r="A39" s="1526" t="s">
        <v>208</v>
      </c>
      <c r="B39" s="615">
        <v>2140</v>
      </c>
      <c r="C39" s="466"/>
      <c r="D39" s="466"/>
      <c r="E39" s="466"/>
      <c r="F39" s="466"/>
      <c r="G39" s="466"/>
      <c r="H39" s="466"/>
      <c r="I39" s="467"/>
      <c r="J39" s="467"/>
      <c r="K39" s="1693">
        <f t="shared" si="2"/>
        <v>0</v>
      </c>
      <c r="L39" s="466">
        <v>0</v>
      </c>
    </row>
    <row r="40" spans="1:14" x14ac:dyDescent="0.2">
      <c r="A40" s="1526" t="s">
        <v>209</v>
      </c>
      <c r="B40" s="615">
        <v>2150</v>
      </c>
      <c r="C40" s="466">
        <v>119737</v>
      </c>
      <c r="D40" s="466">
        <f>11889+2721+766+21861+97</f>
        <v>37334</v>
      </c>
      <c r="E40" s="466">
        <v>38021</v>
      </c>
      <c r="F40" s="466">
        <v>840</v>
      </c>
      <c r="G40" s="466"/>
      <c r="H40" s="466"/>
      <c r="I40" s="467"/>
      <c r="J40" s="467"/>
      <c r="K40" s="1693">
        <f t="shared" si="2"/>
        <v>195932</v>
      </c>
      <c r="L40" s="466">
        <v>206495</v>
      </c>
    </row>
    <row r="41" spans="1:14" x14ac:dyDescent="0.2">
      <c r="A41" s="1526" t="s">
        <v>1768</v>
      </c>
      <c r="B41" s="615">
        <v>2190</v>
      </c>
      <c r="C41" s="466">
        <v>16369</v>
      </c>
      <c r="D41" s="466">
        <f>676+155+44</f>
        <v>875</v>
      </c>
      <c r="E41" s="466"/>
      <c r="F41" s="466"/>
      <c r="G41" s="466"/>
      <c r="H41" s="466"/>
      <c r="I41" s="467"/>
      <c r="J41" s="467"/>
      <c r="K41" s="1693">
        <f t="shared" si="2"/>
        <v>17244</v>
      </c>
      <c r="L41" s="466">
        <v>40650</v>
      </c>
    </row>
    <row r="42" spans="1:14" ht="12.75" customHeight="1" thickBot="1" x14ac:dyDescent="0.25">
      <c r="A42" s="1690" t="s">
        <v>581</v>
      </c>
      <c r="B42" s="1691" t="s">
        <v>740</v>
      </c>
      <c r="C42" s="1692">
        <f>SUM(C36:C41)</f>
        <v>245207</v>
      </c>
      <c r="D42" s="1692">
        <f t="shared" ref="D42:L42" si="3">SUM(D36:D41)</f>
        <v>61617</v>
      </c>
      <c r="E42" s="1692">
        <f t="shared" si="3"/>
        <v>81491</v>
      </c>
      <c r="F42" s="1692">
        <f t="shared" si="3"/>
        <v>1540</v>
      </c>
      <c r="G42" s="1692">
        <f t="shared" si="3"/>
        <v>0</v>
      </c>
      <c r="H42" s="1692">
        <f t="shared" si="3"/>
        <v>0</v>
      </c>
      <c r="I42" s="1692">
        <f t="shared" si="3"/>
        <v>0</v>
      </c>
      <c r="J42" s="1692">
        <f t="shared" si="3"/>
        <v>0</v>
      </c>
      <c r="K42" s="1692">
        <f t="shared" si="3"/>
        <v>389855</v>
      </c>
      <c r="L42" s="1692">
        <f t="shared" si="3"/>
        <v>444388</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v>0</v>
      </c>
    </row>
    <row r="45" spans="1:14" x14ac:dyDescent="0.2">
      <c r="A45" s="1526" t="s">
        <v>869</v>
      </c>
      <c r="B45" s="615">
        <v>2220</v>
      </c>
      <c r="C45" s="466">
        <f>49659+56597+56121</f>
        <v>162377</v>
      </c>
      <c r="D45" s="466">
        <f>4922+1127+317+8424+139+8446+25</f>
        <v>23400</v>
      </c>
      <c r="E45" s="466">
        <f>13625+11350</f>
        <v>24975</v>
      </c>
      <c r="F45" s="466">
        <f>1191+5012+5012+1145+13059+3200</f>
        <v>28619</v>
      </c>
      <c r="G45" s="466">
        <v>84455</v>
      </c>
      <c r="H45" s="466"/>
      <c r="I45" s="467"/>
      <c r="J45" s="467"/>
      <c r="K45" s="1694">
        <f>SUM(C45:J45)</f>
        <v>323826</v>
      </c>
      <c r="L45" s="466">
        <v>366644</v>
      </c>
    </row>
    <row r="46" spans="1:14" x14ac:dyDescent="0.2">
      <c r="A46" s="1526" t="s">
        <v>870</v>
      </c>
      <c r="B46" s="615">
        <v>2230</v>
      </c>
      <c r="C46" s="466"/>
      <c r="D46" s="466"/>
      <c r="E46" s="466"/>
      <c r="F46" s="466"/>
      <c r="G46" s="466"/>
      <c r="H46" s="466"/>
      <c r="I46" s="467"/>
      <c r="J46" s="467"/>
      <c r="K46" s="1694">
        <f>SUM(C46:J46)</f>
        <v>0</v>
      </c>
      <c r="L46" s="466">
        <v>0</v>
      </c>
    </row>
    <row r="47" spans="1:14" ht="12.75" customHeight="1" thickBot="1" x14ac:dyDescent="0.25">
      <c r="A47" s="1690" t="s">
        <v>582</v>
      </c>
      <c r="B47" s="1691" t="s">
        <v>32</v>
      </c>
      <c r="C47" s="1692">
        <f>SUM(C44:C46)</f>
        <v>162377</v>
      </c>
      <c r="D47" s="1692">
        <f t="shared" ref="D47:K47" si="4">SUM(D44:D46)</f>
        <v>23400</v>
      </c>
      <c r="E47" s="1692">
        <f t="shared" si="4"/>
        <v>24975</v>
      </c>
      <c r="F47" s="1692">
        <f t="shared" si="4"/>
        <v>28619</v>
      </c>
      <c r="G47" s="1692">
        <f t="shared" si="4"/>
        <v>84455</v>
      </c>
      <c r="H47" s="1692">
        <f t="shared" si="4"/>
        <v>0</v>
      </c>
      <c r="I47" s="1692">
        <f t="shared" si="4"/>
        <v>0</v>
      </c>
      <c r="J47" s="1692">
        <f t="shared" si="4"/>
        <v>0</v>
      </c>
      <c r="K47" s="1692">
        <f t="shared" si="4"/>
        <v>323826</v>
      </c>
      <c r="L47" s="1692">
        <f>SUM(L44:L46)</f>
        <v>366644</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f>11850+17035+9296+3009+37962+1390+2440</f>
        <v>82982</v>
      </c>
      <c r="F49" s="481">
        <v>1235</v>
      </c>
      <c r="G49" s="481"/>
      <c r="H49" s="481">
        <v>4234</v>
      </c>
      <c r="I49" s="467"/>
      <c r="J49" s="467"/>
      <c r="K49" s="1694">
        <f>SUM(C49:J49)</f>
        <v>88451</v>
      </c>
      <c r="L49" s="481">
        <v>89054</v>
      </c>
    </row>
    <row r="50" spans="1:14" x14ac:dyDescent="0.2">
      <c r="A50" s="1526" t="s">
        <v>872</v>
      </c>
      <c r="B50" s="615">
        <v>2320</v>
      </c>
      <c r="C50" s="466">
        <f>117675+36635</f>
        <v>154310</v>
      </c>
      <c r="D50" s="466">
        <f>11638+2658+750+35313+289</f>
        <v>50648</v>
      </c>
      <c r="E50" s="466">
        <v>1910</v>
      </c>
      <c r="F50" s="466">
        <v>2211</v>
      </c>
      <c r="G50" s="466"/>
      <c r="H50" s="466">
        <v>1927</v>
      </c>
      <c r="I50" s="467"/>
      <c r="J50" s="467"/>
      <c r="K50" s="1694">
        <f>SUM(C50:J50)</f>
        <v>211006</v>
      </c>
      <c r="L50" s="466">
        <v>207896</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154310</v>
      </c>
      <c r="D53" s="1692">
        <f t="shared" ref="D53:L53" si="5">SUM(D49:D52)</f>
        <v>50648</v>
      </c>
      <c r="E53" s="1692">
        <f t="shared" si="5"/>
        <v>84892</v>
      </c>
      <c r="F53" s="1692">
        <f t="shared" si="5"/>
        <v>3446</v>
      </c>
      <c r="G53" s="1692">
        <f t="shared" si="5"/>
        <v>0</v>
      </c>
      <c r="H53" s="1692">
        <f t="shared" si="5"/>
        <v>6161</v>
      </c>
      <c r="I53" s="1692">
        <f t="shared" si="5"/>
        <v>0</v>
      </c>
      <c r="J53" s="1692">
        <f t="shared" si="5"/>
        <v>0</v>
      </c>
      <c r="K53" s="1692">
        <f t="shared" si="5"/>
        <v>299457</v>
      </c>
      <c r="L53" s="1692">
        <f t="shared" si="5"/>
        <v>296950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f>46635+80886+46635+120638+19054+22227+20413+48840</f>
        <v>405328</v>
      </c>
      <c r="D55" s="481">
        <f>4612+8000+4612+11931+1054+1827+1054+2725+297+516+297+769+11813+11813+15057+568</f>
        <v>76945</v>
      </c>
      <c r="E55" s="481">
        <f>102+907+261+1398+548+328+1940</f>
        <v>5484</v>
      </c>
      <c r="F55" s="481">
        <f>573+2302+912+2624</f>
        <v>6411</v>
      </c>
      <c r="G55" s="481"/>
      <c r="H55" s="481">
        <f>193+385+192+770</f>
        <v>1540</v>
      </c>
      <c r="I55" s="467"/>
      <c r="J55" s="467"/>
      <c r="K55" s="1694">
        <f>SUM(C55:J55)</f>
        <v>495708</v>
      </c>
      <c r="L55" s="481">
        <v>495797</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405328</v>
      </c>
      <c r="D57" s="1696">
        <f t="shared" ref="D57:K57" si="6">SUM(D55:D56)</f>
        <v>76945</v>
      </c>
      <c r="E57" s="1696">
        <f t="shared" si="6"/>
        <v>5484</v>
      </c>
      <c r="F57" s="1696">
        <f t="shared" si="6"/>
        <v>6411</v>
      </c>
      <c r="G57" s="1696">
        <f t="shared" si="6"/>
        <v>0</v>
      </c>
      <c r="H57" s="1696">
        <f t="shared" si="6"/>
        <v>1540</v>
      </c>
      <c r="I57" s="1696">
        <f t="shared" si="6"/>
        <v>0</v>
      </c>
      <c r="J57" s="1696">
        <f t="shared" si="6"/>
        <v>0</v>
      </c>
      <c r="K57" s="1696">
        <f t="shared" si="6"/>
        <v>495708</v>
      </c>
      <c r="L57" s="1692">
        <f>SUM(L55:L56)</f>
        <v>495797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v>70059</v>
      </c>
      <c r="D60" s="466">
        <f>17732+101</f>
        <v>17833</v>
      </c>
      <c r="E60" s="466">
        <f>2565+96+2312</f>
        <v>4973</v>
      </c>
      <c r="F60" s="466">
        <v>582</v>
      </c>
      <c r="G60" s="466"/>
      <c r="H60" s="466"/>
      <c r="I60" s="467"/>
      <c r="J60" s="467"/>
      <c r="K60" s="1694">
        <f t="shared" si="7"/>
        <v>93447</v>
      </c>
      <c r="L60" s="466">
        <v>99816</v>
      </c>
      <c r="M60" s="610"/>
      <c r="N60" s="610"/>
    </row>
    <row r="61" spans="1:14" s="343" customFormat="1" x14ac:dyDescent="0.2">
      <c r="A61" s="1526" t="s">
        <v>206</v>
      </c>
      <c r="B61" s="615">
        <v>2540</v>
      </c>
      <c r="C61" s="466"/>
      <c r="D61" s="466"/>
      <c r="E61" s="466"/>
      <c r="F61" s="466"/>
      <c r="G61" s="466"/>
      <c r="H61" s="466"/>
      <c r="I61" s="467"/>
      <c r="J61" s="467"/>
      <c r="K61" s="1694">
        <f t="shared" si="7"/>
        <v>0</v>
      </c>
      <c r="L61" s="466">
        <v>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v>137381</v>
      </c>
      <c r="D63" s="466">
        <v>40</v>
      </c>
      <c r="E63" s="466">
        <v>3730</v>
      </c>
      <c r="F63" s="466">
        <f>190352+27460+3584</f>
        <v>221396</v>
      </c>
      <c r="G63" s="466"/>
      <c r="H63" s="466">
        <v>1151</v>
      </c>
      <c r="I63" s="467"/>
      <c r="J63" s="467"/>
      <c r="K63" s="1694">
        <f t="shared" si="7"/>
        <v>363698</v>
      </c>
      <c r="L63" s="466">
        <v>452400</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207440</v>
      </c>
      <c r="D65" s="1692">
        <f t="shared" ref="D65:L65" si="8">SUM(D59:D64)</f>
        <v>17873</v>
      </c>
      <c r="E65" s="1692">
        <f t="shared" si="8"/>
        <v>8703</v>
      </c>
      <c r="F65" s="1692">
        <f t="shared" si="8"/>
        <v>221978</v>
      </c>
      <c r="G65" s="1692">
        <f t="shared" si="8"/>
        <v>0</v>
      </c>
      <c r="H65" s="1692">
        <f t="shared" si="8"/>
        <v>1151</v>
      </c>
      <c r="I65" s="1692">
        <f t="shared" si="8"/>
        <v>0</v>
      </c>
      <c r="J65" s="1692">
        <f t="shared" si="8"/>
        <v>0</v>
      </c>
      <c r="K65" s="1692">
        <f t="shared" si="8"/>
        <v>457145</v>
      </c>
      <c r="L65" s="1692">
        <f t="shared" si="8"/>
        <v>552216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0</v>
      </c>
      <c r="M73" s="610"/>
      <c r="N73" s="610"/>
    </row>
    <row r="74" spans="1:14" ht="12.75" customHeight="1" thickTop="1" thickBot="1" x14ac:dyDescent="0.25">
      <c r="A74" s="1690" t="s">
        <v>865</v>
      </c>
      <c r="B74" s="1698">
        <v>2000</v>
      </c>
      <c r="C74" s="1699">
        <f>SUM(C42,C47,C53,C57,C65,C72,C73)</f>
        <v>1174662</v>
      </c>
      <c r="D74" s="1699">
        <f t="shared" ref="D74:K74" si="10">SUM(D42,D47,D53,D57,D65,D72,D73)</f>
        <v>230483</v>
      </c>
      <c r="E74" s="1699">
        <f t="shared" si="10"/>
        <v>205545</v>
      </c>
      <c r="F74" s="1699">
        <f t="shared" si="10"/>
        <v>261994</v>
      </c>
      <c r="G74" s="1699">
        <f t="shared" si="10"/>
        <v>84455</v>
      </c>
      <c r="H74" s="1699">
        <f t="shared" si="10"/>
        <v>8852</v>
      </c>
      <c r="I74" s="1699">
        <f t="shared" si="10"/>
        <v>0</v>
      </c>
      <c r="J74" s="1699">
        <f t="shared" si="10"/>
        <v>0</v>
      </c>
      <c r="K74" s="1699">
        <f t="shared" si="10"/>
        <v>1965991</v>
      </c>
      <c r="L74" s="1699">
        <f>SUM(L42,L47,L53,L57,L65,L72,L73)</f>
        <v>2155995</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20000</v>
      </c>
    </row>
    <row r="79" spans="1:14" x14ac:dyDescent="0.2">
      <c r="A79" s="1526" t="s">
        <v>322</v>
      </c>
      <c r="B79" s="615">
        <v>4120</v>
      </c>
      <c r="C79" s="617"/>
      <c r="D79" s="617"/>
      <c r="E79" s="466">
        <v>44839</v>
      </c>
      <c r="F79" s="617"/>
      <c r="G79" s="617"/>
      <c r="H79" s="466">
        <v>149774</v>
      </c>
      <c r="I79" s="477"/>
      <c r="J79" s="477"/>
      <c r="K79" s="1693">
        <f t="shared" si="11"/>
        <v>194613</v>
      </c>
      <c r="L79" s="466">
        <v>350000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44839</v>
      </c>
      <c r="F84" s="617"/>
      <c r="G84" s="617"/>
      <c r="H84" s="1692">
        <f>SUM(H78:H83)</f>
        <v>149774</v>
      </c>
      <c r="I84" s="477"/>
      <c r="J84" s="477"/>
      <c r="K84" s="1692">
        <f>SUM(K78:K83)</f>
        <v>194613</v>
      </c>
      <c r="L84" s="1692">
        <f>SUM(L78:L83)</f>
        <v>370000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v>109156</v>
      </c>
      <c r="I86" s="477"/>
      <c r="J86" s="477"/>
      <c r="K86" s="1699">
        <f t="shared" ref="K86:K98" si="12">H86</f>
        <v>109156</v>
      </c>
      <c r="L86" s="530">
        <v>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109156</v>
      </c>
      <c r="I92" s="477"/>
      <c r="J92" s="477"/>
      <c r="K92" s="1699">
        <f t="shared" si="12"/>
        <v>109156</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v>134172</v>
      </c>
      <c r="I94" s="477"/>
      <c r="J94" s="477"/>
      <c r="K94" s="1699">
        <f t="shared" si="12"/>
        <v>134172</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134172</v>
      </c>
      <c r="I100" s="477"/>
      <c r="J100" s="477"/>
      <c r="K100" s="1699">
        <f>SUM(K93:K99)</f>
        <v>134172</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44839</v>
      </c>
      <c r="F102" s="617"/>
      <c r="G102" s="617"/>
      <c r="H102" s="1699">
        <f>SUM(H84,H92,H100,H101)</f>
        <v>393102</v>
      </c>
      <c r="I102" s="477"/>
      <c r="J102" s="477"/>
      <c r="K102" s="1699">
        <f>SUM(K84,K92,K100,K101)</f>
        <v>437941</v>
      </c>
      <c r="L102" s="1699">
        <f>SUM(L84,L92,L100,L101)</f>
        <v>370000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5000</v>
      </c>
      <c r="M113" s="614"/>
      <c r="N113" s="614"/>
    </row>
    <row r="114" spans="1:14" ht="12.75" customHeight="1" thickTop="1" thickBot="1" x14ac:dyDescent="0.25">
      <c r="A114" s="1690" t="s">
        <v>50</v>
      </c>
      <c r="B114" s="1704"/>
      <c r="C114" s="1692">
        <f>SUM(C33,C74,C75,C102,C112,C113)</f>
        <v>5531099</v>
      </c>
      <c r="D114" s="1692">
        <f t="shared" ref="D114:K114" si="13">SUM(D33,D74,D75,D102,D112,D113)</f>
        <v>1504367</v>
      </c>
      <c r="E114" s="1692">
        <f t="shared" si="13"/>
        <v>366720</v>
      </c>
      <c r="F114" s="1692">
        <f t="shared" si="13"/>
        <v>451281</v>
      </c>
      <c r="G114" s="1692">
        <f t="shared" si="13"/>
        <v>95735</v>
      </c>
      <c r="H114" s="1692">
        <f>SUM(H33,H74,H75,H102,H112,H113)</f>
        <v>507611</v>
      </c>
      <c r="I114" s="1692">
        <f t="shared" si="13"/>
        <v>0</v>
      </c>
      <c r="J114" s="1692">
        <f t="shared" si="13"/>
        <v>0</v>
      </c>
      <c r="K114" s="1692">
        <f t="shared" si="13"/>
        <v>8456813</v>
      </c>
      <c r="L114" s="1692">
        <f>SUM(L33,L74,L75,L102,L112,L113)</f>
        <v>9006264</v>
      </c>
    </row>
    <row r="115" spans="1:14" ht="13.5" thickTop="1" x14ac:dyDescent="0.2">
      <c r="A115" s="2198" t="s">
        <v>1053</v>
      </c>
      <c r="B115" s="2199"/>
      <c r="C115" s="619"/>
      <c r="D115" s="619"/>
      <c r="E115" s="619"/>
      <c r="F115" s="619"/>
      <c r="G115" s="619"/>
      <c r="H115" s="619"/>
      <c r="I115" s="619"/>
      <c r="J115" s="619"/>
      <c r="K115" s="1706">
        <f>'Revenues 9-14'!C275-'Expenditures 15-22'!K114</f>
        <v>-649078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f>35649+27040+25456+22010+72166+31547+47865</f>
        <v>261733</v>
      </c>
      <c r="D124" s="466">
        <f>7098+7098+7098+7098+21292+7098+423</f>
        <v>57205</v>
      </c>
      <c r="E124" s="466">
        <f>782+5113+4861+20515+18947+4756+7276+7442+5263+4532+4540+4075+9000+2985+481+3380+3594+2294+8652+1302+24281+1</f>
        <v>144072</v>
      </c>
      <c r="F124" s="466">
        <f>1244+6241+5999+9094+20559+5858+2380+6319+7954+5703+20792+9464+6123+9182+24550+15261+35776+6348-3</f>
        <v>198844</v>
      </c>
      <c r="G124" s="466"/>
      <c r="H124" s="466"/>
      <c r="I124" s="467"/>
      <c r="J124" s="467"/>
      <c r="K124" s="1692">
        <f>SUM(C124:J124)</f>
        <v>661854</v>
      </c>
      <c r="L124" s="466">
        <v>726592</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v>6500</v>
      </c>
      <c r="H126" s="655"/>
      <c r="I126" s="474"/>
      <c r="J126" s="617"/>
      <c r="K126" s="1692">
        <f>SUM(C126:J126)</f>
        <v>6500</v>
      </c>
      <c r="L126" s="466">
        <v>10000</v>
      </c>
    </row>
    <row r="127" spans="1:14" ht="12.75" customHeight="1" thickTop="1" thickBot="1" x14ac:dyDescent="0.25">
      <c r="A127" s="1690" t="s">
        <v>743</v>
      </c>
      <c r="B127" s="1691" t="s">
        <v>35</v>
      </c>
      <c r="C127" s="1692">
        <f>SUM(C122:C126)</f>
        <v>261733</v>
      </c>
      <c r="D127" s="1692">
        <f t="shared" ref="D127:L127" si="14">SUM(D122:D126)</f>
        <v>57205</v>
      </c>
      <c r="E127" s="1692">
        <f t="shared" si="14"/>
        <v>144072</v>
      </c>
      <c r="F127" s="1692">
        <f t="shared" si="14"/>
        <v>198844</v>
      </c>
      <c r="G127" s="1692">
        <f t="shared" si="14"/>
        <v>6500</v>
      </c>
      <c r="H127" s="1692">
        <f t="shared" si="14"/>
        <v>0</v>
      </c>
      <c r="I127" s="1692">
        <f t="shared" si="14"/>
        <v>0</v>
      </c>
      <c r="J127" s="1692">
        <f t="shared" si="14"/>
        <v>0</v>
      </c>
      <c r="K127" s="1692">
        <f t="shared" si="14"/>
        <v>668354</v>
      </c>
      <c r="L127" s="1692">
        <f t="shared" si="14"/>
        <v>736592</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261733</v>
      </c>
      <c r="D129" s="1699">
        <f t="shared" ref="D129:L129" si="15">SUM(D120,D127,D128)</f>
        <v>57205</v>
      </c>
      <c r="E129" s="1699">
        <f t="shared" si="15"/>
        <v>144072</v>
      </c>
      <c r="F129" s="1699">
        <f t="shared" si="15"/>
        <v>198844</v>
      </c>
      <c r="G129" s="1699">
        <f t="shared" si="15"/>
        <v>6500</v>
      </c>
      <c r="H129" s="1699">
        <f t="shared" si="15"/>
        <v>0</v>
      </c>
      <c r="I129" s="1699">
        <f t="shared" si="15"/>
        <v>0</v>
      </c>
      <c r="J129" s="1699">
        <f t="shared" si="15"/>
        <v>0</v>
      </c>
      <c r="K129" s="1699">
        <f t="shared" si="15"/>
        <v>668354</v>
      </c>
      <c r="L129" s="1699">
        <f t="shared" si="15"/>
        <v>736592</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88" t="s">
        <v>641</v>
      </c>
      <c r="B151" s="2170"/>
      <c r="C151" s="1692">
        <f>SUM(C129,C130,C139,C149,C150)</f>
        <v>261733</v>
      </c>
      <c r="D151" s="1692">
        <f t="shared" ref="D151:K151" si="16">SUM(D129,D130,D139,D149,D150)</f>
        <v>57205</v>
      </c>
      <c r="E151" s="1692">
        <f t="shared" si="16"/>
        <v>144072</v>
      </c>
      <c r="F151" s="1692">
        <f t="shared" si="16"/>
        <v>198844</v>
      </c>
      <c r="G151" s="1692">
        <f t="shared" si="16"/>
        <v>6500</v>
      </c>
      <c r="H151" s="1692">
        <f t="shared" si="16"/>
        <v>0</v>
      </c>
      <c r="I151" s="1692">
        <f t="shared" si="16"/>
        <v>0</v>
      </c>
      <c r="J151" s="1692">
        <f t="shared" si="16"/>
        <v>0</v>
      </c>
      <c r="K151" s="1692">
        <f t="shared" si="16"/>
        <v>668354</v>
      </c>
      <c r="L151" s="1692">
        <f>SUM(L129,L130,L139,L149,L150)</f>
        <v>736592</v>
      </c>
    </row>
    <row r="152" spans="1:14" ht="12.75" customHeight="1" thickTop="1" x14ac:dyDescent="0.2">
      <c r="A152" s="2191" t="s">
        <v>1240</v>
      </c>
      <c r="B152" s="2192"/>
      <c r="C152" s="619"/>
      <c r="D152" s="619"/>
      <c r="E152" s="619"/>
      <c r="F152" s="619"/>
      <c r="G152" s="619"/>
      <c r="H152" s="619"/>
      <c r="I152" s="619"/>
      <c r="J152" s="617"/>
      <c r="K152" s="1706">
        <f>'Revenues 9-14'!D275-'Expenditures 15-22'!K151</f>
        <v>-10819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32625</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32625</v>
      </c>
    </row>
    <row r="169" spans="1:14" ht="15.75" customHeight="1" thickTop="1" x14ac:dyDescent="0.2">
      <c r="A169" s="670" t="s">
        <v>85</v>
      </c>
      <c r="B169" s="671" t="s">
        <v>38</v>
      </c>
      <c r="C169" s="617"/>
      <c r="D169" s="617"/>
      <c r="E169" s="617"/>
      <c r="F169" s="617"/>
      <c r="G169" s="617"/>
      <c r="H169" s="657">
        <f>27556+10125</f>
        <v>37681</v>
      </c>
      <c r="I169" s="617"/>
      <c r="J169" s="617"/>
      <c r="K169" s="1693">
        <f>SUM(C169:H169)</f>
        <v>37681</v>
      </c>
      <c r="L169" s="657">
        <v>1540000</v>
      </c>
    </row>
    <row r="170" spans="1:14" ht="33.75" customHeight="1" x14ac:dyDescent="0.2">
      <c r="A170" s="670" t="s">
        <v>1769</v>
      </c>
      <c r="B170" s="672" t="s">
        <v>31</v>
      </c>
      <c r="C170" s="617"/>
      <c r="D170" s="617"/>
      <c r="E170" s="617"/>
      <c r="F170" s="617"/>
      <c r="G170" s="617"/>
      <c r="H170" s="569">
        <f>1540000+135000</f>
        <v>1675000</v>
      </c>
      <c r="I170" s="617"/>
      <c r="J170" s="617"/>
      <c r="K170" s="1693">
        <f>SUM(C170:J170)</f>
        <v>1675000</v>
      </c>
      <c r="L170" s="569">
        <v>0</v>
      </c>
    </row>
    <row r="171" spans="1:14" ht="15.75" customHeight="1" x14ac:dyDescent="0.2">
      <c r="A171" s="622" t="s">
        <v>790</v>
      </c>
      <c r="B171" s="673" t="s">
        <v>86</v>
      </c>
      <c r="C171" s="617"/>
      <c r="D171" s="617"/>
      <c r="E171" s="466"/>
      <c r="F171" s="617"/>
      <c r="G171" s="617"/>
      <c r="H171" s="569"/>
      <c r="I171" s="477"/>
      <c r="J171" s="617"/>
      <c r="K171" s="1693">
        <f>SUM(C171:J171)</f>
        <v>0</v>
      </c>
      <c r="L171" s="569">
        <v>135000</v>
      </c>
    </row>
    <row r="172" spans="1:14" ht="12.75" customHeight="1" thickBot="1" x14ac:dyDescent="0.25">
      <c r="A172" s="1690" t="s">
        <v>659</v>
      </c>
      <c r="B172" s="1691" t="s">
        <v>513</v>
      </c>
      <c r="C172" s="617"/>
      <c r="D172" s="617"/>
      <c r="E172" s="1699">
        <f>SUM(E168,E169,E170,E171)</f>
        <v>0</v>
      </c>
      <c r="F172" s="617"/>
      <c r="G172" s="617"/>
      <c r="H172" s="1699">
        <f>SUM(H168,H169,H170,H171)</f>
        <v>1712681</v>
      </c>
      <c r="I172" s="639"/>
      <c r="J172" s="617"/>
      <c r="K172" s="1699">
        <f>SUM(K168,K169,K170,K171)</f>
        <v>1712681</v>
      </c>
      <c r="L172" s="1699">
        <f>SUM(L168,L169,L170,L171)</f>
        <v>1707625</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1712681</v>
      </c>
      <c r="I174" s="639"/>
      <c r="J174" s="617"/>
      <c r="K174" s="1699">
        <f>SUM(K160,K172,K173)</f>
        <v>1712681</v>
      </c>
      <c r="L174" s="1699">
        <f>SUM(L160,L172,L173)</f>
        <v>1707625</v>
      </c>
    </row>
    <row r="175" spans="1:14" ht="13.5" thickTop="1" x14ac:dyDescent="0.2">
      <c r="A175" s="2198" t="s">
        <v>1053</v>
      </c>
      <c r="B175" s="2199"/>
      <c r="C175" s="617"/>
      <c r="D175" s="617"/>
      <c r="E175" s="617"/>
      <c r="F175" s="617"/>
      <c r="G175" s="617"/>
      <c r="H175" s="619"/>
      <c r="I175" s="617"/>
      <c r="J175" s="617"/>
      <c r="K175" s="1706">
        <f>'Revenues 9-14'!E275-'Expenditures 15-22'!K174</f>
        <v>-4371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f>219906+15151+57536+129735+88</f>
        <v>422416</v>
      </c>
      <c r="D182" s="466">
        <f>22183+89</f>
        <v>22272</v>
      </c>
      <c r="E182" s="466">
        <f>4964+47498+7703+8585+5500+175+1</f>
        <v>74426</v>
      </c>
      <c r="F182" s="466">
        <f>2663+2033+76611+2604</f>
        <v>83911</v>
      </c>
      <c r="G182" s="466">
        <v>22187</v>
      </c>
      <c r="H182" s="466">
        <v>987</v>
      </c>
      <c r="I182" s="467"/>
      <c r="J182" s="467"/>
      <c r="K182" s="1693">
        <f>SUM(C182:J182)</f>
        <v>626199</v>
      </c>
      <c r="L182" s="466">
        <v>723082</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422416</v>
      </c>
      <c r="D184" s="1699">
        <f t="shared" ref="D184:J184" si="17">SUM(D180,D182,D183)</f>
        <v>22272</v>
      </c>
      <c r="E184" s="1699">
        <f t="shared" si="17"/>
        <v>74426</v>
      </c>
      <c r="F184" s="1699">
        <f t="shared" si="17"/>
        <v>83911</v>
      </c>
      <c r="G184" s="1699">
        <f t="shared" si="17"/>
        <v>22187</v>
      </c>
      <c r="H184" s="1699">
        <f t="shared" si="17"/>
        <v>987</v>
      </c>
      <c r="I184" s="1699">
        <f t="shared" si="17"/>
        <v>0</v>
      </c>
      <c r="J184" s="1699">
        <f t="shared" si="17"/>
        <v>0</v>
      </c>
      <c r="K184" s="1699">
        <f>SUM(K180,K182,K183)</f>
        <v>626199</v>
      </c>
      <c r="L184" s="1699">
        <f>SUM(L180, L182:L183)</f>
        <v>723082</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422416</v>
      </c>
      <c r="D210" s="1692">
        <f>SUM(D184,D185)</f>
        <v>22272</v>
      </c>
      <c r="E210" s="1692">
        <f>SUM(E184,E185,E196)</f>
        <v>74426</v>
      </c>
      <c r="F210" s="1692">
        <f>SUM(F184,F185)</f>
        <v>83911</v>
      </c>
      <c r="G210" s="1692">
        <f>SUM(G184,G185)</f>
        <v>22187</v>
      </c>
      <c r="H210" s="1692">
        <f>SUM(H184,H185,H196,H208,H209)</f>
        <v>987</v>
      </c>
      <c r="I210" s="1692">
        <f>SUM(I184,I185)</f>
        <v>0</v>
      </c>
      <c r="J210" s="1692">
        <f>SUM(J184,J185)</f>
        <v>0</v>
      </c>
      <c r="K210" s="1693">
        <f>SUM(K184,K185,K196,K208,K209)</f>
        <v>626199</v>
      </c>
      <c r="L210" s="1692">
        <f>SUM(L184,L185,L196,L208,L209)</f>
        <v>723082</v>
      </c>
    </row>
    <row r="211" spans="1:14" ht="13.5" thickTop="1" x14ac:dyDescent="0.2">
      <c r="A211" s="2198" t="s">
        <v>1053</v>
      </c>
      <c r="B211" s="2199"/>
      <c r="C211" s="619"/>
      <c r="D211" s="619"/>
      <c r="E211" s="619"/>
      <c r="F211" s="619"/>
      <c r="G211" s="619"/>
      <c r="H211" s="619"/>
      <c r="I211" s="617"/>
      <c r="J211" s="617"/>
      <c r="K211" s="1706">
        <f>'Revenues 9-14'!F275-'Expenditures 15-22'!K210</f>
        <v>183980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2585+1171+3327+7432+6745+14771+771</f>
        <v>36802</v>
      </c>
      <c r="E215" s="617"/>
      <c r="F215" s="617"/>
      <c r="G215" s="617"/>
      <c r="H215" s="617"/>
      <c r="I215" s="617"/>
      <c r="J215" s="617"/>
      <c r="K215" s="1693">
        <f>D215</f>
        <v>36802</v>
      </c>
      <c r="L215" s="466">
        <v>41001</v>
      </c>
    </row>
    <row r="216" spans="1:14" x14ac:dyDescent="0.2">
      <c r="A216" s="1526" t="s">
        <v>165</v>
      </c>
      <c r="B216" s="615" t="s">
        <v>1024</v>
      </c>
      <c r="C216" s="617"/>
      <c r="D216" s="467">
        <f>17963+8700+10302+7632+2584</f>
        <v>47181</v>
      </c>
      <c r="E216" s="617"/>
      <c r="F216" s="617"/>
      <c r="G216" s="617"/>
      <c r="H216" s="617"/>
      <c r="I216" s="617"/>
      <c r="J216" s="617"/>
      <c r="K216" s="1693">
        <f t="shared" ref="K216:K228" si="19">D216</f>
        <v>47181</v>
      </c>
      <c r="L216" s="466">
        <v>44489</v>
      </c>
    </row>
    <row r="217" spans="1:14" x14ac:dyDescent="0.2">
      <c r="A217" s="1526" t="s">
        <v>166</v>
      </c>
      <c r="B217" s="615">
        <v>1200</v>
      </c>
      <c r="C217" s="617"/>
      <c r="D217" s="466">
        <v>92241</v>
      </c>
      <c r="E217" s="617"/>
      <c r="F217" s="617"/>
      <c r="G217" s="617"/>
      <c r="H217" s="617"/>
      <c r="I217" s="617"/>
      <c r="J217" s="617"/>
      <c r="K217" s="1693">
        <f t="shared" si="19"/>
        <v>92241</v>
      </c>
      <c r="L217" s="466">
        <v>94623</v>
      </c>
    </row>
    <row r="218" spans="1:14" x14ac:dyDescent="0.2">
      <c r="A218" s="1526" t="s">
        <v>296</v>
      </c>
      <c r="B218" s="615" t="s">
        <v>1025</v>
      </c>
      <c r="C218" s="617"/>
      <c r="D218" s="467">
        <v>2029</v>
      </c>
      <c r="E218" s="617"/>
      <c r="F218" s="617"/>
      <c r="G218" s="617"/>
      <c r="H218" s="617"/>
      <c r="I218" s="617"/>
      <c r="J218" s="617"/>
      <c r="K218" s="1693">
        <f t="shared" si="19"/>
        <v>2029</v>
      </c>
      <c r="L218" s="466">
        <v>5200</v>
      </c>
    </row>
    <row r="219" spans="1:14" x14ac:dyDescent="0.2">
      <c r="A219" s="1526" t="s">
        <v>297</v>
      </c>
      <c r="B219" s="615">
        <v>1250</v>
      </c>
      <c r="C219" s="617"/>
      <c r="D219" s="466">
        <v>3517</v>
      </c>
      <c r="E219" s="617"/>
      <c r="F219" s="617"/>
      <c r="G219" s="617"/>
      <c r="H219" s="617"/>
      <c r="I219" s="617"/>
      <c r="J219" s="617"/>
      <c r="K219" s="1693">
        <f t="shared" si="19"/>
        <v>3517</v>
      </c>
      <c r="L219" s="466">
        <v>3400</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c r="E222" s="617"/>
      <c r="F222" s="617"/>
      <c r="G222" s="617"/>
      <c r="H222" s="617"/>
      <c r="I222" s="617"/>
      <c r="J222" s="617"/>
      <c r="K222" s="1693">
        <f t="shared" si="19"/>
        <v>0</v>
      </c>
      <c r="L222" s="466">
        <v>0</v>
      </c>
    </row>
    <row r="223" spans="1:14" x14ac:dyDescent="0.2">
      <c r="A223" s="1526" t="s">
        <v>1020</v>
      </c>
      <c r="B223" s="615">
        <v>1500</v>
      </c>
      <c r="C223" s="617"/>
      <c r="D223" s="466">
        <v>5791</v>
      </c>
      <c r="E223" s="617"/>
      <c r="F223" s="617"/>
      <c r="G223" s="617"/>
      <c r="H223" s="617"/>
      <c r="I223" s="617"/>
      <c r="J223" s="617"/>
      <c r="K223" s="1693">
        <f t="shared" si="19"/>
        <v>5791</v>
      </c>
      <c r="L223" s="466">
        <v>6298</v>
      </c>
    </row>
    <row r="224" spans="1:14" x14ac:dyDescent="0.2">
      <c r="A224" s="1526" t="s">
        <v>1021</v>
      </c>
      <c r="B224" s="615">
        <v>1600</v>
      </c>
      <c r="C224" s="617"/>
      <c r="D224" s="466">
        <v>147</v>
      </c>
      <c r="E224" s="617"/>
      <c r="F224" s="617"/>
      <c r="G224" s="617"/>
      <c r="H224" s="617"/>
      <c r="I224" s="617"/>
      <c r="J224" s="617"/>
      <c r="K224" s="1693">
        <f t="shared" si="19"/>
        <v>147</v>
      </c>
      <c r="L224" s="466">
        <v>185</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c r="E226" s="617"/>
      <c r="F226" s="617"/>
      <c r="G226" s="617"/>
      <c r="H226" s="617"/>
      <c r="I226" s="617"/>
      <c r="J226" s="617"/>
      <c r="K226" s="1693">
        <f t="shared" si="19"/>
        <v>0</v>
      </c>
      <c r="L226" s="466">
        <v>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187708</v>
      </c>
      <c r="E229" s="617"/>
      <c r="F229" s="617"/>
      <c r="G229" s="617"/>
      <c r="H229" s="617"/>
      <c r="I229" s="617"/>
      <c r="J229" s="617"/>
      <c r="K229" s="1692">
        <f>SUM(K215:K228)</f>
        <v>187708</v>
      </c>
      <c r="L229" s="1692">
        <f>SUM(L215:L228)</f>
        <v>195196</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v>0</v>
      </c>
    </row>
    <row r="233" spans="1:12" x14ac:dyDescent="0.2">
      <c r="A233" s="1526" t="s">
        <v>1151</v>
      </c>
      <c r="B233" s="615">
        <v>2120</v>
      </c>
      <c r="C233" s="617"/>
      <c r="D233" s="466">
        <f>1582+1700</f>
        <v>3282</v>
      </c>
      <c r="E233" s="617"/>
      <c r="F233" s="617"/>
      <c r="G233" s="617"/>
      <c r="H233" s="617"/>
      <c r="I233" s="617"/>
      <c r="J233" s="617"/>
      <c r="K233" s="1693">
        <f t="shared" si="20"/>
        <v>3282</v>
      </c>
      <c r="L233" s="466">
        <v>1782</v>
      </c>
    </row>
    <row r="234" spans="1:12" x14ac:dyDescent="0.2">
      <c r="A234" s="1526" t="s">
        <v>207</v>
      </c>
      <c r="B234" s="615">
        <v>2130</v>
      </c>
      <c r="C234" s="617"/>
      <c r="D234" s="466"/>
      <c r="E234" s="617"/>
      <c r="F234" s="617"/>
      <c r="G234" s="617"/>
      <c r="H234" s="617"/>
      <c r="I234" s="617"/>
      <c r="J234" s="617"/>
      <c r="K234" s="1693">
        <f t="shared" si="20"/>
        <v>0</v>
      </c>
      <c r="L234" s="466">
        <v>0</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c r="E236" s="617"/>
      <c r="F236" s="617"/>
      <c r="G236" s="617"/>
      <c r="H236" s="617"/>
      <c r="I236" s="617"/>
      <c r="J236" s="617"/>
      <c r="K236" s="1693">
        <f t="shared" si="20"/>
        <v>0</v>
      </c>
      <c r="L236" s="466">
        <v>1940</v>
      </c>
    </row>
    <row r="237" spans="1:12" x14ac:dyDescent="0.2">
      <c r="A237" s="1526" t="s">
        <v>167</v>
      </c>
      <c r="B237" s="615">
        <v>2190</v>
      </c>
      <c r="C237" s="617"/>
      <c r="D237" s="466">
        <f>877+730+99</f>
        <v>1706</v>
      </c>
      <c r="E237" s="617"/>
      <c r="F237" s="617"/>
      <c r="G237" s="617"/>
      <c r="H237" s="617"/>
      <c r="I237" s="617"/>
      <c r="J237" s="617"/>
      <c r="K237" s="1693">
        <f t="shared" si="20"/>
        <v>1706</v>
      </c>
      <c r="L237" s="466">
        <v>2075</v>
      </c>
    </row>
    <row r="238" spans="1:12" ht="12.75" customHeight="1" thickBot="1" x14ac:dyDescent="0.25">
      <c r="A238" s="1690" t="s">
        <v>581</v>
      </c>
      <c r="B238" s="1697" t="s">
        <v>740</v>
      </c>
      <c r="C238" s="617"/>
      <c r="D238" s="1692">
        <f>SUM(D232:D237)</f>
        <v>4988</v>
      </c>
      <c r="E238" s="617"/>
      <c r="F238" s="617"/>
      <c r="G238" s="617"/>
      <c r="H238" s="617"/>
      <c r="I238" s="617"/>
      <c r="J238" s="617"/>
      <c r="K238" s="1692">
        <f>SUM(K232:K237)</f>
        <v>4988</v>
      </c>
      <c r="L238" s="1692">
        <f>SUM(L232:L237)</f>
        <v>5797</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v>0</v>
      </c>
    </row>
    <row r="241" spans="1:12" x14ac:dyDescent="0.2">
      <c r="A241" s="1526" t="s">
        <v>869</v>
      </c>
      <c r="B241" s="615">
        <v>2220</v>
      </c>
      <c r="C241" s="617"/>
      <c r="D241" s="466">
        <f>6411+4327+720+6351+4293</f>
        <v>22102</v>
      </c>
      <c r="E241" s="617"/>
      <c r="F241" s="617"/>
      <c r="G241" s="617"/>
      <c r="H241" s="617"/>
      <c r="I241" s="617"/>
      <c r="J241" s="617"/>
      <c r="K241" s="1694">
        <f>D241</f>
        <v>22102</v>
      </c>
      <c r="L241" s="466">
        <v>11500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22102</v>
      </c>
      <c r="E243" s="617"/>
      <c r="F243" s="617"/>
      <c r="G243" s="617"/>
      <c r="H243" s="617"/>
      <c r="I243" s="617"/>
      <c r="J243" s="617"/>
      <c r="K243" s="1692">
        <f>SUM(K240:K242)</f>
        <v>22102</v>
      </c>
      <c r="L243" s="1692">
        <f>SUM(L240:L242)</f>
        <v>11500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v>0</v>
      </c>
    </row>
    <row r="246" spans="1:12" x14ac:dyDescent="0.2">
      <c r="A246" s="1526" t="s">
        <v>872</v>
      </c>
      <c r="B246" s="615">
        <v>2320</v>
      </c>
      <c r="C246" s="617"/>
      <c r="D246" s="466">
        <f>4313+2882+1670</f>
        <v>8865</v>
      </c>
      <c r="E246" s="617"/>
      <c r="F246" s="617"/>
      <c r="G246" s="617"/>
      <c r="H246" s="617"/>
      <c r="I246" s="617"/>
      <c r="J246" s="617"/>
      <c r="K246" s="1694">
        <f t="shared" ref="K246:K256" si="21">D246</f>
        <v>8865</v>
      </c>
      <c r="L246" s="466">
        <v>9632</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f>19401+14666+4482-1</f>
        <v>38548</v>
      </c>
      <c r="E254" s="617"/>
      <c r="F254" s="617"/>
      <c r="G254" s="617"/>
      <c r="H254" s="617"/>
      <c r="I254" s="617"/>
      <c r="J254" s="617"/>
      <c r="K254" s="1694">
        <f t="shared" si="21"/>
        <v>38548</v>
      </c>
      <c r="L254" s="466">
        <v>17000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47413</v>
      </c>
      <c r="E257" s="617"/>
      <c r="F257" s="617"/>
      <c r="G257" s="617"/>
      <c r="H257" s="617"/>
      <c r="I257" s="617"/>
      <c r="J257" s="617"/>
      <c r="K257" s="1692">
        <f>SUM(K245:K256)</f>
        <v>47413</v>
      </c>
      <c r="L257" s="1692">
        <f>SUM(L245:L256)</f>
        <v>26632</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f>2107+2518+2313+5529+1485+1700+1562+3736+676+1153+676+1749</f>
        <v>25204</v>
      </c>
      <c r="E259" s="617"/>
      <c r="F259" s="617"/>
      <c r="G259" s="617"/>
      <c r="H259" s="617"/>
      <c r="I259" s="617"/>
      <c r="J259" s="617"/>
      <c r="K259" s="1694">
        <f>D259</f>
        <v>25204</v>
      </c>
      <c r="L259" s="481">
        <v>25678</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25204</v>
      </c>
      <c r="E261" s="617"/>
      <c r="F261" s="617"/>
      <c r="G261" s="617"/>
      <c r="H261" s="617"/>
      <c r="I261" s="617"/>
      <c r="J261" s="617"/>
      <c r="K261" s="1692">
        <f>SUM(K259:K260)</f>
        <v>25204</v>
      </c>
      <c r="L261" s="1692">
        <f>SUM(L259:L260)</f>
        <v>25678</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f>8297+5424</f>
        <v>13721</v>
      </c>
      <c r="E264" s="617"/>
      <c r="F264" s="617"/>
      <c r="G264" s="617"/>
      <c r="H264" s="617"/>
      <c r="I264" s="617"/>
      <c r="J264" s="617"/>
      <c r="K264" s="1694">
        <f t="shared" ref="K264:K269" si="22">D264</f>
        <v>13721</v>
      </c>
      <c r="L264" s="466">
        <v>13255</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f>5993+3064+2884+2502+8194+3575+6408+2069+1749+1689+5533+2413</f>
        <v>46073</v>
      </c>
      <c r="E266" s="617"/>
      <c r="F266" s="617"/>
      <c r="G266" s="617"/>
      <c r="H266" s="617"/>
      <c r="I266" s="617"/>
      <c r="J266" s="617"/>
      <c r="K266" s="1694">
        <f t="shared" si="22"/>
        <v>46073</v>
      </c>
      <c r="L266" s="466">
        <v>46316</v>
      </c>
    </row>
    <row r="267" spans="1:14" x14ac:dyDescent="0.2">
      <c r="A267" s="1526" t="s">
        <v>1010</v>
      </c>
      <c r="B267" s="615">
        <v>2550</v>
      </c>
      <c r="C267" s="617"/>
      <c r="D267" s="466">
        <f>28464+32761</f>
        <v>61225</v>
      </c>
      <c r="E267" s="617"/>
      <c r="F267" s="617"/>
      <c r="G267" s="617"/>
      <c r="H267" s="617"/>
      <c r="I267" s="617"/>
      <c r="J267" s="617"/>
      <c r="K267" s="1694">
        <f t="shared" si="22"/>
        <v>61225</v>
      </c>
      <c r="L267" s="466">
        <v>60200</v>
      </c>
    </row>
    <row r="268" spans="1:14" x14ac:dyDescent="0.2">
      <c r="A268" s="1526" t="s">
        <v>102</v>
      </c>
      <c r="B268" s="615">
        <v>2560</v>
      </c>
      <c r="C268" s="617"/>
      <c r="D268" s="466">
        <f>10383+10510</f>
        <v>20893</v>
      </c>
      <c r="E268" s="617"/>
      <c r="F268" s="617"/>
      <c r="G268" s="617"/>
      <c r="H268" s="617"/>
      <c r="I268" s="617"/>
      <c r="J268" s="617"/>
      <c r="K268" s="1694">
        <f t="shared" si="22"/>
        <v>20893</v>
      </c>
      <c r="L268" s="466">
        <v>23445</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141912</v>
      </c>
      <c r="E270" s="617"/>
      <c r="F270" s="617"/>
      <c r="G270" s="617"/>
      <c r="H270" s="617"/>
      <c r="I270" s="617"/>
      <c r="J270" s="617"/>
      <c r="K270" s="1692">
        <f>SUM(K263:K269)</f>
        <v>141912</v>
      </c>
      <c r="L270" s="1692">
        <f>SUM(L263:L269)</f>
        <v>143216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241619</v>
      </c>
      <c r="E279" s="617"/>
      <c r="F279" s="617"/>
      <c r="G279" s="617"/>
      <c r="H279" s="617"/>
      <c r="I279" s="617"/>
      <c r="J279" s="617"/>
      <c r="K279" s="1699">
        <f>SUM(K238,K243,K257,K261,K270,K277,K278)</f>
        <v>241619</v>
      </c>
      <c r="L279" s="1699">
        <f>SUM(L238,L243,L257,L261,L270,L277,L278)</f>
        <v>212823</v>
      </c>
    </row>
    <row r="280" spans="1:12" ht="15.75" customHeight="1" thickTop="1" thickBot="1" x14ac:dyDescent="0.25">
      <c r="A280" s="1646" t="s">
        <v>930</v>
      </c>
      <c r="B280" s="1635">
        <v>3000</v>
      </c>
      <c r="C280" s="617"/>
      <c r="D280" s="576"/>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89" t="s">
        <v>526</v>
      </c>
      <c r="B295" s="2190"/>
      <c r="C295" s="617"/>
      <c r="D295" s="1692">
        <f>SUM(D229,D279,D280,D285)</f>
        <v>429327</v>
      </c>
      <c r="E295" s="617"/>
      <c r="F295" s="617"/>
      <c r="G295" s="617"/>
      <c r="H295" s="1692">
        <f>H293</f>
        <v>0</v>
      </c>
      <c r="I295" s="617"/>
      <c r="J295" s="617"/>
      <c r="K295" s="1692">
        <f>SUM(K229,K279,K280,K285,K293,K294)</f>
        <v>429327</v>
      </c>
      <c r="L295" s="1692">
        <f>SUM(L229,L279,L280,L285,L293,L294)</f>
        <v>408019</v>
      </c>
    </row>
    <row r="296" spans="1:14" ht="13.5" thickTop="1" x14ac:dyDescent="0.2">
      <c r="A296" s="2198" t="s">
        <v>1053</v>
      </c>
      <c r="B296" s="2199"/>
      <c r="C296" s="617"/>
      <c r="D296" s="619"/>
      <c r="E296" s="617"/>
      <c r="F296" s="617"/>
      <c r="G296" s="617"/>
      <c r="H296" s="688"/>
      <c r="I296" s="617"/>
      <c r="J296" s="617"/>
      <c r="K296" s="1706">
        <f>'Revenues 9-14'!G275-'Expenditures 15-22'!K295</f>
        <v>38276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v>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6" t="s">
        <v>295</v>
      </c>
      <c r="B312" s="2187"/>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2" t="s">
        <v>1053</v>
      </c>
      <c r="B313" s="2183"/>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v>69904</v>
      </c>
      <c r="F320" s="467"/>
      <c r="G320" s="467"/>
      <c r="H320" s="467"/>
      <c r="I320" s="467"/>
      <c r="J320" s="467"/>
      <c r="K320" s="1693">
        <f t="shared" ref="K320:K327" si="24">SUM(C320:J320)</f>
        <v>69904</v>
      </c>
      <c r="L320" s="467">
        <v>78000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0</v>
      </c>
      <c r="M321" s="666"/>
      <c r="N321" s="666"/>
    </row>
    <row r="322" spans="1:14" s="675" customFormat="1" x14ac:dyDescent="0.2">
      <c r="A322" s="1541" t="s">
        <v>256</v>
      </c>
      <c r="B322" s="698" t="s">
        <v>302</v>
      </c>
      <c r="C322" s="467"/>
      <c r="D322" s="467"/>
      <c r="E322" s="467">
        <v>19603</v>
      </c>
      <c r="F322" s="467"/>
      <c r="G322" s="467"/>
      <c r="H322" s="467"/>
      <c r="I322" s="467"/>
      <c r="J322" s="467"/>
      <c r="K322" s="1693">
        <f t="shared" si="24"/>
        <v>19603</v>
      </c>
      <c r="L322" s="467">
        <v>70000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f>323566+62573+13392+51700+49477</f>
        <v>500708</v>
      </c>
      <c r="D325" s="467">
        <f>30123+6890+1949+48695+14146+3826</f>
        <v>105629</v>
      </c>
      <c r="E325" s="467">
        <v>10000</v>
      </c>
      <c r="F325" s="467">
        <v>1500</v>
      </c>
      <c r="G325" s="467"/>
      <c r="H325" s="467"/>
      <c r="I325" s="467"/>
      <c r="J325" s="467"/>
      <c r="K325" s="1693">
        <f t="shared" si="24"/>
        <v>617837</v>
      </c>
      <c r="L325" s="467">
        <v>629000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5000</v>
      </c>
      <c r="M327" s="666"/>
      <c r="N327" s="666"/>
    </row>
    <row r="328" spans="1:14" s="675" customFormat="1" x14ac:dyDescent="0.2">
      <c r="A328" s="1542" t="s">
        <v>492</v>
      </c>
      <c r="B328" s="691" t="s">
        <v>1194</v>
      </c>
      <c r="C328" s="474"/>
      <c r="D328" s="474"/>
      <c r="E328" s="474">
        <f>31578+17240</f>
        <v>48818</v>
      </c>
      <c r="F328" s="474"/>
      <c r="G328" s="474"/>
      <c r="H328" s="474"/>
      <c r="I328" s="474"/>
      <c r="J328" s="474"/>
      <c r="K328" s="1721">
        <f>SUM(C328:J328)</f>
        <v>48818</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500708</v>
      </c>
      <c r="D330" s="1692">
        <f t="shared" ref="D330:J330" si="25">SUM(D319:D329)</f>
        <v>105629</v>
      </c>
      <c r="E330" s="1692">
        <f t="shared" si="25"/>
        <v>148325</v>
      </c>
      <c r="F330" s="1692">
        <f t="shared" si="25"/>
        <v>1500</v>
      </c>
      <c r="G330" s="1692">
        <f t="shared" si="25"/>
        <v>0</v>
      </c>
      <c r="H330" s="1692">
        <f t="shared" si="25"/>
        <v>0</v>
      </c>
      <c r="I330" s="1692">
        <f t="shared" si="25"/>
        <v>0</v>
      </c>
      <c r="J330" s="1692">
        <f t="shared" si="25"/>
        <v>0</v>
      </c>
      <c r="K330" s="1692">
        <f>SUM(K319:K329)</f>
        <v>756162</v>
      </c>
      <c r="L330" s="1692">
        <f>SUM(L319:L329)</f>
        <v>782000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500708</v>
      </c>
      <c r="D342" s="1692">
        <f>SUM(D330)</f>
        <v>105629</v>
      </c>
      <c r="E342" s="1692">
        <f>SUM(E330)</f>
        <v>148325</v>
      </c>
      <c r="F342" s="1692">
        <f>SUM(F330)</f>
        <v>1500</v>
      </c>
      <c r="G342" s="1692">
        <f>SUM(G330)</f>
        <v>0</v>
      </c>
      <c r="H342" s="1692">
        <f>SUM(H330,H334,H340)</f>
        <v>0</v>
      </c>
      <c r="I342" s="1692">
        <f>SUM(I330)</f>
        <v>0</v>
      </c>
      <c r="J342" s="1692">
        <f>SUM(J330)</f>
        <v>0</v>
      </c>
      <c r="K342" s="1692">
        <f>SUM(K330,K334,K340)</f>
        <v>756162</v>
      </c>
      <c r="L342" s="1699">
        <f>SUM(L330,L340,L341)</f>
        <v>782000</v>
      </c>
    </row>
    <row r="343" spans="1:14" ht="12.75" customHeight="1" thickTop="1" x14ac:dyDescent="0.2">
      <c r="A343" s="2184" t="s">
        <v>1053</v>
      </c>
      <c r="B343" s="2185"/>
      <c r="C343" s="617"/>
      <c r="D343" s="617"/>
      <c r="E343" s="617"/>
      <c r="F343" s="617"/>
      <c r="G343" s="617"/>
      <c r="H343" s="617"/>
      <c r="I343" s="617"/>
      <c r="J343" s="617"/>
      <c r="K343" s="1706">
        <f>'Revenues 9-14'!J275-'Expenditures 15-22'!K342</f>
        <v>17615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91841</v>
      </c>
      <c r="H348" s="466"/>
      <c r="I348" s="467"/>
      <c r="J348" s="467"/>
      <c r="K348" s="1693">
        <f>SUM(C348:J348)</f>
        <v>91841</v>
      </c>
      <c r="L348" s="466">
        <v>125000</v>
      </c>
    </row>
    <row r="349" spans="1:14" x14ac:dyDescent="0.2">
      <c r="A349" s="1526" t="s">
        <v>206</v>
      </c>
      <c r="B349" s="615">
        <v>2540</v>
      </c>
      <c r="C349" s="466"/>
      <c r="D349" s="466"/>
      <c r="E349" s="466"/>
      <c r="F349" s="466"/>
      <c r="G349" s="466"/>
      <c r="H349" s="466"/>
      <c r="I349" s="467"/>
      <c r="J349" s="467"/>
      <c r="K349" s="1693">
        <f>SUM(C349:J349)</f>
        <v>0</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91841</v>
      </c>
      <c r="H350" s="1692">
        <f t="shared" si="26"/>
        <v>0</v>
      </c>
      <c r="I350" s="1692">
        <f t="shared" si="26"/>
        <v>0</v>
      </c>
      <c r="J350" s="1692">
        <f t="shared" si="26"/>
        <v>0</v>
      </c>
      <c r="K350" s="1692">
        <f t="shared" si="26"/>
        <v>91841</v>
      </c>
      <c r="L350" s="1692">
        <f t="shared" si="26"/>
        <v>125000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91841</v>
      </c>
      <c r="H352" s="1692">
        <f t="shared" si="27"/>
        <v>0</v>
      </c>
      <c r="I352" s="1692">
        <f t="shared" si="27"/>
        <v>0</v>
      </c>
      <c r="J352" s="1692">
        <f t="shared" si="27"/>
        <v>0</v>
      </c>
      <c r="K352" s="1692">
        <f t="shared" si="27"/>
        <v>91841</v>
      </c>
      <c r="L352" s="1692">
        <f t="shared" si="27"/>
        <v>125000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v>0</v>
      </c>
    </row>
    <row r="355" spans="1:14" ht="12.75" customHeight="1" x14ac:dyDescent="0.2">
      <c r="A355" s="1535" t="s">
        <v>1966</v>
      </c>
      <c r="B355" s="691" t="s">
        <v>1959</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91841</v>
      </c>
      <c r="H367" s="1692">
        <f t="shared" si="28"/>
        <v>0</v>
      </c>
      <c r="I367" s="1692">
        <f t="shared" si="28"/>
        <v>0</v>
      </c>
      <c r="J367" s="1692">
        <f t="shared" si="28"/>
        <v>0</v>
      </c>
      <c r="K367" s="1692">
        <f t="shared" si="28"/>
        <v>91841</v>
      </c>
      <c r="L367" s="1692">
        <f t="shared" si="28"/>
        <v>125000</v>
      </c>
    </row>
    <row r="368" spans="1:14" ht="13.5" thickTop="1" x14ac:dyDescent="0.2">
      <c r="A368" s="2198" t="s">
        <v>1053</v>
      </c>
      <c r="B368" s="2199"/>
      <c r="C368" s="655"/>
      <c r="D368" s="655"/>
      <c r="E368" s="627"/>
      <c r="F368" s="627"/>
      <c r="G368" s="627"/>
      <c r="H368" s="627"/>
      <c r="I368" s="627"/>
      <c r="J368" s="624"/>
      <c r="K368" s="1693">
        <f>'Revenues 9-14'!K275-'Expenditures 15-22'!K367</f>
        <v>31628</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attached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2018-09-13T19:34:03Z</cp:lastPrinted>
  <dcterms:created xsi:type="dcterms:W3CDTF">2003-10-29T19:06:34Z</dcterms:created>
  <dcterms:modified xsi:type="dcterms:W3CDTF">2018-10-02T14:49:48Z</dcterms:modified>
</cp:coreProperties>
</file>